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628"/>
  <workbookPr/>
  <mc:AlternateContent xmlns:mc="http://schemas.openxmlformats.org/markup-compatibility/2006">
    <mc:Choice Requires="x15">
      <x15ac:absPath xmlns:x15ac="http://schemas.microsoft.com/office/spreadsheetml/2010/11/ac" url="C:\Users\HTK\Desktop\Mr TITO\PAPC\DOSSIER DAO_DP\"/>
    </mc:Choice>
  </mc:AlternateContent>
  <xr:revisionPtr revIDLastSave="0" documentId="13_ncr:1_{BBEF22E4-51BB-4296-AAA5-104A61FA0D23}" xr6:coauthVersionLast="46" xr6:coauthVersionMax="46" xr10:uidLastSave="{00000000-0000-0000-0000-000000000000}"/>
  <bookViews>
    <workbookView xWindow="-120" yWindow="-120" windowWidth="38640" windowHeight="21240" firstSheet="31" activeTab="32" xr2:uid="{00000000-000D-0000-FFFF-FFFF00000000}"/>
  </bookViews>
  <sheets>
    <sheet name="Zb1" sheetId="46" state="hidden" r:id="rId1"/>
    <sheet name="Zb2" sheetId="47" state="hidden" r:id="rId2"/>
    <sheet name="Zb 3" sheetId="50" state="hidden" r:id="rId3"/>
    <sheet name="Zb 4" sheetId="51" state="hidden" r:id="rId4"/>
    <sheet name="Préf Zb" sheetId="147" state="hidden" r:id="rId5"/>
    <sheet name="Préf ABa" sheetId="144" state="hidden" r:id="rId6"/>
    <sheet name="ABb et ABc" sheetId="80" state="hidden" r:id="rId7"/>
    <sheet name="BPU préf" sheetId="40" state="hidden" r:id="rId8"/>
    <sheet name="Récap Général" sheetId="151" state="hidden" r:id="rId9"/>
    <sheet name="Préf WW" sheetId="107" state="hidden" r:id="rId10"/>
    <sheet name="Préf Pb Pc new" sheetId="149" state="hidden" r:id="rId11"/>
    <sheet name="Préf AAs" sheetId="117" state="hidden" r:id="rId12"/>
    <sheet name="Recap AAs" sheetId="118" state="hidden" r:id="rId13"/>
    <sheet name="Préf AAn" sheetId="123" state="hidden" r:id="rId14"/>
    <sheet name="Recap AAn" sheetId="124" state="hidden" r:id="rId15"/>
    <sheet name="AAn et AAc" sheetId="101" state="hidden" r:id="rId16"/>
    <sheet name="Préf AAn et AAc" sheetId="102" state="hidden" r:id="rId17"/>
    <sheet name="Recap AAn et AAc" sheetId="103" state="hidden" r:id="rId18"/>
    <sheet name="Recap XX" sheetId="100" state="hidden" r:id="rId19"/>
    <sheet name="Préf AAc" sheetId="121" state="hidden" r:id="rId20"/>
    <sheet name="Recap AAc " sheetId="122" state="hidden" r:id="rId21"/>
    <sheet name="Préf Pa 3" sheetId="127" state="hidden" r:id="rId22"/>
    <sheet name="Recap Pa 3" sheetId="128" state="hidden" r:id="rId23"/>
    <sheet name="Préf Y" sheetId="92" state="hidden" r:id="rId24"/>
    <sheet name="Recap Y" sheetId="93" state="hidden" r:id="rId25"/>
    <sheet name="Pref Qa et Qc" sheetId="42" state="hidden" r:id="rId26"/>
    <sheet name="récap Qa et Qc" sheetId="133" state="hidden" r:id="rId27"/>
    <sheet name="Préf Pa 2" sheetId="129" state="hidden" r:id="rId28"/>
    <sheet name="Pa" sheetId="94" state="hidden" r:id="rId29"/>
    <sheet name="Préf Pa" sheetId="95" state="hidden" r:id="rId30"/>
    <sheet name="Recap Pa" sheetId="96" state="hidden" r:id="rId31"/>
    <sheet name="BPU_Pa3-Y" sheetId="234" r:id="rId32"/>
    <sheet name="CDQE_Pa3-Y" sheetId="235" r:id="rId33"/>
    <sheet name="Y" sheetId="91" state="hidden" r:id="rId34"/>
    <sheet name="Bd Marina" sheetId="191" state="hidden" r:id="rId35"/>
    <sheet name="Pa 3" sheetId="125" state="hidden" r:id="rId36"/>
    <sheet name="Recap_L&amp;M Amazone" sheetId="192" state="hidden" r:id="rId37"/>
    <sheet name="L_Amazone" sheetId="187" state="hidden" r:id="rId38"/>
    <sheet name="PU_CC" sheetId="186" state="hidden" r:id="rId39"/>
    <sheet name="M_Amazone" sheetId="185" state="hidden" r:id="rId40"/>
    <sheet name="M_Amazone_2 032019" sheetId="193" state="hidden" r:id="rId41"/>
    <sheet name="Recap M &amp; L 03 2019 " sheetId="194" state="hidden" r:id="rId42"/>
    <sheet name="Récap traversée Marina" sheetId="188" state="hidden" r:id="rId43"/>
    <sheet name="L _traversée" sheetId="189" state="hidden" r:id="rId44"/>
    <sheet name="M_traverséé" sheetId="190" state="hidden" r:id="rId45"/>
    <sheet name="M_Marina" sheetId="169" state="hidden" r:id="rId46"/>
    <sheet name="CBPU_M_Marina" sheetId="180" state="hidden" r:id="rId47"/>
    <sheet name="CDQE_M_Marina" sheetId="179" state="hidden" r:id="rId48"/>
    <sheet name="Préf M" sheetId="89" state="hidden" r:id="rId49"/>
    <sheet name="Recap M" sheetId="90" state="hidden" r:id="rId50"/>
    <sheet name="L _MARINA" sheetId="178" state="hidden" r:id="rId51"/>
    <sheet name="CBPU_L _MARINA" sheetId="183" state="hidden" r:id="rId52"/>
    <sheet name="CDQE_L _MARINA" sheetId="182" state="hidden" r:id="rId53"/>
    <sheet name="Mbis" sheetId="88" state="hidden" r:id="rId54"/>
    <sheet name="M_Amazone_2 032019 (2)" sheetId="204" state="hidden" r:id="rId55"/>
    <sheet name="Préf Lbis" sheetId="152" state="hidden" r:id="rId56"/>
    <sheet name="Recap L bis" sheetId="153" state="hidden" r:id="rId57"/>
    <sheet name="Préf D" sheetId="82" state="hidden" r:id="rId58"/>
    <sheet name="Recap D" sheetId="74" state="hidden" r:id="rId59"/>
    <sheet name="Feuil2" sheetId="166" state="hidden" r:id="rId60"/>
    <sheet name="Wa" sheetId="66" state="hidden" r:id="rId61"/>
    <sheet name="Préf Wa" sheetId="108" state="hidden" r:id="rId62"/>
    <sheet name="Recap Wa" sheetId="69" state="hidden" r:id="rId63"/>
    <sheet name="Préf Rc" sheetId="64" state="hidden" r:id="rId64"/>
    <sheet name="Recap Rc" sheetId="65" state="hidden" r:id="rId65"/>
    <sheet name="Pref Qb" sheetId="29" state="hidden" r:id="rId66"/>
    <sheet name="récap Qb" sheetId="132" state="hidden" r:id="rId67"/>
    <sheet name="récap Q" sheetId="26" state="hidden" r:id="rId68"/>
    <sheet name="Ra" sheetId="109" state="hidden" r:id="rId69"/>
    <sheet name="Rb Rd" sheetId="61" state="hidden" r:id="rId70"/>
    <sheet name="Rc " sheetId="62" state="hidden" r:id="rId71"/>
    <sheet name="S" sheetId="112" state="hidden" r:id="rId72"/>
    <sheet name="Feuil1" sheetId="198" state="hidden" r:id="rId73"/>
    <sheet name="Pref Rb Rd" sheetId="115" state="hidden" r:id="rId74"/>
    <sheet name="récap Rb Rd" sheetId="71" state="hidden" r:id="rId75"/>
    <sheet name="Pref Ra new" sheetId="110" state="hidden" r:id="rId76"/>
    <sheet name="récap Ra new" sheetId="111" state="hidden" r:id="rId77"/>
    <sheet name="récap S new" sheetId="113" state="hidden" r:id="rId78"/>
    <sheet name="Pref S new" sheetId="114" state="hidden" r:id="rId79"/>
  </sheets>
  <externalReferences>
    <externalReference r:id="rId80"/>
    <externalReference r:id="rId81"/>
    <externalReference r:id="rId82"/>
    <externalReference r:id="rId83"/>
  </externalReferences>
  <definedNames>
    <definedName name="epais" localSheetId="34">'Bd Marina'!$G$3</definedName>
    <definedName name="epais" localSheetId="38">PU_CC!$G$3</definedName>
    <definedName name="epais">'[1]Prix moyen collec'!$G$3</definedName>
    <definedName name="_xlnm.Print_Titles" localSheetId="6">'ABb et ABc'!$9:$9</definedName>
    <definedName name="_xlnm.Print_Titles" localSheetId="51">'CBPU_L _MARINA'!$14:$15</definedName>
    <definedName name="_xlnm.Print_Titles" localSheetId="46">CBPU_M_Marina!$18:$19</definedName>
    <definedName name="_xlnm.Print_Titles" localSheetId="52">'CDQE_L _MARINA'!$14:$15</definedName>
    <definedName name="_xlnm.Print_Titles" localSheetId="47">CDQE_M_Marina!$18:$19</definedName>
    <definedName name="Print_Area" localSheetId="15">'AAn et AAc'!$A$1:$G$218</definedName>
    <definedName name="Print_Area" localSheetId="6">'ABb et ABc'!$A$1:$F$186</definedName>
    <definedName name="Print_Area" localSheetId="31">'BPU_Pa3-Y'!$A$1:$E$120</definedName>
    <definedName name="Print_Area" localSheetId="51">'CBPU_L _MARINA'!$A$1:$E$145</definedName>
    <definedName name="Print_Area" localSheetId="46">CBPU_M_Marina!$A$1:$E$156</definedName>
    <definedName name="Print_Area" localSheetId="52">'CDQE_L _MARINA'!$A$1:$F$159</definedName>
    <definedName name="Print_Area" localSheetId="47">CDQE_M_Marina!$A$1:$F$169</definedName>
    <definedName name="Print_Area" localSheetId="32">'CDQE_Pa3-Y'!$A$1:$F$163</definedName>
    <definedName name="Print_Area" localSheetId="50">'L _MARINA'!$A$1:$F$165</definedName>
    <definedName name="Print_Area" localSheetId="43">'L _traversée'!$A$1:$F$133</definedName>
    <definedName name="Print_Area" localSheetId="37">L_Amazone!$A$1:$F$165</definedName>
    <definedName name="Print_Area" localSheetId="39">M_Amazone!$A$1:$F$179</definedName>
    <definedName name="Print_Area" localSheetId="40">'M_Amazone_2 032019'!$A$1:$F$182</definedName>
    <definedName name="Print_Area" localSheetId="54">'M_Amazone_2 032019 (2)'!$A$1:$F$182</definedName>
    <definedName name="Print_Area" localSheetId="45">M_Marina!$A$1:$F$178</definedName>
    <definedName name="Print_Area" localSheetId="44">M_traverséé!$A$1:$F$152</definedName>
    <definedName name="Print_Area" localSheetId="53">Mbis!$A$1:$F$179</definedName>
    <definedName name="Print_Area" localSheetId="28">Pa!$A$1:$F$211</definedName>
    <definedName name="Print_Area" localSheetId="35">'Pa 3'!$A$1:$F$205</definedName>
    <definedName name="Print_Area" localSheetId="68">Ra!$A$1:$F$164</definedName>
    <definedName name="Print_Area" localSheetId="69">'Rb Rd'!$A$1:$F$142</definedName>
    <definedName name="Print_Area" localSheetId="70">'Rc '!$A$1:$F$153</definedName>
    <definedName name="Print_Area" localSheetId="8">'Récap Général'!$A$1:$C$12</definedName>
    <definedName name="Print_Area" localSheetId="41">'Recap M &amp; L 03 2019 '!$A$1:$C$15</definedName>
    <definedName name="Print_Area" localSheetId="67">'récap Q'!$A$1:$G$7</definedName>
    <definedName name="Print_Area" localSheetId="66">'récap Qb'!$A$1:$G$7</definedName>
    <definedName name="Print_Area" localSheetId="76">'récap Ra new'!$A$1:$G$6</definedName>
    <definedName name="Print_Area" localSheetId="74">'récap Rb Rd'!$A$1:$G$7</definedName>
    <definedName name="Print_Area" localSheetId="77">'récap S new'!$A$1:$G$7</definedName>
    <definedName name="Print_Area" localSheetId="42">'Récap traversée Marina'!$A$1:$C$15</definedName>
    <definedName name="Print_Area" localSheetId="36">'Recap_L&amp;M Amazone'!$A$1:$C$10</definedName>
    <definedName name="Print_Area" localSheetId="71">S!$A$1:$F$168</definedName>
    <definedName name="Print_Area" localSheetId="60">Wa!$A$1:$G$192</definedName>
    <definedName name="Print_Area" localSheetId="33">Y!$A$1:$F$184</definedName>
    <definedName name="Print_Area" localSheetId="2">'Zb 3'!$A$1:$F$208</definedName>
    <definedName name="Print_Area" localSheetId="3">'Zb 4'!$A$1:$F$189</definedName>
    <definedName name="Print_Area" localSheetId="0">'Zb1'!$A$1:$F$192</definedName>
    <definedName name="Print_Area" localSheetId="1">'Zb2'!$A$1:$F$193</definedName>
    <definedName name="PUbeton" localSheetId="34">'Bd Marina'!$G$4</definedName>
    <definedName name="PUbeton" localSheetId="38">PU_CC!$G$4</definedName>
    <definedName name="PUbeton">'[1]Prix moyen collec'!$G$4</definedName>
    <definedName name="_xlnm.Print_Area" localSheetId="15">'AAn et AAc'!$A$1:$G$218</definedName>
    <definedName name="_xlnm.Print_Area" localSheetId="6">'ABb et ABc'!$A$1:$F$175</definedName>
    <definedName name="_xlnm.Print_Area" localSheetId="34">'Bd Marina'!$A$1:$I$46</definedName>
    <definedName name="_xlnm.Print_Area" localSheetId="31">'BPU_Pa3-Y'!$A$1:$E$120</definedName>
    <definedName name="_xlnm.Print_Area" localSheetId="51">'CBPU_L _MARINA'!$A$1:$E$133</definedName>
    <definedName name="_xlnm.Print_Area" localSheetId="46">CBPU_M_Marina!$A$1:$E$145</definedName>
    <definedName name="_xlnm.Print_Area" localSheetId="52">'CDQE_L _MARINA'!$A$1:$F$147</definedName>
    <definedName name="_xlnm.Print_Area" localSheetId="47">CDQE_M_Marina!$A$1:$F$158</definedName>
    <definedName name="_xlnm.Print_Area" localSheetId="32">'CDQE_Pa3-Y'!$A$1:$F$163</definedName>
    <definedName name="_xlnm.Print_Area" localSheetId="50">'L _MARINA'!$A$1:$F$153</definedName>
    <definedName name="_xlnm.Print_Area" localSheetId="43">'L _traversée'!$A$1:$F$121</definedName>
    <definedName name="_xlnm.Print_Area" localSheetId="37">L_Amazone!$A$1:$F$153</definedName>
    <definedName name="_xlnm.Print_Area" localSheetId="39">M_Amazone!$A$1:$F$168</definedName>
    <definedName name="_xlnm.Print_Area" localSheetId="40">'M_Amazone_2 032019'!$A$1:$F$171</definedName>
    <definedName name="_xlnm.Print_Area" localSheetId="54">'M_Amazone_2 032019 (2)'!$A$1:$F$171</definedName>
    <definedName name="_xlnm.Print_Area" localSheetId="45">M_Marina!$A$1:$F$167</definedName>
    <definedName name="_xlnm.Print_Area" localSheetId="44">M_traverséé!$A$1:$F$141</definedName>
    <definedName name="_xlnm.Print_Area" localSheetId="53">Mbis!$A$1:$F$168</definedName>
    <definedName name="_xlnm.Print_Area" localSheetId="28">Pa!$A$1:$F$211</definedName>
    <definedName name="_xlnm.Print_Area" localSheetId="35">'Pa 3'!$A$1:$F$205</definedName>
    <definedName name="_xlnm.Print_Area" localSheetId="57">'Préf D'!$A$1:$G$21</definedName>
    <definedName name="_xlnm.Print_Area" localSheetId="55">'Préf Lbis'!$A$1:$G$21</definedName>
    <definedName name="_xlnm.Print_Area" localSheetId="48">'Préf M'!$A$1:$G$21</definedName>
    <definedName name="_xlnm.Print_Area" localSheetId="29">'Préf Pa'!$A$1:$G$21</definedName>
    <definedName name="_xlnm.Print_Area" localSheetId="27">'Préf Pa 2'!$A$1:$G$21</definedName>
    <definedName name="_xlnm.Print_Area" localSheetId="25">'Pref Qa et Qc'!$A$1:$G$20</definedName>
    <definedName name="_xlnm.Print_Area" localSheetId="65">'Pref Qb'!$A$1:$G$20</definedName>
    <definedName name="_xlnm.Print_Area" localSheetId="73">'Pref Rb Rd'!$A$1:$G$21</definedName>
    <definedName name="_xlnm.Print_Area" localSheetId="63">'Préf Rc'!$A$1:$G$21</definedName>
    <definedName name="_xlnm.Print_Area" localSheetId="61">'Préf Wa'!$A$1:$G$21</definedName>
    <definedName name="_xlnm.Print_Area" localSheetId="23">'Préf Y'!$A$1:$G$21</definedName>
    <definedName name="_xlnm.Print_Area" localSheetId="38">PU_CC!$A$1:$I$50</definedName>
    <definedName name="_xlnm.Print_Area" localSheetId="68">Ra!$A$1:$F$164</definedName>
    <definedName name="_xlnm.Print_Area" localSheetId="69">'Rb Rd'!$A$1:$F$142</definedName>
    <definedName name="_xlnm.Print_Area" localSheetId="70">'Rc '!$A$1:$F$153</definedName>
    <definedName name="_xlnm.Print_Area" localSheetId="58">'Recap D'!$B$1:$E$7</definedName>
    <definedName name="_xlnm.Print_Area" localSheetId="8">'Récap Général'!$A$1:$F$11</definedName>
    <definedName name="_xlnm.Print_Area" localSheetId="56">'Recap L bis'!$B$1:$F$7</definedName>
    <definedName name="_xlnm.Print_Area" localSheetId="49">'Recap M'!$B$1:$F$7</definedName>
    <definedName name="_xlnm.Print_Area" localSheetId="41">'Recap M &amp; L 03 2019 '!$A$1:$C$14</definedName>
    <definedName name="_xlnm.Print_Area" localSheetId="30">'Recap Pa'!$B$1:$E$7</definedName>
    <definedName name="_xlnm.Print_Area" localSheetId="26">'récap Qa et Qc'!$B$1:$E$7</definedName>
    <definedName name="_xlnm.Print_Area" localSheetId="64">'Recap Rc'!$B$1:$E$7</definedName>
    <definedName name="_xlnm.Print_Area" localSheetId="42">'Récap traversée Marina'!$A$1:$C$14</definedName>
    <definedName name="_xlnm.Print_Area" localSheetId="62">'Recap Wa'!$B$1:$F$7</definedName>
    <definedName name="_xlnm.Print_Area" localSheetId="24">'Recap Y'!$B$1:$E$8</definedName>
    <definedName name="_xlnm.Print_Area" localSheetId="36">'Recap_L&amp;M Amazone'!$A$2:$C$10</definedName>
    <definedName name="_xlnm.Print_Area" localSheetId="71">S!$A$1:$F$168</definedName>
    <definedName name="_xlnm.Print_Area" localSheetId="60">Wa!$A$1:$G$180</definedName>
    <definedName name="_xlnm.Print_Area" localSheetId="33">Y!$A$1:$F$172</definedName>
    <definedName name="_xlnm.Print_Area" localSheetId="2">'Zb 3'!$A$1:$F$197</definedName>
    <definedName name="_xlnm.Print_Area" localSheetId="3">'Zb 4'!$A$1:$F$179</definedName>
    <definedName name="_xlnm.Print_Area" localSheetId="0">'Zb1'!$A$1:$F$181</definedName>
    <definedName name="_xlnm.Print_Area" localSheetId="1">'Zb2'!$A$1:$F$181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28" i="235" l="1"/>
  <c r="F129" i="235"/>
  <c r="F131" i="235"/>
  <c r="F132" i="235"/>
  <c r="F134" i="235"/>
  <c r="F135" i="235"/>
  <c r="F136" i="235"/>
  <c r="F137" i="235"/>
  <c r="F138" i="235"/>
  <c r="F139" i="235"/>
  <c r="F140" i="235"/>
  <c r="F141" i="235"/>
  <c r="F142" i="235"/>
  <c r="F143" i="235"/>
  <c r="F144" i="235"/>
  <c r="F145" i="235"/>
  <c r="F148" i="235"/>
  <c r="F149" i="235"/>
  <c r="F151" i="235"/>
  <c r="F154" i="235"/>
  <c r="F155" i="235"/>
  <c r="F156" i="235"/>
  <c r="F157" i="235"/>
  <c r="F158" i="235"/>
  <c r="F159" i="235"/>
  <c r="F160" i="235"/>
  <c r="F161" i="235"/>
  <c r="F162" i="235"/>
  <c r="F163" i="235"/>
  <c r="F164" i="235"/>
  <c r="F165" i="235"/>
  <c r="F166" i="235"/>
  <c r="F15" i="235" l="1"/>
  <c r="F14" i="235"/>
  <c r="F13" i="235"/>
  <c r="H123" i="62" l="1"/>
  <c r="H131" i="112"/>
  <c r="J131" i="112" s="1"/>
  <c r="D131" i="112" s="1"/>
  <c r="E131" i="112"/>
  <c r="A131" i="112"/>
  <c r="B131" i="112"/>
  <c r="H151" i="125"/>
  <c r="H135" i="91"/>
  <c r="F131" i="112" l="1"/>
  <c r="H91" i="62" l="1"/>
  <c r="H87" i="62"/>
  <c r="H79" i="61"/>
  <c r="J79" i="61"/>
  <c r="D79" i="61" s="1"/>
  <c r="D83" i="61" s="1"/>
  <c r="J80" i="61"/>
  <c r="H156" i="125" l="1"/>
  <c r="H155" i="125"/>
  <c r="H153" i="125"/>
  <c r="H152" i="125"/>
  <c r="F14" i="125" l="1"/>
  <c r="J152" i="125"/>
  <c r="D152" i="125" s="1"/>
  <c r="A152" i="125"/>
  <c r="C152" i="125"/>
  <c r="E152" i="125"/>
  <c r="B152" i="125"/>
  <c r="F152" i="125" l="1"/>
  <c r="F9" i="204" l="1"/>
  <c r="E195" i="204"/>
  <c r="J176" i="204"/>
  <c r="E166" i="204"/>
  <c r="D166" i="204"/>
  <c r="C166" i="204"/>
  <c r="K165" i="204"/>
  <c r="B165" i="204"/>
  <c r="A165" i="204"/>
  <c r="I164" i="204"/>
  <c r="H164" i="204"/>
  <c r="E164" i="204"/>
  <c r="C164" i="204"/>
  <c r="B163" i="204"/>
  <c r="A163" i="204"/>
  <c r="I162" i="204"/>
  <c r="H162" i="204"/>
  <c r="E162" i="204"/>
  <c r="C162" i="204"/>
  <c r="B161" i="204"/>
  <c r="A161" i="204"/>
  <c r="E160" i="204"/>
  <c r="D160" i="204"/>
  <c r="C160" i="204"/>
  <c r="B160" i="204"/>
  <c r="A160" i="204"/>
  <c r="E159" i="204"/>
  <c r="D159" i="204"/>
  <c r="C159" i="204"/>
  <c r="B159" i="204"/>
  <c r="A159" i="204"/>
  <c r="B158" i="204"/>
  <c r="A158" i="204"/>
  <c r="H157" i="204"/>
  <c r="J157" i="204" s="1"/>
  <c r="D157" i="204" s="1"/>
  <c r="E157" i="204"/>
  <c r="C157" i="204"/>
  <c r="B157" i="204"/>
  <c r="A157" i="204"/>
  <c r="I156" i="204"/>
  <c r="E156" i="204"/>
  <c r="C156" i="204"/>
  <c r="B156" i="204"/>
  <c r="A156" i="204"/>
  <c r="B155" i="204"/>
  <c r="A155" i="204"/>
  <c r="A154" i="204"/>
  <c r="D151" i="204"/>
  <c r="C151" i="204"/>
  <c r="B151" i="204"/>
  <c r="A151" i="204"/>
  <c r="E150" i="204"/>
  <c r="C150" i="204"/>
  <c r="B150" i="204"/>
  <c r="A150" i="204"/>
  <c r="L149" i="204"/>
  <c r="C149" i="204"/>
  <c r="B149" i="204"/>
  <c r="A149" i="204"/>
  <c r="K148" i="204"/>
  <c r="B148" i="204"/>
  <c r="A148" i="204"/>
  <c r="J147" i="204"/>
  <c r="E147" i="204"/>
  <c r="D147" i="204"/>
  <c r="C147" i="204"/>
  <c r="B146" i="204"/>
  <c r="A146" i="204"/>
  <c r="E145" i="204"/>
  <c r="C145" i="204"/>
  <c r="B145" i="204"/>
  <c r="A145" i="204"/>
  <c r="B144" i="204"/>
  <c r="A144" i="204"/>
  <c r="J143" i="204"/>
  <c r="D143" i="204" s="1"/>
  <c r="L107" i="204" s="1"/>
  <c r="C143" i="204"/>
  <c r="B143" i="204"/>
  <c r="A143" i="204"/>
  <c r="J142" i="204"/>
  <c r="D142" i="204" s="1"/>
  <c r="C142" i="204"/>
  <c r="B142" i="204"/>
  <c r="A142" i="204"/>
  <c r="C141" i="204"/>
  <c r="B141" i="204"/>
  <c r="A141" i="204"/>
  <c r="H140" i="204"/>
  <c r="J140" i="204" s="1"/>
  <c r="D140" i="204" s="1"/>
  <c r="C140" i="204"/>
  <c r="B140" i="204"/>
  <c r="A140" i="204"/>
  <c r="I139" i="204"/>
  <c r="H139" i="204"/>
  <c r="J139" i="204" s="1"/>
  <c r="D139" i="204" s="1"/>
  <c r="E139" i="204"/>
  <c r="C139" i="204"/>
  <c r="B139" i="204"/>
  <c r="A139" i="204"/>
  <c r="I138" i="204"/>
  <c r="H138" i="204"/>
  <c r="C138" i="204"/>
  <c r="B138" i="204"/>
  <c r="A138" i="204"/>
  <c r="B137" i="204"/>
  <c r="A137" i="204"/>
  <c r="H136" i="204"/>
  <c r="J136" i="204" s="1"/>
  <c r="D136" i="204" s="1"/>
  <c r="E136" i="204"/>
  <c r="C136" i="204"/>
  <c r="B136" i="204"/>
  <c r="A136" i="204"/>
  <c r="E135" i="204"/>
  <c r="C135" i="204"/>
  <c r="B135" i="204"/>
  <c r="A135" i="204"/>
  <c r="E134" i="204"/>
  <c r="C134" i="204"/>
  <c r="B134" i="204"/>
  <c r="A134" i="204"/>
  <c r="E133" i="204"/>
  <c r="C133" i="204"/>
  <c r="B133" i="204"/>
  <c r="A133" i="204"/>
  <c r="E132" i="204"/>
  <c r="C132" i="204"/>
  <c r="B132" i="204"/>
  <c r="A132" i="204"/>
  <c r="B131" i="204"/>
  <c r="A131" i="204"/>
  <c r="L130" i="204"/>
  <c r="E130" i="204"/>
  <c r="D130" i="204"/>
  <c r="C130" i="204"/>
  <c r="B130" i="204"/>
  <c r="A130" i="204"/>
  <c r="L129" i="204"/>
  <c r="B129" i="204"/>
  <c r="A129" i="204"/>
  <c r="H128" i="204"/>
  <c r="D128" i="204" s="1"/>
  <c r="E128" i="204"/>
  <c r="C128" i="204"/>
  <c r="B128" i="204"/>
  <c r="A128" i="204"/>
  <c r="I127" i="204"/>
  <c r="C127" i="204"/>
  <c r="B127" i="204"/>
  <c r="A127" i="204"/>
  <c r="I126" i="204"/>
  <c r="E126" i="204"/>
  <c r="C126" i="204"/>
  <c r="B126" i="204"/>
  <c r="A126" i="204"/>
  <c r="B125" i="204"/>
  <c r="A125" i="204"/>
  <c r="E124" i="204"/>
  <c r="D124" i="204"/>
  <c r="D120" i="204" s="1"/>
  <c r="C124" i="204"/>
  <c r="B123" i="204"/>
  <c r="A123" i="204"/>
  <c r="N122" i="204"/>
  <c r="E122" i="204"/>
  <c r="D122" i="204"/>
  <c r="C122" i="204"/>
  <c r="L121" i="204"/>
  <c r="L122" i="204" s="1"/>
  <c r="B121" i="204"/>
  <c r="A121" i="204"/>
  <c r="E120" i="204"/>
  <c r="C120" i="204"/>
  <c r="B120" i="204"/>
  <c r="A120" i="204"/>
  <c r="B119" i="204"/>
  <c r="A119" i="204"/>
  <c r="K118" i="204"/>
  <c r="J118" i="204"/>
  <c r="E118" i="204"/>
  <c r="D118" i="204"/>
  <c r="C118" i="204"/>
  <c r="B117" i="204"/>
  <c r="A117" i="204"/>
  <c r="E116" i="204"/>
  <c r="D116" i="204"/>
  <c r="C116" i="204"/>
  <c r="B115" i="204"/>
  <c r="A115" i="204"/>
  <c r="L114" i="204"/>
  <c r="E114" i="204"/>
  <c r="C114" i="204"/>
  <c r="L113" i="204"/>
  <c r="B113" i="204"/>
  <c r="A113" i="204"/>
  <c r="L112" i="204"/>
  <c r="K112" i="204"/>
  <c r="E112" i="204"/>
  <c r="C112" i="204"/>
  <c r="B111" i="204"/>
  <c r="A111" i="204"/>
  <c r="L110" i="204"/>
  <c r="A110" i="204"/>
  <c r="L109" i="204"/>
  <c r="Q107" i="204"/>
  <c r="O107" i="204"/>
  <c r="N107" i="204"/>
  <c r="J107" i="204"/>
  <c r="C107" i="204"/>
  <c r="B107" i="204"/>
  <c r="A107" i="204"/>
  <c r="Q106" i="204"/>
  <c r="O106" i="204"/>
  <c r="N106" i="204"/>
  <c r="J106" i="204"/>
  <c r="C106" i="204"/>
  <c r="B106" i="204"/>
  <c r="A106" i="204"/>
  <c r="O105" i="204"/>
  <c r="N105" i="204"/>
  <c r="J105" i="204"/>
  <c r="B105" i="204"/>
  <c r="A105" i="204"/>
  <c r="P104" i="204"/>
  <c r="K104" i="204"/>
  <c r="J104" i="204"/>
  <c r="C104" i="204"/>
  <c r="B104" i="204"/>
  <c r="A104" i="204"/>
  <c r="Q103" i="204"/>
  <c r="N103" i="204"/>
  <c r="L103" i="204"/>
  <c r="J103" i="204"/>
  <c r="C103" i="204"/>
  <c r="B103" i="204"/>
  <c r="A103" i="204"/>
  <c r="B102" i="204"/>
  <c r="A102" i="204"/>
  <c r="B101" i="204"/>
  <c r="A101" i="204"/>
  <c r="C100" i="204"/>
  <c r="B100" i="204"/>
  <c r="A100" i="204"/>
  <c r="E99" i="204"/>
  <c r="C99" i="204"/>
  <c r="B99" i="204"/>
  <c r="A99" i="204"/>
  <c r="E98" i="204"/>
  <c r="C98" i="204"/>
  <c r="B98" i="204"/>
  <c r="A98" i="204"/>
  <c r="B97" i="204"/>
  <c r="A97" i="204"/>
  <c r="H94" i="204"/>
  <c r="J94" i="204" s="1"/>
  <c r="D94" i="204" s="1"/>
  <c r="D98" i="204" s="1"/>
  <c r="J93" i="204"/>
  <c r="J92" i="204"/>
  <c r="B92" i="204"/>
  <c r="A92" i="204"/>
  <c r="J91" i="204"/>
  <c r="E91" i="204"/>
  <c r="C91" i="204"/>
  <c r="B91" i="204"/>
  <c r="A91" i="204"/>
  <c r="J90" i="204"/>
  <c r="E90" i="204"/>
  <c r="C90" i="204"/>
  <c r="B90" i="204"/>
  <c r="A90" i="204"/>
  <c r="J89" i="204"/>
  <c r="B89" i="204"/>
  <c r="A89" i="204"/>
  <c r="B85" i="204"/>
  <c r="A85" i="204"/>
  <c r="E84" i="204"/>
  <c r="C84" i="204"/>
  <c r="B83" i="204"/>
  <c r="A83" i="204"/>
  <c r="E82" i="204"/>
  <c r="C82" i="204"/>
  <c r="B82" i="204"/>
  <c r="A82" i="204"/>
  <c r="B81" i="204"/>
  <c r="A81" i="204"/>
  <c r="A80" i="204"/>
  <c r="I77" i="204"/>
  <c r="H77" i="204"/>
  <c r="C77" i="204"/>
  <c r="B76" i="204"/>
  <c r="A76" i="204"/>
  <c r="E75" i="204"/>
  <c r="C75" i="204"/>
  <c r="B74" i="204"/>
  <c r="A74" i="204"/>
  <c r="E73" i="204"/>
  <c r="C73" i="204"/>
  <c r="B72" i="204"/>
  <c r="A72" i="204"/>
  <c r="E71" i="204"/>
  <c r="C71" i="204"/>
  <c r="B71" i="204"/>
  <c r="A71" i="204"/>
  <c r="B70" i="204"/>
  <c r="A70" i="204"/>
  <c r="A69" i="204"/>
  <c r="H66" i="204"/>
  <c r="J66" i="204" s="1"/>
  <c r="D66" i="204" s="1"/>
  <c r="E66" i="204"/>
  <c r="C66" i="204"/>
  <c r="B65" i="204"/>
  <c r="A65" i="204"/>
  <c r="I64" i="204"/>
  <c r="H64" i="204"/>
  <c r="J64" i="204" s="1"/>
  <c r="D64" i="204" s="1"/>
  <c r="E64" i="204"/>
  <c r="C64" i="204"/>
  <c r="B63" i="204"/>
  <c r="A63" i="204"/>
  <c r="I62" i="204"/>
  <c r="H62" i="204"/>
  <c r="E62" i="204"/>
  <c r="C62" i="204"/>
  <c r="B62" i="204"/>
  <c r="A62" i="204"/>
  <c r="B61" i="204"/>
  <c r="A61" i="204"/>
  <c r="I60" i="204"/>
  <c r="E60" i="204"/>
  <c r="C60" i="204"/>
  <c r="H59" i="204"/>
  <c r="B59" i="204"/>
  <c r="A59" i="204"/>
  <c r="I58" i="204"/>
  <c r="E58" i="204"/>
  <c r="C58" i="204"/>
  <c r="B57" i="204"/>
  <c r="A57" i="204"/>
  <c r="I56" i="204"/>
  <c r="F56" i="204"/>
  <c r="C56" i="204"/>
  <c r="B56" i="204"/>
  <c r="A56" i="204"/>
  <c r="I55" i="204"/>
  <c r="E55" i="204"/>
  <c r="C55" i="204"/>
  <c r="B55" i="204"/>
  <c r="A55" i="204"/>
  <c r="I54" i="204"/>
  <c r="J54" i="204" s="1"/>
  <c r="H54" i="204"/>
  <c r="H56" i="204" s="1"/>
  <c r="E54" i="204"/>
  <c r="F54" i="204" s="1"/>
  <c r="C54" i="204"/>
  <c r="B54" i="204"/>
  <c r="A54" i="204"/>
  <c r="I53" i="204"/>
  <c r="J53" i="204" s="1"/>
  <c r="E53" i="204"/>
  <c r="F53" i="204" s="1"/>
  <c r="C53" i="204"/>
  <c r="B53" i="204"/>
  <c r="A53" i="204"/>
  <c r="B52" i="204"/>
  <c r="A52" i="204"/>
  <c r="J51" i="204"/>
  <c r="E51" i="204"/>
  <c r="D51" i="204"/>
  <c r="C51" i="204"/>
  <c r="B50" i="204"/>
  <c r="A50" i="204"/>
  <c r="H49" i="204"/>
  <c r="J49" i="204" s="1"/>
  <c r="D49" i="204" s="1"/>
  <c r="E49" i="204"/>
  <c r="C49" i="204"/>
  <c r="B49" i="204"/>
  <c r="A49" i="204"/>
  <c r="B48" i="204"/>
  <c r="A48" i="204"/>
  <c r="E47" i="204"/>
  <c r="F47" i="204" s="1"/>
  <c r="C47" i="204"/>
  <c r="B46" i="204"/>
  <c r="A46" i="204"/>
  <c r="A45" i="204"/>
  <c r="E40" i="204"/>
  <c r="D40" i="204"/>
  <c r="C40" i="204"/>
  <c r="B39" i="204"/>
  <c r="A39" i="204"/>
  <c r="J38" i="204"/>
  <c r="C38" i="204"/>
  <c r="B37" i="204"/>
  <c r="A37" i="204"/>
  <c r="C36" i="204"/>
  <c r="B35" i="204"/>
  <c r="A35" i="204"/>
  <c r="G34" i="204"/>
  <c r="C34" i="204"/>
  <c r="B33" i="204"/>
  <c r="A33" i="204"/>
  <c r="C32" i="204"/>
  <c r="B31" i="204"/>
  <c r="A31" i="204"/>
  <c r="G30" i="204"/>
  <c r="C30" i="204"/>
  <c r="N29" i="204"/>
  <c r="F29" i="204"/>
  <c r="B29" i="204"/>
  <c r="A29" i="204"/>
  <c r="A28" i="204"/>
  <c r="C25" i="204"/>
  <c r="B24" i="204"/>
  <c r="A24" i="204"/>
  <c r="B22" i="204"/>
  <c r="C21" i="204"/>
  <c r="J20" i="204"/>
  <c r="B20" i="204"/>
  <c r="A20" i="204"/>
  <c r="A19" i="204"/>
  <c r="I17" i="204"/>
  <c r="J17" i="204" s="1"/>
  <c r="H17" i="204"/>
  <c r="I16" i="204"/>
  <c r="J16" i="204" s="1"/>
  <c r="H16" i="204"/>
  <c r="F15" i="204"/>
  <c r="H156" i="204" s="1"/>
  <c r="J156" i="204" s="1"/>
  <c r="D156" i="204" s="1"/>
  <c r="F156" i="204" s="1"/>
  <c r="J14" i="204"/>
  <c r="H14" i="204"/>
  <c r="J13" i="204"/>
  <c r="H13" i="204"/>
  <c r="I12" i="204"/>
  <c r="F12" i="204"/>
  <c r="H145" i="204" s="1"/>
  <c r="J145" i="204" s="1"/>
  <c r="D145" i="204" s="1"/>
  <c r="H141" i="204"/>
  <c r="J141" i="204" s="1"/>
  <c r="K8" i="204"/>
  <c r="F7" i="204"/>
  <c r="H132" i="204" s="1"/>
  <c r="J132" i="204" s="1"/>
  <c r="F6" i="204"/>
  <c r="H133" i="204" s="1"/>
  <c r="J133" i="204" s="1"/>
  <c r="D133" i="204" s="1"/>
  <c r="F5" i="204"/>
  <c r="H134" i="204" s="1"/>
  <c r="J134" i="204" s="1"/>
  <c r="D134" i="204" s="1"/>
  <c r="F4" i="204"/>
  <c r="H135" i="204" s="1"/>
  <c r="J135" i="204" s="1"/>
  <c r="D135" i="204" s="1"/>
  <c r="A1" i="204"/>
  <c r="B140" i="193"/>
  <c r="J15" i="204" l="1"/>
  <c r="M104" i="204"/>
  <c r="F98" i="204"/>
  <c r="J77" i="204"/>
  <c r="D77" i="204" s="1"/>
  <c r="M107" i="204"/>
  <c r="H26" i="204"/>
  <c r="K119" i="204"/>
  <c r="J162" i="204"/>
  <c r="D162" i="204" s="1"/>
  <c r="J18" i="204"/>
  <c r="J19" i="204" s="1"/>
  <c r="H88" i="204" s="1"/>
  <c r="J88" i="204" s="1"/>
  <c r="D88" i="204" s="1"/>
  <c r="D104" i="204" s="1"/>
  <c r="H15" i="204"/>
  <c r="H18" i="204" s="1"/>
  <c r="H19" i="204" s="1"/>
  <c r="H87" i="204" s="1"/>
  <c r="J87" i="204" s="1"/>
  <c r="H55" i="204"/>
  <c r="M103" i="204"/>
  <c r="F133" i="204"/>
  <c r="F139" i="204"/>
  <c r="H95" i="204"/>
  <c r="J95" i="204" s="1"/>
  <c r="D95" i="204" s="1"/>
  <c r="D99" i="204" s="1"/>
  <c r="F99" i="204" s="1"/>
  <c r="J56" i="204"/>
  <c r="H60" i="204"/>
  <c r="J60" i="204" s="1"/>
  <c r="D60" i="204" s="1"/>
  <c r="F60" i="204" s="1"/>
  <c r="H96" i="204"/>
  <c r="J96" i="204" s="1"/>
  <c r="D96" i="204" s="1"/>
  <c r="D100" i="204" s="1"/>
  <c r="J164" i="204"/>
  <c r="D164" i="204" s="1"/>
  <c r="H58" i="204"/>
  <c r="J58" i="204" s="1"/>
  <c r="D58" i="204" s="1"/>
  <c r="J138" i="204"/>
  <c r="D138" i="204" s="1"/>
  <c r="P107" i="204"/>
  <c r="F130" i="204"/>
  <c r="F160" i="204"/>
  <c r="F162" i="204"/>
  <c r="F122" i="204"/>
  <c r="F135" i="204"/>
  <c r="F64" i="204"/>
  <c r="F159" i="204"/>
  <c r="F166" i="204"/>
  <c r="F40" i="204"/>
  <c r="F41" i="204" s="1"/>
  <c r="F66" i="204"/>
  <c r="F124" i="204"/>
  <c r="F128" i="204"/>
  <c r="F134" i="204"/>
  <c r="F116" i="204"/>
  <c r="F136" i="204"/>
  <c r="F120" i="204"/>
  <c r="F58" i="204"/>
  <c r="F147" i="204"/>
  <c r="F157" i="204"/>
  <c r="F145" i="204"/>
  <c r="F49" i="204"/>
  <c r="F51" i="204"/>
  <c r="F164" i="204"/>
  <c r="L105" i="204"/>
  <c r="P105" i="204" s="1"/>
  <c r="D141" i="204"/>
  <c r="D132" i="204"/>
  <c r="F132" i="204" s="1"/>
  <c r="L102" i="204"/>
  <c r="M102" i="204" s="1"/>
  <c r="H150" i="204"/>
  <c r="J150" i="204" s="1"/>
  <c r="D150" i="204" s="1"/>
  <c r="F150" i="204" s="1"/>
  <c r="J55" i="204"/>
  <c r="D55" i="204" s="1"/>
  <c r="F55" i="204" s="1"/>
  <c r="P103" i="204"/>
  <c r="F118" i="204"/>
  <c r="H127" i="204"/>
  <c r="J127" i="204" s="1"/>
  <c r="D127" i="204" s="1"/>
  <c r="J62" i="204"/>
  <c r="L106" i="204"/>
  <c r="P106" i="204" s="1"/>
  <c r="H71" i="204"/>
  <c r="D91" i="204" l="1"/>
  <c r="F91" i="204" s="1"/>
  <c r="H80" i="204"/>
  <c r="H82" i="204"/>
  <c r="J82" i="204" s="1"/>
  <c r="D82" i="204" s="1"/>
  <c r="F82" i="204" s="1"/>
  <c r="D87" i="204"/>
  <c r="M105" i="204"/>
  <c r="F167" i="204"/>
  <c r="M106" i="204"/>
  <c r="M108" i="204" s="1"/>
  <c r="H112" i="204" s="1"/>
  <c r="D62" i="204"/>
  <c r="F62" i="204" s="1"/>
  <c r="F67" i="204" s="1"/>
  <c r="H126" i="204"/>
  <c r="J126" i="204" s="1"/>
  <c r="D126" i="204" s="1"/>
  <c r="F126" i="204" s="1"/>
  <c r="H75" i="204"/>
  <c r="J75" i="204" s="1"/>
  <c r="J71" i="204"/>
  <c r="H149" i="204"/>
  <c r="J149" i="204" s="1"/>
  <c r="D149" i="204" s="1"/>
  <c r="H84" i="204"/>
  <c r="J84" i="204" s="1"/>
  <c r="D84" i="204" s="1"/>
  <c r="F84" i="204" s="1"/>
  <c r="J80" i="204"/>
  <c r="P108" i="204"/>
  <c r="D90" i="204"/>
  <c r="F90" i="204" s="1"/>
  <c r="D103" i="204"/>
  <c r="D107" i="204"/>
  <c r="K75" i="204" l="1"/>
  <c r="D75" i="204" s="1"/>
  <c r="F75" i="204" s="1"/>
  <c r="J72" i="204"/>
  <c r="D71" i="204"/>
  <c r="J112" i="204"/>
  <c r="D112" i="204" s="1"/>
  <c r="F112" i="204" s="1"/>
  <c r="H114" i="204"/>
  <c r="J114" i="204" s="1"/>
  <c r="D114" i="204" s="1"/>
  <c r="F114" i="204" s="1"/>
  <c r="D106" i="204"/>
  <c r="F71" i="204" l="1"/>
  <c r="D73" i="204"/>
  <c r="F73" i="204" s="1"/>
  <c r="E5" i="151" l="1"/>
  <c r="F9" i="151"/>
  <c r="E9" i="151" s="1"/>
  <c r="E6" i="151"/>
  <c r="E7" i="151"/>
  <c r="E8" i="151"/>
  <c r="E10" i="151"/>
  <c r="E11" i="151" l="1"/>
  <c r="D127" i="50"/>
  <c r="D115" i="51"/>
  <c r="A118" i="51"/>
  <c r="A117" i="51"/>
  <c r="A116" i="51"/>
  <c r="A115" i="51"/>
  <c r="B115" i="51"/>
  <c r="B116" i="51"/>
  <c r="B117" i="51"/>
  <c r="B118" i="51"/>
  <c r="A114" i="51"/>
  <c r="B114" i="51"/>
  <c r="A113" i="51"/>
  <c r="B113" i="51"/>
  <c r="A129" i="50"/>
  <c r="A128" i="50"/>
  <c r="A127" i="50"/>
  <c r="A126" i="50"/>
  <c r="B127" i="50"/>
  <c r="B128" i="50"/>
  <c r="B129" i="50"/>
  <c r="B126" i="50"/>
  <c r="A125" i="50"/>
  <c r="B125" i="50"/>
  <c r="G83" i="125" l="1"/>
  <c r="J83" i="125" s="1"/>
  <c r="E188" i="125" l="1"/>
  <c r="E154" i="91"/>
  <c r="B3" i="198" l="1"/>
  <c r="B5" i="198"/>
  <c r="H161" i="112" l="1"/>
  <c r="D161" i="112" s="1"/>
  <c r="A160" i="112"/>
  <c r="B160" i="112"/>
  <c r="H84" i="61"/>
  <c r="H83" i="61"/>
  <c r="G66" i="109"/>
  <c r="G64" i="109"/>
  <c r="G62" i="109"/>
  <c r="G84" i="109"/>
  <c r="G71" i="109"/>
  <c r="G40" i="109"/>
  <c r="A163" i="112"/>
  <c r="B163" i="112"/>
  <c r="A162" i="112"/>
  <c r="B162" i="112"/>
  <c r="H148" i="62"/>
  <c r="J148" i="62" s="1"/>
  <c r="D148" i="62" s="1"/>
  <c r="A148" i="62"/>
  <c r="B148" i="62"/>
  <c r="A147" i="62"/>
  <c r="B147" i="62"/>
  <c r="H137" i="61"/>
  <c r="J137" i="61" s="1"/>
  <c r="D137" i="61" s="1"/>
  <c r="A137" i="61"/>
  <c r="B137" i="61"/>
  <c r="A136" i="61"/>
  <c r="B136" i="61"/>
  <c r="A159" i="109"/>
  <c r="B159" i="109"/>
  <c r="A158" i="109"/>
  <c r="B158" i="109"/>
  <c r="E142" i="62"/>
  <c r="F142" i="62" s="1"/>
  <c r="E141" i="62"/>
  <c r="F141" i="62" s="1"/>
  <c r="B142" i="62"/>
  <c r="A141" i="62"/>
  <c r="A142" i="62"/>
  <c r="B141" i="62"/>
  <c r="A140" i="62"/>
  <c r="B140" i="62"/>
  <c r="E133" i="61"/>
  <c r="F133" i="61" s="1"/>
  <c r="E132" i="61"/>
  <c r="F132" i="61" s="1"/>
  <c r="A132" i="61"/>
  <c r="A133" i="61"/>
  <c r="A131" i="61"/>
  <c r="B132" i="61"/>
  <c r="B133" i="61"/>
  <c r="B131" i="61"/>
  <c r="E153" i="109"/>
  <c r="F153" i="109" s="1"/>
  <c r="E152" i="109"/>
  <c r="F152" i="109" s="1"/>
  <c r="A152" i="109"/>
  <c r="A153" i="109"/>
  <c r="A151" i="109"/>
  <c r="B152" i="109"/>
  <c r="B153" i="109"/>
  <c r="B151" i="109"/>
  <c r="A123" i="62"/>
  <c r="B123" i="62"/>
  <c r="C123" i="62"/>
  <c r="E123" i="62"/>
  <c r="J123" i="62"/>
  <c r="D123" i="62" s="1"/>
  <c r="E139" i="109"/>
  <c r="A139" i="109"/>
  <c r="B139" i="109"/>
  <c r="E161" i="112" l="1"/>
  <c r="F161" i="112" s="1"/>
  <c r="F123" i="62"/>
  <c r="H114" i="61" l="1"/>
  <c r="H121" i="61"/>
  <c r="H116" i="61"/>
  <c r="F82" i="61"/>
  <c r="H81" i="61"/>
  <c r="J81" i="61" s="1"/>
  <c r="H72" i="61"/>
  <c r="J72" i="61" s="1"/>
  <c r="D72" i="61" s="1"/>
  <c r="H71" i="61"/>
  <c r="J71" i="61" s="1"/>
  <c r="D71" i="61" s="1"/>
  <c r="D75" i="61" s="1"/>
  <c r="H56" i="61"/>
  <c r="H52" i="61"/>
  <c r="H45" i="61"/>
  <c r="E29" i="61"/>
  <c r="E23" i="61"/>
  <c r="F23" i="61" s="1"/>
  <c r="E19" i="61"/>
  <c r="H120" i="62"/>
  <c r="J105" i="62"/>
  <c r="H52" i="62"/>
  <c r="H49" i="62"/>
  <c r="J49" i="62" s="1"/>
  <c r="E34" i="62"/>
  <c r="F30" i="62"/>
  <c r="E28" i="62"/>
  <c r="F28" i="62" s="1"/>
  <c r="E24" i="62"/>
  <c r="F24" i="62" s="1"/>
  <c r="J89" i="62"/>
  <c r="H86" i="62"/>
  <c r="J86" i="62" s="1"/>
  <c r="D86" i="62" s="1"/>
  <c r="D90" i="62" s="1"/>
  <c r="H88" i="62"/>
  <c r="F7" i="62"/>
  <c r="H122" i="62" s="1"/>
  <c r="H157" i="112"/>
  <c r="A133" i="112"/>
  <c r="B133" i="112"/>
  <c r="H125" i="112"/>
  <c r="H91" i="112"/>
  <c r="J91" i="112" s="1"/>
  <c r="D91" i="112" s="1"/>
  <c r="D95" i="112" s="1"/>
  <c r="F85" i="112"/>
  <c r="H57" i="112"/>
  <c r="F52" i="112"/>
  <c r="H126" i="62" l="1"/>
  <c r="H130" i="62" s="1"/>
  <c r="D81" i="61"/>
  <c r="D85" i="61" s="1"/>
  <c r="D80" i="61"/>
  <c r="D84" i="61" s="1"/>
  <c r="J87" i="62"/>
  <c r="D87" i="62" s="1"/>
  <c r="D91" i="62" s="1"/>
  <c r="J88" i="62"/>
  <c r="D88" i="62" s="1"/>
  <c r="D92" i="62" s="1"/>
  <c r="D76" i="61"/>
  <c r="D64" i="109" l="1"/>
  <c r="D84" i="109"/>
  <c r="H92" i="109"/>
  <c r="J92" i="109" s="1"/>
  <c r="D92" i="109" s="1"/>
  <c r="J89" i="109"/>
  <c r="J90" i="109"/>
  <c r="A148" i="109"/>
  <c r="H127" i="109"/>
  <c r="A130" i="109"/>
  <c r="B130" i="109"/>
  <c r="E126" i="109"/>
  <c r="H126" i="109"/>
  <c r="J126" i="109" s="1"/>
  <c r="D126" i="109" s="1"/>
  <c r="A126" i="109"/>
  <c r="B126" i="109"/>
  <c r="F6" i="109"/>
  <c r="F4" i="109"/>
  <c r="G88" i="109"/>
  <c r="D66" i="109"/>
  <c r="D62" i="109"/>
  <c r="H51" i="109"/>
  <c r="E53" i="109"/>
  <c r="J52" i="109"/>
  <c r="H53" i="109"/>
  <c r="J53" i="109" s="1"/>
  <c r="D53" i="109" s="1"/>
  <c r="A52" i="109"/>
  <c r="B52" i="109"/>
  <c r="H46" i="109"/>
  <c r="J46" i="109" s="1"/>
  <c r="D46" i="109" s="1"/>
  <c r="G38" i="109"/>
  <c r="E31" i="109"/>
  <c r="E25" i="109"/>
  <c r="E21" i="109"/>
  <c r="F5" i="109" l="1"/>
  <c r="H129" i="109"/>
  <c r="D101" i="109"/>
  <c r="D96" i="109"/>
  <c r="D88" i="109"/>
  <c r="F25" i="109"/>
  <c r="H130" i="109"/>
  <c r="J130" i="109" s="1"/>
  <c r="D130" i="109" s="1"/>
  <c r="F53" i="109"/>
  <c r="F7" i="109"/>
  <c r="H91" i="109" s="1"/>
  <c r="F126" i="109"/>
  <c r="E36" i="112"/>
  <c r="E26" i="112"/>
  <c r="J91" i="109" l="1"/>
  <c r="D91" i="109" s="1"/>
  <c r="H93" i="109"/>
  <c r="J93" i="109" s="1"/>
  <c r="D93" i="109" s="1"/>
  <c r="H159" i="109"/>
  <c r="J159" i="109" s="1"/>
  <c r="D159" i="109" s="1"/>
  <c r="H70" i="109"/>
  <c r="D104" i="109"/>
  <c r="G70" i="109"/>
  <c r="H87" i="109"/>
  <c r="D97" i="109" l="1"/>
  <c r="D95" i="109"/>
  <c r="H79" i="109"/>
  <c r="G83" i="109"/>
  <c r="D83" i="109" s="1"/>
  <c r="D100" i="109" l="1"/>
  <c r="D103" i="109" s="1"/>
  <c r="D87" i="109"/>
  <c r="H83" i="125" l="1"/>
  <c r="H75" i="125"/>
  <c r="H187" i="125"/>
  <c r="H186" i="125"/>
  <c r="H132" i="125" l="1"/>
  <c r="G87" i="125" l="1"/>
  <c r="H60" i="125"/>
  <c r="H55" i="125"/>
  <c r="H58" i="125"/>
  <c r="K13" i="125"/>
  <c r="E77" i="204" l="1"/>
  <c r="F77" i="204" s="1"/>
  <c r="F78" i="204" s="1"/>
  <c r="D133" i="88" l="1"/>
  <c r="J133" i="88"/>
  <c r="E133" i="88"/>
  <c r="A133" i="88"/>
  <c r="B133" i="88"/>
  <c r="G4" i="123"/>
  <c r="F133" i="88" l="1"/>
  <c r="F8" i="88"/>
  <c r="F3" i="88"/>
  <c r="F11" i="186" l="1"/>
  <c r="G11" i="186" s="1"/>
  <c r="J143" i="193" l="1"/>
  <c r="J142" i="193"/>
  <c r="B22" i="193"/>
  <c r="D147" i="193"/>
  <c r="F29" i="193"/>
  <c r="I77" i="193"/>
  <c r="D166" i="193"/>
  <c r="I162" i="193"/>
  <c r="I164" i="193"/>
  <c r="D159" i="193"/>
  <c r="I156" i="193"/>
  <c r="D116" i="193"/>
  <c r="D122" i="193"/>
  <c r="D124" i="193"/>
  <c r="I139" i="193"/>
  <c r="I138" i="193"/>
  <c r="D130" i="193"/>
  <c r="H128" i="193"/>
  <c r="I127" i="193"/>
  <c r="I126" i="193"/>
  <c r="P104" i="193"/>
  <c r="Q107" i="193"/>
  <c r="Q106" i="193"/>
  <c r="Q103" i="193"/>
  <c r="N103" i="193"/>
  <c r="J103" i="193"/>
  <c r="H140" i="193"/>
  <c r="J140" i="193" s="1"/>
  <c r="D140" i="193" s="1"/>
  <c r="L103" i="193" s="1"/>
  <c r="P103" i="193" s="1"/>
  <c r="C140" i="193"/>
  <c r="A140" i="193"/>
  <c r="K104" i="193" l="1"/>
  <c r="H94" i="193"/>
  <c r="J94" i="193" s="1"/>
  <c r="D94" i="193" s="1"/>
  <c r="D40" i="193"/>
  <c r="H49" i="193"/>
  <c r="F7" i="193"/>
  <c r="H132" i="193" s="1"/>
  <c r="J132" i="193" s="1"/>
  <c r="D132" i="193" s="1"/>
  <c r="F6" i="193"/>
  <c r="F15" i="193"/>
  <c r="H96" i="193" s="1"/>
  <c r="J96" i="193" s="1"/>
  <c r="D96" i="193" s="1"/>
  <c r="F9" i="193"/>
  <c r="H141" i="193" s="1"/>
  <c r="J141" i="193" s="1"/>
  <c r="I62" i="193"/>
  <c r="I55" i="193"/>
  <c r="I64" i="193"/>
  <c r="I60" i="193"/>
  <c r="I58" i="193"/>
  <c r="E195" i="193"/>
  <c r="J176" i="193"/>
  <c r="E166" i="193"/>
  <c r="F166" i="193" s="1"/>
  <c r="C166" i="193"/>
  <c r="K165" i="193"/>
  <c r="B165" i="193"/>
  <c r="A165" i="193"/>
  <c r="H164" i="193"/>
  <c r="E164" i="193"/>
  <c r="C164" i="193"/>
  <c r="B163" i="193"/>
  <c r="A163" i="193"/>
  <c r="H162" i="193"/>
  <c r="J162" i="193" s="1"/>
  <c r="D162" i="193" s="1"/>
  <c r="E162" i="193"/>
  <c r="C162" i="193"/>
  <c r="B161" i="193"/>
  <c r="A161" i="193"/>
  <c r="E160" i="193"/>
  <c r="D160" i="193"/>
  <c r="C160" i="193"/>
  <c r="B160" i="193"/>
  <c r="A160" i="193"/>
  <c r="E159" i="193"/>
  <c r="C159" i="193"/>
  <c r="B159" i="193"/>
  <c r="A159" i="193"/>
  <c r="B158" i="193"/>
  <c r="A158" i="193"/>
  <c r="H157" i="193"/>
  <c r="J157" i="193" s="1"/>
  <c r="D157" i="193" s="1"/>
  <c r="E157" i="193"/>
  <c r="C157" i="193"/>
  <c r="B157" i="193"/>
  <c r="A157" i="193"/>
  <c r="H156" i="193"/>
  <c r="J156" i="193" s="1"/>
  <c r="D156" i="193" s="1"/>
  <c r="E156" i="193"/>
  <c r="C156" i="193"/>
  <c r="B156" i="193"/>
  <c r="A156" i="193"/>
  <c r="B155" i="193"/>
  <c r="A155" i="193"/>
  <c r="A154" i="193"/>
  <c r="D151" i="193"/>
  <c r="C151" i="193"/>
  <c r="B151" i="193"/>
  <c r="A151" i="193"/>
  <c r="E150" i="193"/>
  <c r="C150" i="193"/>
  <c r="B150" i="193"/>
  <c r="A150" i="193"/>
  <c r="L149" i="193"/>
  <c r="C149" i="193"/>
  <c r="B149" i="193"/>
  <c r="A149" i="193"/>
  <c r="K148" i="193"/>
  <c r="B148" i="193"/>
  <c r="A148" i="193"/>
  <c r="J147" i="193"/>
  <c r="E147" i="193"/>
  <c r="F147" i="193" s="1"/>
  <c r="C147" i="193"/>
  <c r="B146" i="193"/>
  <c r="A146" i="193"/>
  <c r="E145" i="193"/>
  <c r="C145" i="193"/>
  <c r="B145" i="193"/>
  <c r="A145" i="193"/>
  <c r="B144" i="193"/>
  <c r="A144" i="193"/>
  <c r="C143" i="193"/>
  <c r="B143" i="193"/>
  <c r="A143" i="193"/>
  <c r="C142" i="193"/>
  <c r="B142" i="193"/>
  <c r="A142" i="193"/>
  <c r="C141" i="193"/>
  <c r="B141" i="193"/>
  <c r="A141" i="193"/>
  <c r="H139" i="193"/>
  <c r="J139" i="193" s="1"/>
  <c r="D139" i="193" s="1"/>
  <c r="E139" i="193"/>
  <c r="C139" i="193"/>
  <c r="B139" i="193"/>
  <c r="A139" i="193"/>
  <c r="H138" i="193"/>
  <c r="C138" i="193"/>
  <c r="B138" i="193"/>
  <c r="A138" i="193"/>
  <c r="B137" i="193"/>
  <c r="A137" i="193"/>
  <c r="H136" i="193"/>
  <c r="J136" i="193" s="1"/>
  <c r="D136" i="193" s="1"/>
  <c r="E136" i="193"/>
  <c r="C136" i="193"/>
  <c r="B136" i="193"/>
  <c r="A136" i="193"/>
  <c r="E135" i="193"/>
  <c r="C135" i="193"/>
  <c r="B135" i="193"/>
  <c r="A135" i="193"/>
  <c r="E134" i="193"/>
  <c r="C134" i="193"/>
  <c r="B134" i="193"/>
  <c r="A134" i="193"/>
  <c r="E133" i="193"/>
  <c r="C133" i="193"/>
  <c r="B133" i="193"/>
  <c r="A133" i="193"/>
  <c r="E132" i="193"/>
  <c r="C132" i="193"/>
  <c r="B132" i="193"/>
  <c r="A132" i="193"/>
  <c r="B131" i="193"/>
  <c r="A131" i="193"/>
  <c r="L130" i="193"/>
  <c r="E130" i="193"/>
  <c r="F130" i="193" s="1"/>
  <c r="C130" i="193"/>
  <c r="B130" i="193"/>
  <c r="A130" i="193"/>
  <c r="L129" i="193"/>
  <c r="B129" i="193"/>
  <c r="A129" i="193"/>
  <c r="E128" i="193"/>
  <c r="D128" i="193"/>
  <c r="C128" i="193"/>
  <c r="B128" i="193"/>
  <c r="A128" i="193"/>
  <c r="C127" i="193"/>
  <c r="B127" i="193"/>
  <c r="A127" i="193"/>
  <c r="E126" i="193"/>
  <c r="C126" i="193"/>
  <c r="B126" i="193"/>
  <c r="A126" i="193"/>
  <c r="B125" i="193"/>
  <c r="A125" i="193"/>
  <c r="E124" i="193"/>
  <c r="C124" i="193"/>
  <c r="B123" i="193"/>
  <c r="A123" i="193"/>
  <c r="N122" i="193"/>
  <c r="E122" i="193"/>
  <c r="C122" i="193"/>
  <c r="L121" i="193"/>
  <c r="L122" i="193" s="1"/>
  <c r="B121" i="193"/>
  <c r="A121" i="193"/>
  <c r="E120" i="193"/>
  <c r="C120" i="193"/>
  <c r="B120" i="193"/>
  <c r="A120" i="193"/>
  <c r="B119" i="193"/>
  <c r="A119" i="193"/>
  <c r="K118" i="193"/>
  <c r="J118" i="193"/>
  <c r="K119" i="193" s="1"/>
  <c r="E118" i="193"/>
  <c r="D118" i="193"/>
  <c r="C118" i="193"/>
  <c r="B117" i="193"/>
  <c r="A117" i="193"/>
  <c r="E116" i="193"/>
  <c r="C116" i="193"/>
  <c r="B115" i="193"/>
  <c r="A115" i="193"/>
  <c r="L114" i="193"/>
  <c r="E114" i="193"/>
  <c r="C114" i="193"/>
  <c r="L113" i="193"/>
  <c r="B113" i="193"/>
  <c r="A113" i="193"/>
  <c r="L112" i="193"/>
  <c r="K112" i="193"/>
  <c r="E112" i="193"/>
  <c r="C112" i="193"/>
  <c r="B111" i="193"/>
  <c r="A111" i="193"/>
  <c r="L110" i="193"/>
  <c r="A110" i="193"/>
  <c r="L109" i="193"/>
  <c r="O107" i="193"/>
  <c r="N107" i="193"/>
  <c r="J107" i="193"/>
  <c r="C107" i="193"/>
  <c r="B107" i="193"/>
  <c r="A107" i="193"/>
  <c r="O106" i="193"/>
  <c r="N106" i="193"/>
  <c r="J106" i="193"/>
  <c r="C106" i="193"/>
  <c r="B106" i="193"/>
  <c r="A106" i="193"/>
  <c r="O105" i="193"/>
  <c r="N105" i="193"/>
  <c r="J105" i="193"/>
  <c r="B105" i="193"/>
  <c r="A105" i="193"/>
  <c r="J104" i="193"/>
  <c r="C104" i="193"/>
  <c r="B104" i="193"/>
  <c r="A104" i="193"/>
  <c r="M103" i="193"/>
  <c r="C103" i="193"/>
  <c r="B103" i="193"/>
  <c r="A103" i="193"/>
  <c r="B102" i="193"/>
  <c r="A102" i="193"/>
  <c r="B101" i="193"/>
  <c r="A101" i="193"/>
  <c r="C100" i="193"/>
  <c r="B100" i="193"/>
  <c r="A100" i="193"/>
  <c r="E99" i="193"/>
  <c r="C99" i="193"/>
  <c r="B99" i="193"/>
  <c r="A99" i="193"/>
  <c r="E98" i="193"/>
  <c r="C98" i="193"/>
  <c r="B98" i="193"/>
  <c r="A98" i="193"/>
  <c r="B97" i="193"/>
  <c r="A97" i="193"/>
  <c r="J93" i="193"/>
  <c r="J92" i="193"/>
  <c r="B92" i="193"/>
  <c r="A92" i="193"/>
  <c r="J91" i="193"/>
  <c r="E91" i="193"/>
  <c r="C91" i="193"/>
  <c r="B91" i="193"/>
  <c r="A91" i="193"/>
  <c r="J90" i="193"/>
  <c r="E90" i="193"/>
  <c r="C90" i="193"/>
  <c r="B90" i="193"/>
  <c r="A90" i="193"/>
  <c r="J89" i="193"/>
  <c r="B89" i="193"/>
  <c r="A89" i="193"/>
  <c r="B85" i="193"/>
  <c r="A85" i="193"/>
  <c r="E84" i="193"/>
  <c r="C84" i="193"/>
  <c r="B83" i="193"/>
  <c r="A83" i="193"/>
  <c r="E82" i="193"/>
  <c r="C82" i="193"/>
  <c r="B82" i="193"/>
  <c r="A82" i="193"/>
  <c r="B81" i="193"/>
  <c r="A81" i="193"/>
  <c r="A80" i="193"/>
  <c r="E77" i="193"/>
  <c r="C77" i="193"/>
  <c r="B76" i="193"/>
  <c r="A76" i="193"/>
  <c r="E75" i="193"/>
  <c r="C75" i="193"/>
  <c r="B74" i="193"/>
  <c r="A74" i="193"/>
  <c r="E73" i="193"/>
  <c r="C73" i="193"/>
  <c r="B72" i="193"/>
  <c r="A72" i="193"/>
  <c r="H71" i="193"/>
  <c r="J71" i="193" s="1"/>
  <c r="E71" i="193"/>
  <c r="C71" i="193"/>
  <c r="B71" i="193"/>
  <c r="A71" i="193"/>
  <c r="B70" i="193"/>
  <c r="A70" i="193"/>
  <c r="A69" i="193"/>
  <c r="H66" i="193"/>
  <c r="J66" i="193" s="1"/>
  <c r="D66" i="193" s="1"/>
  <c r="E66" i="193"/>
  <c r="C66" i="193"/>
  <c r="B65" i="193"/>
  <c r="A65" i="193"/>
  <c r="H64" i="193"/>
  <c r="J64" i="193" s="1"/>
  <c r="D64" i="193" s="1"/>
  <c r="E64" i="193"/>
  <c r="C64" i="193"/>
  <c r="B63" i="193"/>
  <c r="A63" i="193"/>
  <c r="H62" i="193"/>
  <c r="H127" i="193" s="1"/>
  <c r="J127" i="193" s="1"/>
  <c r="D127" i="193" s="1"/>
  <c r="E62" i="193"/>
  <c r="C62" i="193"/>
  <c r="B62" i="193"/>
  <c r="A62" i="193"/>
  <c r="B61" i="193"/>
  <c r="A61" i="193"/>
  <c r="H60" i="193"/>
  <c r="J60" i="193" s="1"/>
  <c r="D60" i="193" s="1"/>
  <c r="E60" i="193"/>
  <c r="C60" i="193"/>
  <c r="H59" i="193"/>
  <c r="B59" i="193"/>
  <c r="A59" i="193"/>
  <c r="H58" i="193"/>
  <c r="E58" i="193"/>
  <c r="C58" i="193"/>
  <c r="B57" i="193"/>
  <c r="A57" i="193"/>
  <c r="I56" i="193"/>
  <c r="F56" i="193"/>
  <c r="C56" i="193"/>
  <c r="B56" i="193"/>
  <c r="A56" i="193"/>
  <c r="H55" i="193"/>
  <c r="J55" i="193" s="1"/>
  <c r="D55" i="193" s="1"/>
  <c r="E55" i="193"/>
  <c r="C55" i="193"/>
  <c r="B55" i="193"/>
  <c r="A55" i="193"/>
  <c r="I54" i="193"/>
  <c r="H54" i="193"/>
  <c r="H56" i="193" s="1"/>
  <c r="E54" i="193"/>
  <c r="F54" i="193" s="1"/>
  <c r="C54" i="193"/>
  <c r="B54" i="193"/>
  <c r="A54" i="193"/>
  <c r="I53" i="193"/>
  <c r="J53" i="193" s="1"/>
  <c r="E53" i="193"/>
  <c r="F53" i="193" s="1"/>
  <c r="C53" i="193"/>
  <c r="B53" i="193"/>
  <c r="A53" i="193"/>
  <c r="B52" i="193"/>
  <c r="A52" i="193"/>
  <c r="J51" i="193"/>
  <c r="D51" i="193" s="1"/>
  <c r="E51" i="193"/>
  <c r="C51" i="193"/>
  <c r="B50" i="193"/>
  <c r="A50" i="193"/>
  <c r="E49" i="193"/>
  <c r="C49" i="193"/>
  <c r="B49" i="193"/>
  <c r="A49" i="193"/>
  <c r="B48" i="193"/>
  <c r="A48" i="193"/>
  <c r="E47" i="193"/>
  <c r="F47" i="193" s="1"/>
  <c r="C47" i="193"/>
  <c r="B46" i="193"/>
  <c r="A46" i="193"/>
  <c r="A45" i="193"/>
  <c r="E40" i="193"/>
  <c r="C40" i="193"/>
  <c r="B39" i="193"/>
  <c r="A39" i="193"/>
  <c r="J38" i="193"/>
  <c r="C38" i="193"/>
  <c r="B37" i="193"/>
  <c r="A37" i="193"/>
  <c r="C36" i="193"/>
  <c r="B35" i="193"/>
  <c r="A35" i="193"/>
  <c r="G34" i="193"/>
  <c r="C34" i="193"/>
  <c r="B33" i="193"/>
  <c r="A33" i="193"/>
  <c r="C32" i="193"/>
  <c r="B31" i="193"/>
  <c r="A31" i="193"/>
  <c r="G30" i="193"/>
  <c r="C30" i="193"/>
  <c r="N29" i="193"/>
  <c r="B29" i="193"/>
  <c r="A29" i="193"/>
  <c r="A28" i="193"/>
  <c r="C25" i="193"/>
  <c r="B24" i="193"/>
  <c r="A24" i="193"/>
  <c r="C21" i="193"/>
  <c r="J20" i="193"/>
  <c r="B20" i="193"/>
  <c r="A20" i="193"/>
  <c r="A19" i="193"/>
  <c r="I17" i="193"/>
  <c r="J17" i="193" s="1"/>
  <c r="H17" i="193"/>
  <c r="I16" i="193"/>
  <c r="J16" i="193" s="1"/>
  <c r="H16" i="193"/>
  <c r="J15" i="193"/>
  <c r="H15" i="193"/>
  <c r="J14" i="193"/>
  <c r="H14" i="193"/>
  <c r="J13" i="193"/>
  <c r="H13" i="193"/>
  <c r="I12" i="193"/>
  <c r="F12" i="193"/>
  <c r="H145" i="193" s="1"/>
  <c r="J145" i="193" s="1"/>
  <c r="D145" i="193" s="1"/>
  <c r="K8" i="193"/>
  <c r="H133" i="193"/>
  <c r="J133" i="193" s="1"/>
  <c r="D133" i="193" s="1"/>
  <c r="F5" i="193"/>
  <c r="H134" i="193" s="1"/>
  <c r="J134" i="193" s="1"/>
  <c r="D134" i="193" s="1"/>
  <c r="F4" i="193"/>
  <c r="H135" i="193" s="1"/>
  <c r="J135" i="193" s="1"/>
  <c r="D135" i="193" s="1"/>
  <c r="A1" i="193"/>
  <c r="H18" i="193" l="1"/>
  <c r="H19" i="193" s="1"/>
  <c r="J56" i="193"/>
  <c r="H26" i="193"/>
  <c r="H95" i="193"/>
  <c r="J95" i="193" s="1"/>
  <c r="D95" i="193" s="1"/>
  <c r="J49" i="193"/>
  <c r="D49" i="193" s="1"/>
  <c r="H87" i="193"/>
  <c r="J87" i="193" s="1"/>
  <c r="F145" i="193"/>
  <c r="F64" i="193"/>
  <c r="F133" i="193"/>
  <c r="F134" i="193"/>
  <c r="F40" i="193"/>
  <c r="F41" i="193" s="1"/>
  <c r="F135" i="193"/>
  <c r="F66" i="193"/>
  <c r="F118" i="193"/>
  <c r="F128" i="193"/>
  <c r="F156" i="193"/>
  <c r="F160" i="193"/>
  <c r="D141" i="193"/>
  <c r="F60" i="193"/>
  <c r="F162" i="193"/>
  <c r="F116" i="193"/>
  <c r="F122" i="193"/>
  <c r="F136" i="193"/>
  <c r="F139" i="193"/>
  <c r="F159" i="193"/>
  <c r="L102" i="193"/>
  <c r="M102" i="193" s="1"/>
  <c r="J72" i="193"/>
  <c r="D71" i="193"/>
  <c r="D73" i="193" s="1"/>
  <c r="F73" i="193" s="1"/>
  <c r="H75" i="193"/>
  <c r="J75" i="193" s="1"/>
  <c r="K75" i="193" s="1"/>
  <c r="D75" i="193" s="1"/>
  <c r="F75" i="193" s="1"/>
  <c r="F49" i="193"/>
  <c r="F55" i="193"/>
  <c r="D99" i="193"/>
  <c r="F99" i="193" s="1"/>
  <c r="F157" i="193"/>
  <c r="F51" i="193"/>
  <c r="J62" i="193"/>
  <c r="D100" i="193"/>
  <c r="H150" i="193"/>
  <c r="J150" i="193" s="1"/>
  <c r="D150" i="193" s="1"/>
  <c r="F150" i="193" s="1"/>
  <c r="D98" i="193"/>
  <c r="F98" i="193" s="1"/>
  <c r="D120" i="193"/>
  <c r="F120" i="193" s="1"/>
  <c r="F124" i="193"/>
  <c r="J18" i="193"/>
  <c r="J19" i="193" s="1"/>
  <c r="H88" i="193" s="1"/>
  <c r="J88" i="193" s="1"/>
  <c r="D88" i="193" s="1"/>
  <c r="J54" i="193"/>
  <c r="J58" i="193"/>
  <c r="D58" i="193" s="1"/>
  <c r="F58" i="193" s="1"/>
  <c r="L105" i="193"/>
  <c r="P105" i="193" s="1"/>
  <c r="F132" i="193"/>
  <c r="J138" i="193"/>
  <c r="J164" i="193"/>
  <c r="D164" i="193" s="1"/>
  <c r="F164" i="193" s="1"/>
  <c r="H77" i="193"/>
  <c r="J77" i="193" s="1"/>
  <c r="D77" i="193" s="1"/>
  <c r="F77" i="193" s="1"/>
  <c r="H80" i="193" l="1"/>
  <c r="H84" i="193" s="1"/>
  <c r="J84" i="193" s="1"/>
  <c r="D84" i="193" s="1"/>
  <c r="F84" i="193" s="1"/>
  <c r="D87" i="193"/>
  <c r="F71" i="193"/>
  <c r="F78" i="193" s="1"/>
  <c r="F167" i="193"/>
  <c r="D104" i="193"/>
  <c r="D91" i="193"/>
  <c r="F91" i="193" s="1"/>
  <c r="D142" i="193"/>
  <c r="D143" i="193"/>
  <c r="D138" i="193"/>
  <c r="D90" i="193"/>
  <c r="F90" i="193" s="1"/>
  <c r="D103" i="193"/>
  <c r="M105" i="193"/>
  <c r="H126" i="193"/>
  <c r="J126" i="193" s="1"/>
  <c r="D126" i="193" s="1"/>
  <c r="F126" i="193" s="1"/>
  <c r="D62" i="193"/>
  <c r="F62" i="193" s="1"/>
  <c r="F67" i="193" s="1"/>
  <c r="H82" i="193"/>
  <c r="J82" i="193" s="1"/>
  <c r="D82" i="193" s="1"/>
  <c r="F82" i="193" s="1"/>
  <c r="J80" i="193" l="1"/>
  <c r="B12" i="194"/>
  <c r="H149" i="193"/>
  <c r="J149" i="193" s="1"/>
  <c r="D149" i="193" s="1"/>
  <c r="L107" i="193"/>
  <c r="L106" i="193"/>
  <c r="M104" i="193"/>
  <c r="D107" i="193"/>
  <c r="D106" i="193"/>
  <c r="P107" i="193" l="1"/>
  <c r="M107" i="193"/>
  <c r="M106" i="193"/>
  <c r="P106" i="193"/>
  <c r="M108" i="193" l="1"/>
  <c r="H112" i="193" s="1"/>
  <c r="J112" i="193" s="1"/>
  <c r="D112" i="193" s="1"/>
  <c r="F112" i="193" s="1"/>
  <c r="P108" i="193"/>
  <c r="H114" i="193" s="1"/>
  <c r="J114" i="193" s="1"/>
  <c r="D114" i="193" s="1"/>
  <c r="F114" i="193" s="1"/>
  <c r="C38" i="88" l="1"/>
  <c r="C36" i="88"/>
  <c r="C34" i="88"/>
  <c r="C32" i="88"/>
  <c r="C30" i="88"/>
  <c r="C28" i="88"/>
  <c r="C162" i="169"/>
  <c r="C160" i="169"/>
  <c r="C158" i="169"/>
  <c r="C156" i="169"/>
  <c r="C155" i="169"/>
  <c r="C153" i="169"/>
  <c r="C152" i="169"/>
  <c r="C147" i="169"/>
  <c r="C146" i="169"/>
  <c r="C145" i="169"/>
  <c r="C143" i="169"/>
  <c r="C141" i="169"/>
  <c r="C139" i="169"/>
  <c r="C138" i="169"/>
  <c r="C137" i="169"/>
  <c r="C136" i="169"/>
  <c r="C134" i="169"/>
  <c r="C133" i="169"/>
  <c r="C132" i="169"/>
  <c r="C131" i="169"/>
  <c r="C130" i="169"/>
  <c r="C128" i="169"/>
  <c r="C125" i="169"/>
  <c r="C126" i="169"/>
  <c r="C124" i="169"/>
  <c r="C122" i="169"/>
  <c r="C120" i="169"/>
  <c r="C118" i="169"/>
  <c r="C116" i="169"/>
  <c r="C114" i="169"/>
  <c r="C112" i="169"/>
  <c r="C110" i="169"/>
  <c r="C105" i="169"/>
  <c r="C104" i="169"/>
  <c r="C102" i="169"/>
  <c r="C101" i="169"/>
  <c r="C98" i="169"/>
  <c r="C97" i="169"/>
  <c r="C96" i="169"/>
  <c r="C89" i="169"/>
  <c r="C88" i="169"/>
  <c r="C82" i="169"/>
  <c r="C80" i="169"/>
  <c r="C75" i="169"/>
  <c r="C73" i="169"/>
  <c r="C71" i="169"/>
  <c r="C69" i="169"/>
  <c r="C64" i="169"/>
  <c r="C62" i="169"/>
  <c r="C60" i="169"/>
  <c r="C58" i="169"/>
  <c r="C56" i="169"/>
  <c r="C54" i="169"/>
  <c r="C53" i="169"/>
  <c r="C52" i="169"/>
  <c r="C51" i="169"/>
  <c r="C49" i="169"/>
  <c r="C47" i="169"/>
  <c r="C45" i="169"/>
  <c r="C38" i="169"/>
  <c r="C36" i="169"/>
  <c r="C34" i="169"/>
  <c r="C32" i="169"/>
  <c r="C30" i="169"/>
  <c r="C28" i="169"/>
  <c r="C23" i="169"/>
  <c r="C21" i="169"/>
  <c r="A19" i="169"/>
  <c r="C137" i="185"/>
  <c r="A137" i="185"/>
  <c r="C163" i="185"/>
  <c r="C161" i="185"/>
  <c r="C159" i="185"/>
  <c r="C157" i="185"/>
  <c r="C156" i="185"/>
  <c r="C154" i="185"/>
  <c r="C153" i="185"/>
  <c r="C148" i="185"/>
  <c r="C147" i="185"/>
  <c r="C146" i="185"/>
  <c r="C144" i="185"/>
  <c r="C142" i="185"/>
  <c r="C140" i="185"/>
  <c r="C139" i="185"/>
  <c r="C138" i="185"/>
  <c r="C136" i="185"/>
  <c r="C134" i="185"/>
  <c r="C133" i="185"/>
  <c r="C132" i="185"/>
  <c r="C131" i="185"/>
  <c r="C130" i="185"/>
  <c r="C128" i="185"/>
  <c r="C126" i="185"/>
  <c r="C125" i="185"/>
  <c r="C124" i="185"/>
  <c r="C122" i="185"/>
  <c r="C120" i="185"/>
  <c r="C118" i="185"/>
  <c r="C116" i="185"/>
  <c r="C114" i="185"/>
  <c r="C112" i="185"/>
  <c r="C110" i="185"/>
  <c r="C105" i="185"/>
  <c r="C104" i="185"/>
  <c r="C102" i="185"/>
  <c r="C101" i="185"/>
  <c r="C98" i="185"/>
  <c r="C97" i="185"/>
  <c r="C96" i="185"/>
  <c r="C89" i="185"/>
  <c r="C88" i="185"/>
  <c r="C82" i="185"/>
  <c r="C80" i="185"/>
  <c r="C75" i="185"/>
  <c r="C73" i="185"/>
  <c r="C71" i="185"/>
  <c r="C69" i="185"/>
  <c r="C64" i="185"/>
  <c r="C62" i="185"/>
  <c r="C60" i="185"/>
  <c r="C58" i="185"/>
  <c r="C56" i="185"/>
  <c r="C54" i="185"/>
  <c r="C53" i="185"/>
  <c r="C52" i="185"/>
  <c r="C51" i="185"/>
  <c r="C49" i="185"/>
  <c r="C47" i="185"/>
  <c r="C45" i="185"/>
  <c r="C38" i="185"/>
  <c r="C36" i="185"/>
  <c r="C34" i="185"/>
  <c r="C32" i="185"/>
  <c r="C30" i="185"/>
  <c r="C28" i="185"/>
  <c r="C23" i="185"/>
  <c r="C21" i="185"/>
  <c r="A68" i="185"/>
  <c r="A110" i="125" l="1"/>
  <c r="C24" i="125"/>
  <c r="C28" i="80" l="1"/>
  <c r="C26" i="80"/>
  <c r="C24" i="80"/>
  <c r="C22" i="80"/>
  <c r="C20" i="80"/>
  <c r="C18" i="80"/>
  <c r="C13" i="80"/>
  <c r="C11" i="80"/>
  <c r="E152" i="112" l="1"/>
  <c r="C159" i="112"/>
  <c r="C157" i="112"/>
  <c r="C155" i="112"/>
  <c r="C154" i="112"/>
  <c r="C152" i="112"/>
  <c r="A149" i="112"/>
  <c r="A150" i="112"/>
  <c r="B150" i="112"/>
  <c r="C150" i="112"/>
  <c r="C148" i="112"/>
  <c r="C147" i="112"/>
  <c r="A146" i="112"/>
  <c r="A147" i="112"/>
  <c r="A148" i="112"/>
  <c r="A151" i="112"/>
  <c r="A152" i="112"/>
  <c r="A153" i="112"/>
  <c r="A154" i="112"/>
  <c r="A155" i="112"/>
  <c r="A156" i="112"/>
  <c r="A158" i="112"/>
  <c r="B158" i="112"/>
  <c r="B156" i="112"/>
  <c r="B155" i="112"/>
  <c r="B154" i="112"/>
  <c r="B153" i="112"/>
  <c r="B152" i="112"/>
  <c r="B151" i="112"/>
  <c r="B149" i="112"/>
  <c r="B148" i="112"/>
  <c r="B147" i="112"/>
  <c r="B146" i="112"/>
  <c r="A145" i="112"/>
  <c r="C142" i="112"/>
  <c r="C140" i="112"/>
  <c r="C138" i="112"/>
  <c r="C137" i="112"/>
  <c r="C135" i="112"/>
  <c r="C133" i="112"/>
  <c r="C132" i="112"/>
  <c r="C129" i="112"/>
  <c r="C128" i="112"/>
  <c r="C127" i="112"/>
  <c r="C125" i="112"/>
  <c r="C124" i="112"/>
  <c r="C123" i="112"/>
  <c r="C121" i="112"/>
  <c r="C119" i="112"/>
  <c r="C117" i="112"/>
  <c r="C115" i="112"/>
  <c r="C113" i="112"/>
  <c r="C111" i="112"/>
  <c r="C109" i="112"/>
  <c r="A108" i="112"/>
  <c r="A110" i="112"/>
  <c r="A112" i="112"/>
  <c r="A114" i="112"/>
  <c r="A116" i="112"/>
  <c r="A117" i="112"/>
  <c r="A118" i="112"/>
  <c r="A120" i="112"/>
  <c r="A122" i="112"/>
  <c r="A123" i="112"/>
  <c r="A124" i="112"/>
  <c r="A125" i="112"/>
  <c r="A126" i="112"/>
  <c r="A127" i="112"/>
  <c r="A128" i="112"/>
  <c r="A129" i="112"/>
  <c r="A130" i="112"/>
  <c r="A132" i="112"/>
  <c r="A134" i="112"/>
  <c r="A136" i="112"/>
  <c r="A137" i="112"/>
  <c r="A138" i="112"/>
  <c r="A139" i="112"/>
  <c r="A140" i="112"/>
  <c r="A141" i="112"/>
  <c r="A142" i="112"/>
  <c r="B142" i="112"/>
  <c r="B141" i="112"/>
  <c r="B140" i="112"/>
  <c r="B139" i="112"/>
  <c r="B138" i="112"/>
  <c r="B137" i="112"/>
  <c r="B136" i="112"/>
  <c r="B134" i="112"/>
  <c r="B132" i="112"/>
  <c r="B130" i="112"/>
  <c r="B129" i="112"/>
  <c r="B128" i="112"/>
  <c r="B127" i="112"/>
  <c r="B126" i="112"/>
  <c r="B125" i="112"/>
  <c r="B124" i="112"/>
  <c r="B123" i="112"/>
  <c r="B122" i="112"/>
  <c r="B120" i="112"/>
  <c r="B118" i="112"/>
  <c r="B117" i="112"/>
  <c r="B116" i="112"/>
  <c r="B114" i="112"/>
  <c r="B112" i="112"/>
  <c r="B110" i="112"/>
  <c r="B108" i="112"/>
  <c r="A107" i="112"/>
  <c r="C79" i="112"/>
  <c r="C77" i="112"/>
  <c r="C75" i="112"/>
  <c r="A72" i="112"/>
  <c r="A73" i="112"/>
  <c r="A74" i="112"/>
  <c r="A76" i="112"/>
  <c r="A78" i="112"/>
  <c r="A80" i="112"/>
  <c r="E96" i="112"/>
  <c r="E95" i="112"/>
  <c r="E88" i="112"/>
  <c r="E87" i="112"/>
  <c r="E86" i="112"/>
  <c r="F86" i="112" s="1"/>
  <c r="C104" i="112"/>
  <c r="C103" i="112"/>
  <c r="C101" i="112"/>
  <c r="C100" i="112"/>
  <c r="C97" i="112"/>
  <c r="C96" i="112"/>
  <c r="C95" i="112"/>
  <c r="C88" i="112"/>
  <c r="C87" i="112"/>
  <c r="C86" i="112"/>
  <c r="A98" i="112"/>
  <c r="A99" i="112"/>
  <c r="A100" i="112"/>
  <c r="A101" i="112"/>
  <c r="A102" i="112"/>
  <c r="A103" i="112"/>
  <c r="A104" i="112"/>
  <c r="B99" i="112"/>
  <c r="B100" i="112"/>
  <c r="B101" i="112"/>
  <c r="B102" i="112"/>
  <c r="B103" i="112"/>
  <c r="B104" i="112"/>
  <c r="B98" i="112"/>
  <c r="A89" i="112"/>
  <c r="A94" i="112"/>
  <c r="A95" i="112"/>
  <c r="A96" i="112"/>
  <c r="A97" i="112"/>
  <c r="B97" i="112"/>
  <c r="B96" i="112"/>
  <c r="B95" i="112"/>
  <c r="B94" i="112"/>
  <c r="B89" i="112"/>
  <c r="A85" i="112"/>
  <c r="A86" i="112"/>
  <c r="A87" i="112"/>
  <c r="A88" i="112"/>
  <c r="B85" i="112"/>
  <c r="B86" i="112"/>
  <c r="B87" i="112"/>
  <c r="B88" i="112"/>
  <c r="B80" i="112"/>
  <c r="B78" i="112"/>
  <c r="B76" i="112"/>
  <c r="B74" i="112"/>
  <c r="C73" i="112"/>
  <c r="B73" i="112"/>
  <c r="B72" i="112"/>
  <c r="A71" i="112"/>
  <c r="A61" i="112"/>
  <c r="A62" i="112"/>
  <c r="A63" i="112"/>
  <c r="A65" i="112"/>
  <c r="A67" i="112"/>
  <c r="E68" i="112"/>
  <c r="C68" i="112"/>
  <c r="C66" i="112"/>
  <c r="C64" i="112"/>
  <c r="C62" i="112"/>
  <c r="B67" i="112"/>
  <c r="B65" i="112"/>
  <c r="B63" i="112"/>
  <c r="B62" i="112"/>
  <c r="B61" i="112"/>
  <c r="A60" i="112"/>
  <c r="C57" i="112"/>
  <c r="C56" i="112"/>
  <c r="C54" i="112"/>
  <c r="C52" i="112"/>
  <c r="C51" i="112"/>
  <c r="C50" i="112"/>
  <c r="C49" i="112"/>
  <c r="C47" i="112"/>
  <c r="C45" i="112"/>
  <c r="C43" i="112"/>
  <c r="A42" i="112"/>
  <c r="A44" i="112"/>
  <c r="A45" i="112"/>
  <c r="A46" i="112"/>
  <c r="A48" i="112"/>
  <c r="A49" i="112"/>
  <c r="A50" i="112"/>
  <c r="A51" i="112"/>
  <c r="A52" i="112"/>
  <c r="A53" i="112"/>
  <c r="A55" i="112"/>
  <c r="A56" i="112"/>
  <c r="A57" i="112"/>
  <c r="B57" i="112"/>
  <c r="B56" i="112"/>
  <c r="B55" i="112"/>
  <c r="B53" i="112"/>
  <c r="B52" i="112"/>
  <c r="B51" i="112"/>
  <c r="B50" i="112"/>
  <c r="B49" i="112"/>
  <c r="B48" i="112"/>
  <c r="B46" i="112"/>
  <c r="B45" i="112"/>
  <c r="B44" i="112"/>
  <c r="B42" i="112"/>
  <c r="A41" i="112"/>
  <c r="C36" i="112"/>
  <c r="C34" i="112"/>
  <c r="C32" i="112"/>
  <c r="C30" i="112"/>
  <c r="C28" i="112"/>
  <c r="C26" i="112"/>
  <c r="A35" i="112"/>
  <c r="B35" i="112"/>
  <c r="A25" i="112"/>
  <c r="A27" i="112"/>
  <c r="A29" i="112"/>
  <c r="A31" i="112"/>
  <c r="A33" i="112"/>
  <c r="B33" i="112"/>
  <c r="B31" i="112"/>
  <c r="B29" i="112"/>
  <c r="B27" i="112"/>
  <c r="B25" i="112"/>
  <c r="A24" i="112"/>
  <c r="A18" i="112"/>
  <c r="A20" i="112"/>
  <c r="C21" i="112"/>
  <c r="C19" i="112"/>
  <c r="B20" i="112"/>
  <c r="B18" i="112"/>
  <c r="A17" i="112"/>
  <c r="E150" i="109"/>
  <c r="C157" i="109"/>
  <c r="C155" i="109"/>
  <c r="C150" i="109"/>
  <c r="B148" i="109"/>
  <c r="C148" i="109"/>
  <c r="C146" i="109"/>
  <c r="C145" i="109"/>
  <c r="C144" i="109"/>
  <c r="A143" i="109"/>
  <c r="A144" i="109"/>
  <c r="A145" i="109"/>
  <c r="A146" i="109"/>
  <c r="A147" i="109"/>
  <c r="A149" i="109"/>
  <c r="A150" i="109"/>
  <c r="A154" i="109"/>
  <c r="A156" i="109"/>
  <c r="B156" i="109"/>
  <c r="B154" i="109"/>
  <c r="B150" i="109"/>
  <c r="B149" i="109"/>
  <c r="B147" i="109"/>
  <c r="B146" i="109"/>
  <c r="B145" i="109"/>
  <c r="B144" i="109"/>
  <c r="B143" i="109"/>
  <c r="A142" i="109"/>
  <c r="C139" i="109"/>
  <c r="C137" i="109"/>
  <c r="C135" i="109"/>
  <c r="C134" i="109"/>
  <c r="C132" i="109"/>
  <c r="C129" i="109"/>
  <c r="C128" i="109"/>
  <c r="C127" i="109"/>
  <c r="C124" i="109"/>
  <c r="C123" i="109"/>
  <c r="C121" i="109"/>
  <c r="C119" i="109"/>
  <c r="C117" i="109"/>
  <c r="C115" i="109"/>
  <c r="C113" i="109"/>
  <c r="C111" i="109"/>
  <c r="C109" i="109"/>
  <c r="A108" i="109"/>
  <c r="A110" i="109"/>
  <c r="A112" i="109"/>
  <c r="A114" i="109"/>
  <c r="A116" i="109"/>
  <c r="A117" i="109"/>
  <c r="A118" i="109"/>
  <c r="A120" i="109"/>
  <c r="A122" i="109"/>
  <c r="A123" i="109"/>
  <c r="A124" i="109"/>
  <c r="A125" i="109"/>
  <c r="A127" i="109"/>
  <c r="A128" i="109"/>
  <c r="A129" i="109"/>
  <c r="A131" i="109"/>
  <c r="A133" i="109"/>
  <c r="A134" i="109"/>
  <c r="A135" i="109"/>
  <c r="A136" i="109"/>
  <c r="A137" i="109"/>
  <c r="A138" i="109"/>
  <c r="B138" i="109"/>
  <c r="B137" i="109"/>
  <c r="B136" i="109"/>
  <c r="B135" i="109"/>
  <c r="B134" i="109"/>
  <c r="B133" i="109"/>
  <c r="B131" i="109"/>
  <c r="B129" i="109"/>
  <c r="B128" i="109"/>
  <c r="B127" i="109"/>
  <c r="B125" i="109"/>
  <c r="B124" i="109"/>
  <c r="B123" i="109"/>
  <c r="B122" i="109"/>
  <c r="B120" i="109"/>
  <c r="B118" i="109"/>
  <c r="B117" i="109"/>
  <c r="B116" i="109"/>
  <c r="B114" i="109"/>
  <c r="B112" i="109"/>
  <c r="B110" i="109"/>
  <c r="B108" i="109"/>
  <c r="A107" i="109"/>
  <c r="E96" i="109"/>
  <c r="E95" i="109"/>
  <c r="E88" i="109"/>
  <c r="E87" i="109"/>
  <c r="E86" i="109"/>
  <c r="C79" i="109"/>
  <c r="C77" i="109"/>
  <c r="C75" i="109"/>
  <c r="C73" i="109"/>
  <c r="C88" i="109"/>
  <c r="C87" i="109"/>
  <c r="C86" i="109"/>
  <c r="C104" i="109"/>
  <c r="C103" i="109"/>
  <c r="C101" i="109"/>
  <c r="C100" i="109"/>
  <c r="C97" i="109"/>
  <c r="C96" i="109"/>
  <c r="C95" i="109"/>
  <c r="A72" i="109"/>
  <c r="A73" i="109"/>
  <c r="A74" i="109"/>
  <c r="A76" i="109"/>
  <c r="A78" i="109"/>
  <c r="A80" i="109"/>
  <c r="A85" i="109"/>
  <c r="A86" i="109"/>
  <c r="A87" i="109"/>
  <c r="A88" i="109"/>
  <c r="A89" i="109"/>
  <c r="A94" i="109"/>
  <c r="A95" i="109"/>
  <c r="A96" i="109"/>
  <c r="A97" i="109"/>
  <c r="A98" i="109"/>
  <c r="A99" i="109"/>
  <c r="A100" i="109"/>
  <c r="A101" i="109"/>
  <c r="A102" i="109"/>
  <c r="A103" i="109"/>
  <c r="A104" i="109"/>
  <c r="B99" i="109"/>
  <c r="B100" i="109"/>
  <c r="B101" i="109"/>
  <c r="B102" i="109"/>
  <c r="B103" i="109"/>
  <c r="B104" i="109"/>
  <c r="B98" i="109"/>
  <c r="B97" i="109"/>
  <c r="B96" i="109"/>
  <c r="B95" i="109"/>
  <c r="B94" i="109"/>
  <c r="B89" i="109"/>
  <c r="B88" i="109"/>
  <c r="B87" i="109"/>
  <c r="B85" i="109"/>
  <c r="B86" i="109"/>
  <c r="B80" i="109"/>
  <c r="B78" i="109"/>
  <c r="B76" i="109"/>
  <c r="B74" i="109"/>
  <c r="B73" i="109"/>
  <c r="B72" i="109"/>
  <c r="A71" i="109"/>
  <c r="E68" i="109"/>
  <c r="C68" i="109"/>
  <c r="C66" i="109"/>
  <c r="C64" i="109"/>
  <c r="C62" i="109"/>
  <c r="A61" i="109"/>
  <c r="A62" i="109"/>
  <c r="A63" i="109"/>
  <c r="A65" i="109"/>
  <c r="A67" i="109"/>
  <c r="B67" i="109"/>
  <c r="B65" i="109"/>
  <c r="B63" i="109"/>
  <c r="B62" i="109"/>
  <c r="B61" i="109"/>
  <c r="A60" i="109"/>
  <c r="C57" i="109"/>
  <c r="C55" i="109"/>
  <c r="C51" i="109"/>
  <c r="C49" i="109"/>
  <c r="C47" i="109"/>
  <c r="C46" i="109"/>
  <c r="C45" i="109"/>
  <c r="C44" i="109"/>
  <c r="C42" i="109"/>
  <c r="C40" i="109"/>
  <c r="C38" i="109"/>
  <c r="A37" i="109"/>
  <c r="A39" i="109"/>
  <c r="A40" i="109"/>
  <c r="A41" i="109"/>
  <c r="A43" i="109"/>
  <c r="A44" i="109"/>
  <c r="A45" i="109"/>
  <c r="A46" i="109"/>
  <c r="A47" i="109"/>
  <c r="A48" i="109"/>
  <c r="A50" i="109"/>
  <c r="A54" i="109"/>
  <c r="A55" i="109"/>
  <c r="A56" i="109"/>
  <c r="B56" i="109"/>
  <c r="B55" i="109"/>
  <c r="B54" i="109"/>
  <c r="B50" i="109"/>
  <c r="B48" i="109"/>
  <c r="B47" i="109"/>
  <c r="B46" i="109"/>
  <c r="B45" i="109"/>
  <c r="B44" i="109"/>
  <c r="B43" i="109"/>
  <c r="B41" i="109"/>
  <c r="B40" i="109"/>
  <c r="B39" i="109"/>
  <c r="B37" i="109"/>
  <c r="A36" i="109"/>
  <c r="C31" i="109"/>
  <c r="C29" i="109"/>
  <c r="C27" i="109"/>
  <c r="C25" i="109"/>
  <c r="C23" i="109"/>
  <c r="C21" i="109"/>
  <c r="A20" i="109"/>
  <c r="A22" i="109"/>
  <c r="A24" i="109"/>
  <c r="A26" i="109"/>
  <c r="A28" i="109"/>
  <c r="A30" i="109"/>
  <c r="B30" i="109"/>
  <c r="B28" i="109"/>
  <c r="B26" i="109"/>
  <c r="B24" i="109"/>
  <c r="B22" i="109"/>
  <c r="B20" i="109"/>
  <c r="A19" i="109"/>
  <c r="A13" i="109"/>
  <c r="A15" i="109"/>
  <c r="C16" i="109"/>
  <c r="C14" i="109"/>
  <c r="B15" i="109"/>
  <c r="B13" i="109"/>
  <c r="A12" i="109"/>
  <c r="H53" i="185" l="1"/>
  <c r="F27" i="185" l="1"/>
  <c r="F23" i="187"/>
  <c r="C135" i="61" l="1"/>
  <c r="C130" i="61"/>
  <c r="C129" i="61"/>
  <c r="A128" i="61"/>
  <c r="A129" i="61"/>
  <c r="A130" i="61"/>
  <c r="A134" i="61"/>
  <c r="B134" i="61"/>
  <c r="B130" i="61"/>
  <c r="B129" i="61"/>
  <c r="B128" i="61"/>
  <c r="A127" i="61"/>
  <c r="C117" i="61"/>
  <c r="C124" i="61"/>
  <c r="C122" i="61"/>
  <c r="C121" i="61"/>
  <c r="C119" i="61"/>
  <c r="C116" i="61"/>
  <c r="C114" i="61"/>
  <c r="C112" i="61"/>
  <c r="C111" i="61"/>
  <c r="C109" i="61"/>
  <c r="C107" i="61"/>
  <c r="C105" i="61"/>
  <c r="C103" i="61"/>
  <c r="C101" i="61"/>
  <c r="C99" i="61"/>
  <c r="C97" i="61"/>
  <c r="A96" i="61"/>
  <c r="A98" i="61"/>
  <c r="A100" i="61"/>
  <c r="A102" i="61"/>
  <c r="A104" i="61"/>
  <c r="A105" i="61"/>
  <c r="A106" i="61"/>
  <c r="A108" i="61"/>
  <c r="A110" i="61"/>
  <c r="A111" i="61"/>
  <c r="A112" i="61"/>
  <c r="A113" i="61"/>
  <c r="A114" i="61"/>
  <c r="A115" i="61"/>
  <c r="A116" i="61"/>
  <c r="A117" i="61"/>
  <c r="A118" i="61"/>
  <c r="A120" i="61"/>
  <c r="A121" i="61"/>
  <c r="A122" i="61"/>
  <c r="A123" i="61"/>
  <c r="A124" i="61"/>
  <c r="B118" i="61"/>
  <c r="B112" i="61"/>
  <c r="B111" i="61"/>
  <c r="B110" i="61"/>
  <c r="B108" i="61"/>
  <c r="B106" i="61"/>
  <c r="B105" i="61"/>
  <c r="B104" i="61"/>
  <c r="B102" i="61"/>
  <c r="B100" i="61"/>
  <c r="B98" i="61"/>
  <c r="B96" i="61"/>
  <c r="A95" i="61"/>
  <c r="A92" i="61"/>
  <c r="B92" i="61"/>
  <c r="C67" i="61"/>
  <c r="C65" i="61"/>
  <c r="C63" i="61"/>
  <c r="C61" i="61"/>
  <c r="A60" i="61"/>
  <c r="A61" i="61"/>
  <c r="A62" i="61"/>
  <c r="A64" i="61"/>
  <c r="A66" i="61"/>
  <c r="A68" i="61"/>
  <c r="A73" i="61"/>
  <c r="A74" i="61"/>
  <c r="A75" i="61"/>
  <c r="A76" i="61"/>
  <c r="A77" i="61"/>
  <c r="A82" i="61"/>
  <c r="A83" i="61"/>
  <c r="A84" i="61"/>
  <c r="A85" i="61"/>
  <c r="A86" i="61"/>
  <c r="A87" i="61"/>
  <c r="A88" i="61"/>
  <c r="A89" i="61"/>
  <c r="A90" i="61"/>
  <c r="A91" i="61"/>
  <c r="C92" i="61"/>
  <c r="C91" i="61"/>
  <c r="C89" i="61"/>
  <c r="C88" i="61"/>
  <c r="B87" i="61"/>
  <c r="B88" i="61"/>
  <c r="B89" i="61"/>
  <c r="B90" i="61"/>
  <c r="B91" i="61"/>
  <c r="B86" i="61"/>
  <c r="C85" i="61"/>
  <c r="C84" i="61"/>
  <c r="C83" i="61"/>
  <c r="B85" i="61"/>
  <c r="B84" i="61"/>
  <c r="B83" i="61"/>
  <c r="B82" i="61"/>
  <c r="B77" i="61"/>
  <c r="E75" i="61"/>
  <c r="E74" i="61"/>
  <c r="C75" i="61"/>
  <c r="C76" i="61"/>
  <c r="C74" i="61"/>
  <c r="B76" i="61"/>
  <c r="B75" i="61"/>
  <c r="B74" i="61"/>
  <c r="B73" i="61"/>
  <c r="B68" i="61"/>
  <c r="B66" i="61"/>
  <c r="B64" i="61"/>
  <c r="B62" i="61"/>
  <c r="B61" i="61"/>
  <c r="B60" i="61"/>
  <c r="A59" i="61"/>
  <c r="C56" i="61"/>
  <c r="C54" i="61"/>
  <c r="C52" i="61"/>
  <c r="A51" i="61"/>
  <c r="A52" i="61"/>
  <c r="A53" i="61"/>
  <c r="A55" i="61"/>
  <c r="B55" i="61"/>
  <c r="B53" i="61"/>
  <c r="B52" i="61"/>
  <c r="B51" i="61"/>
  <c r="A50" i="61"/>
  <c r="C47" i="61"/>
  <c r="C45" i="61"/>
  <c r="C43" i="61"/>
  <c r="C42" i="61"/>
  <c r="C41" i="61"/>
  <c r="C40" i="61"/>
  <c r="C38" i="61"/>
  <c r="C36" i="61"/>
  <c r="A35" i="61"/>
  <c r="A37" i="61"/>
  <c r="A38" i="61"/>
  <c r="A39" i="61"/>
  <c r="A40" i="61"/>
  <c r="A41" i="61"/>
  <c r="A42" i="61"/>
  <c r="A43" i="61"/>
  <c r="A44" i="61"/>
  <c r="A46" i="61"/>
  <c r="A47" i="61"/>
  <c r="B47" i="61"/>
  <c r="B46" i="61"/>
  <c r="B44" i="61"/>
  <c r="B43" i="61"/>
  <c r="B42" i="61"/>
  <c r="B41" i="61"/>
  <c r="B40" i="61"/>
  <c r="B39" i="61"/>
  <c r="B38" i="61"/>
  <c r="B37" i="61"/>
  <c r="B35" i="61"/>
  <c r="A34" i="61"/>
  <c r="C29" i="61"/>
  <c r="C27" i="61"/>
  <c r="C25" i="61"/>
  <c r="C23" i="61"/>
  <c r="C21" i="61"/>
  <c r="C19" i="61"/>
  <c r="A18" i="61"/>
  <c r="A20" i="61"/>
  <c r="A22" i="61"/>
  <c r="A24" i="61"/>
  <c r="A26" i="61"/>
  <c r="A28" i="61"/>
  <c r="B28" i="61"/>
  <c r="B26" i="61"/>
  <c r="B24" i="61"/>
  <c r="B22" i="61"/>
  <c r="B20" i="61"/>
  <c r="B18" i="61"/>
  <c r="C14" i="61"/>
  <c r="C12" i="61"/>
  <c r="A11" i="61"/>
  <c r="A13" i="61"/>
  <c r="B13" i="61"/>
  <c r="B11" i="61"/>
  <c r="A17" i="61"/>
  <c r="A10" i="61"/>
  <c r="B16" i="62" l="1"/>
  <c r="C146" i="62"/>
  <c r="C144" i="62"/>
  <c r="C139" i="62"/>
  <c r="C138" i="62"/>
  <c r="A137" i="62"/>
  <c r="A138" i="62"/>
  <c r="A139" i="62"/>
  <c r="A143" i="62"/>
  <c r="A145" i="62"/>
  <c r="B145" i="62"/>
  <c r="B143" i="62"/>
  <c r="B139" i="62"/>
  <c r="B138" i="62"/>
  <c r="B137" i="62"/>
  <c r="A136" i="62"/>
  <c r="A103" i="62"/>
  <c r="A105" i="62"/>
  <c r="A107" i="62"/>
  <c r="A109" i="62"/>
  <c r="A111" i="62"/>
  <c r="A112" i="62"/>
  <c r="A113" i="62"/>
  <c r="A115" i="62"/>
  <c r="A117" i="62"/>
  <c r="A118" i="62"/>
  <c r="A119" i="62"/>
  <c r="A120" i="62"/>
  <c r="A121" i="62"/>
  <c r="A122" i="62"/>
  <c r="A124" i="62"/>
  <c r="A125" i="62"/>
  <c r="A126" i="62"/>
  <c r="A127" i="62"/>
  <c r="A129" i="62"/>
  <c r="A130" i="62"/>
  <c r="A131" i="62"/>
  <c r="A132" i="62"/>
  <c r="A133" i="62"/>
  <c r="C133" i="62"/>
  <c r="C131" i="62"/>
  <c r="C130" i="62"/>
  <c r="C128" i="62"/>
  <c r="C126" i="62"/>
  <c r="C124" i="62"/>
  <c r="C122" i="62"/>
  <c r="C120" i="62"/>
  <c r="C119" i="62"/>
  <c r="C118" i="62"/>
  <c r="C116" i="62"/>
  <c r="C114" i="62"/>
  <c r="C112" i="62"/>
  <c r="C110" i="62"/>
  <c r="C108" i="62"/>
  <c r="C106" i="62"/>
  <c r="C104" i="62"/>
  <c r="B133" i="62"/>
  <c r="B132" i="62"/>
  <c r="B131" i="62"/>
  <c r="B130" i="62"/>
  <c r="B129" i="62"/>
  <c r="B127" i="62"/>
  <c r="B126" i="62"/>
  <c r="B125" i="62"/>
  <c r="B124" i="62"/>
  <c r="B122" i="62"/>
  <c r="B121" i="62"/>
  <c r="B120" i="62"/>
  <c r="B119" i="62"/>
  <c r="B118" i="62"/>
  <c r="B117" i="62"/>
  <c r="B115" i="62"/>
  <c r="B113" i="62"/>
  <c r="B112" i="62"/>
  <c r="B111" i="62"/>
  <c r="B109" i="62"/>
  <c r="B107" i="62"/>
  <c r="B105" i="62"/>
  <c r="A102" i="62"/>
  <c r="B103" i="62"/>
  <c r="C74" i="62"/>
  <c r="C72" i="62"/>
  <c r="C70" i="62"/>
  <c r="C68" i="62"/>
  <c r="A67" i="62"/>
  <c r="A68" i="62"/>
  <c r="A69" i="62"/>
  <c r="A71" i="62"/>
  <c r="A73" i="62"/>
  <c r="A75" i="62"/>
  <c r="A80" i="62"/>
  <c r="A81" i="62"/>
  <c r="A82" i="62"/>
  <c r="A83" i="62"/>
  <c r="A84" i="62"/>
  <c r="A89" i="62"/>
  <c r="A90" i="62"/>
  <c r="A91" i="62"/>
  <c r="A92" i="62"/>
  <c r="A93" i="62"/>
  <c r="A94" i="62"/>
  <c r="A95" i="62"/>
  <c r="A96" i="62"/>
  <c r="A97" i="62"/>
  <c r="A98" i="62"/>
  <c r="A99" i="62"/>
  <c r="C99" i="62"/>
  <c r="C98" i="62"/>
  <c r="C96" i="62"/>
  <c r="C95" i="62"/>
  <c r="B95" i="62"/>
  <c r="B96" i="62"/>
  <c r="B97" i="62"/>
  <c r="B98" i="62"/>
  <c r="B99" i="62"/>
  <c r="B94" i="62"/>
  <c r="B93" i="62"/>
  <c r="C92" i="62"/>
  <c r="C91" i="62"/>
  <c r="C90" i="62"/>
  <c r="B92" i="62"/>
  <c r="B91" i="62"/>
  <c r="B90" i="62"/>
  <c r="B89" i="62"/>
  <c r="B84" i="62"/>
  <c r="E81" i="62"/>
  <c r="C83" i="62"/>
  <c r="C82" i="62"/>
  <c r="C81" i="62"/>
  <c r="B83" i="62"/>
  <c r="B82" i="62"/>
  <c r="B81" i="62"/>
  <c r="B80" i="62"/>
  <c r="B75" i="62"/>
  <c r="B73" i="62"/>
  <c r="B71" i="62"/>
  <c r="B69" i="62"/>
  <c r="B68" i="62"/>
  <c r="B67" i="62"/>
  <c r="A66" i="62"/>
  <c r="A57" i="62"/>
  <c r="A39" i="62"/>
  <c r="C63" i="62"/>
  <c r="C61" i="62"/>
  <c r="C59" i="62"/>
  <c r="A58" i="62"/>
  <c r="A59" i="62"/>
  <c r="A60" i="62"/>
  <c r="A62" i="62"/>
  <c r="B62" i="62"/>
  <c r="B60" i="62"/>
  <c r="B59" i="62"/>
  <c r="B58" i="62"/>
  <c r="A40" i="62"/>
  <c r="A42" i="62"/>
  <c r="A43" i="62"/>
  <c r="A44" i="62"/>
  <c r="A46" i="62"/>
  <c r="A47" i="62"/>
  <c r="A48" i="62"/>
  <c r="A49" i="62"/>
  <c r="A50" i="62"/>
  <c r="A51" i="62"/>
  <c r="A53" i="62"/>
  <c r="A54" i="62"/>
  <c r="C54" i="62"/>
  <c r="C52" i="62"/>
  <c r="C50" i="62"/>
  <c r="C49" i="62"/>
  <c r="C48" i="62"/>
  <c r="C47" i="62"/>
  <c r="C45" i="62"/>
  <c r="C43" i="62"/>
  <c r="C41" i="62"/>
  <c r="B54" i="62"/>
  <c r="B53" i="62"/>
  <c r="B51" i="62"/>
  <c r="B50" i="62"/>
  <c r="B49" i="62"/>
  <c r="B48" i="62"/>
  <c r="B47" i="62"/>
  <c r="B46" i="62"/>
  <c r="B44" i="62"/>
  <c r="B43" i="62"/>
  <c r="B42" i="62"/>
  <c r="B40" i="62"/>
  <c r="A23" i="62"/>
  <c r="A25" i="62"/>
  <c r="A27" i="62"/>
  <c r="A29" i="62"/>
  <c r="A31" i="62"/>
  <c r="A33" i="62"/>
  <c r="C34" i="62"/>
  <c r="C32" i="62"/>
  <c r="C30" i="62"/>
  <c r="C28" i="62"/>
  <c r="C26" i="62"/>
  <c r="C24" i="62"/>
  <c r="B33" i="62"/>
  <c r="B31" i="62"/>
  <c r="B29" i="62"/>
  <c r="B27" i="62"/>
  <c r="B25" i="62"/>
  <c r="B23" i="62"/>
  <c r="A22" i="62"/>
  <c r="A16" i="62"/>
  <c r="A18" i="62"/>
  <c r="C19" i="62"/>
  <c r="C17" i="62"/>
  <c r="B18" i="62"/>
  <c r="A15" i="62"/>
  <c r="E100" i="189" l="1"/>
  <c r="F100" i="189" s="1"/>
  <c r="E96" i="189"/>
  <c r="E94" i="189"/>
  <c r="E48" i="189"/>
  <c r="E6" i="190"/>
  <c r="L49" i="191"/>
  <c r="L50" i="191" s="1"/>
  <c r="G49" i="191"/>
  <c r="F49" i="191"/>
  <c r="G48" i="191"/>
  <c r="F48" i="191"/>
  <c r="N43" i="191"/>
  <c r="N42" i="191"/>
  <c r="N41" i="191"/>
  <c r="B41" i="191"/>
  <c r="N40" i="191"/>
  <c r="H40" i="191"/>
  <c r="F40" i="191"/>
  <c r="G40" i="191" s="1"/>
  <c r="H39" i="191"/>
  <c r="F39" i="191"/>
  <c r="G39" i="191" s="1"/>
  <c r="H38" i="191"/>
  <c r="F38" i="191"/>
  <c r="G38" i="191" s="1"/>
  <c r="H37" i="191"/>
  <c r="F37" i="191"/>
  <c r="G37" i="191" s="1"/>
  <c r="H36" i="191"/>
  <c r="F36" i="191"/>
  <c r="K36" i="191" s="1"/>
  <c r="H35" i="191"/>
  <c r="F35" i="191"/>
  <c r="G35" i="191" s="1"/>
  <c r="H34" i="191"/>
  <c r="F34" i="191"/>
  <c r="G34" i="191" s="1"/>
  <c r="H33" i="191"/>
  <c r="F33" i="191"/>
  <c r="G33" i="191" s="1"/>
  <c r="H32" i="191"/>
  <c r="F32" i="191"/>
  <c r="K32" i="191" s="1"/>
  <c r="H31" i="191"/>
  <c r="F31" i="191"/>
  <c r="G31" i="191" s="1"/>
  <c r="H30" i="191"/>
  <c r="F30" i="191"/>
  <c r="G30" i="191" s="1"/>
  <c r="H29" i="191"/>
  <c r="F29" i="191"/>
  <c r="G29" i="191" s="1"/>
  <c r="H28" i="191"/>
  <c r="F28" i="191"/>
  <c r="G28" i="191" s="1"/>
  <c r="H27" i="191"/>
  <c r="F27" i="191"/>
  <c r="G27" i="191" s="1"/>
  <c r="H26" i="191"/>
  <c r="F26" i="191"/>
  <c r="G26" i="191" s="1"/>
  <c r="H25" i="191"/>
  <c r="F25" i="191"/>
  <c r="G25" i="191" s="1"/>
  <c r="H23" i="191"/>
  <c r="F23" i="191"/>
  <c r="G23" i="191" s="1"/>
  <c r="H22" i="191"/>
  <c r="F22" i="191"/>
  <c r="G22" i="191" s="1"/>
  <c r="H21" i="191"/>
  <c r="F21" i="191"/>
  <c r="G21" i="191" s="1"/>
  <c r="H20" i="191"/>
  <c r="F20" i="191"/>
  <c r="G20" i="191" s="1"/>
  <c r="F19" i="191"/>
  <c r="F18" i="191"/>
  <c r="H17" i="191"/>
  <c r="F17" i="191"/>
  <c r="G17" i="191" s="1"/>
  <c r="H16" i="191"/>
  <c r="F16" i="191"/>
  <c r="G16" i="191" s="1"/>
  <c r="H15" i="191"/>
  <c r="F15" i="191"/>
  <c r="G15" i="191" s="1"/>
  <c r="H14" i="191"/>
  <c r="F14" i="191"/>
  <c r="G14" i="191" s="1"/>
  <c r="H13" i="191"/>
  <c r="F13" i="191"/>
  <c r="G13" i="191" s="1"/>
  <c r="H12" i="191"/>
  <c r="F12" i="191"/>
  <c r="G12" i="191" s="1"/>
  <c r="H11" i="191"/>
  <c r="F11" i="191"/>
  <c r="G11" i="191" s="1"/>
  <c r="H10" i="191"/>
  <c r="F10" i="191"/>
  <c r="G10" i="191" s="1"/>
  <c r="H9" i="191"/>
  <c r="F9" i="191"/>
  <c r="G9" i="191" s="1"/>
  <c r="H8" i="191"/>
  <c r="O5" i="191" s="1"/>
  <c r="F8" i="191"/>
  <c r="M3" i="191" s="1"/>
  <c r="O3" i="191" s="1"/>
  <c r="E95" i="190"/>
  <c r="F95" i="190" s="1"/>
  <c r="E91" i="190"/>
  <c r="E89" i="190"/>
  <c r="F89" i="190" s="1"/>
  <c r="E85" i="190"/>
  <c r="E90" i="189" s="1"/>
  <c r="E83" i="190"/>
  <c r="E86" i="189" s="1"/>
  <c r="E165" i="190"/>
  <c r="J146" i="190"/>
  <c r="E136" i="190"/>
  <c r="F136" i="190" s="1"/>
  <c r="K135" i="190"/>
  <c r="B135" i="190"/>
  <c r="A135" i="190"/>
  <c r="H134" i="190"/>
  <c r="H48" i="190" s="1"/>
  <c r="J48" i="190" s="1"/>
  <c r="E134" i="190"/>
  <c r="F134" i="190" s="1"/>
  <c r="B133" i="190"/>
  <c r="A133" i="190"/>
  <c r="H132" i="190"/>
  <c r="J132" i="190" s="1"/>
  <c r="E132" i="190"/>
  <c r="F132" i="190" s="1"/>
  <c r="B131" i="190"/>
  <c r="A131" i="190"/>
  <c r="E130" i="190"/>
  <c r="F130" i="190" s="1"/>
  <c r="B130" i="190"/>
  <c r="A130" i="190"/>
  <c r="E129" i="190"/>
  <c r="F129" i="190" s="1"/>
  <c r="B129" i="190"/>
  <c r="A129" i="190"/>
  <c r="B128" i="190"/>
  <c r="A128" i="190"/>
  <c r="H127" i="190"/>
  <c r="J127" i="190" s="1"/>
  <c r="E127" i="190"/>
  <c r="F127" i="190" s="1"/>
  <c r="B127" i="190"/>
  <c r="A127" i="190"/>
  <c r="H126" i="190"/>
  <c r="J126" i="190" s="1"/>
  <c r="E126" i="190"/>
  <c r="F126" i="190" s="1"/>
  <c r="B126" i="190"/>
  <c r="A126" i="190"/>
  <c r="B125" i="190"/>
  <c r="A125" i="190"/>
  <c r="A124" i="190"/>
  <c r="E121" i="190"/>
  <c r="F121" i="190" s="1"/>
  <c r="B121" i="190"/>
  <c r="A121" i="190"/>
  <c r="E120" i="190"/>
  <c r="F120" i="190" s="1"/>
  <c r="B120" i="190"/>
  <c r="A120" i="190"/>
  <c r="L119" i="190"/>
  <c r="E119" i="190"/>
  <c r="F119" i="190" s="1"/>
  <c r="B119" i="190"/>
  <c r="A119" i="190"/>
  <c r="K118" i="190"/>
  <c r="B118" i="190"/>
  <c r="A118" i="190"/>
  <c r="J117" i="190"/>
  <c r="E117" i="190"/>
  <c r="F117" i="190" s="1"/>
  <c r="B116" i="190"/>
  <c r="A116" i="190"/>
  <c r="H115" i="190"/>
  <c r="J115" i="190" s="1"/>
  <c r="E115" i="190"/>
  <c r="F115" i="190" s="1"/>
  <c r="B115" i="190"/>
  <c r="A115" i="190"/>
  <c r="B114" i="190"/>
  <c r="A114" i="190"/>
  <c r="B112" i="190"/>
  <c r="A112" i="190"/>
  <c r="H111" i="190"/>
  <c r="J111" i="190" s="1"/>
  <c r="E111" i="190"/>
  <c r="F111" i="190" s="1"/>
  <c r="B111" i="190"/>
  <c r="A111" i="190"/>
  <c r="H110" i="190"/>
  <c r="J110" i="190" s="1"/>
  <c r="E110" i="190"/>
  <c r="F110" i="190" s="1"/>
  <c r="B110" i="190"/>
  <c r="A110" i="190"/>
  <c r="H109" i="190"/>
  <c r="E109" i="190"/>
  <c r="F109" i="190" s="1"/>
  <c r="B109" i="190"/>
  <c r="A109" i="190"/>
  <c r="B108" i="190"/>
  <c r="A108" i="190"/>
  <c r="H107" i="190"/>
  <c r="J107" i="190" s="1"/>
  <c r="E107" i="190"/>
  <c r="F107" i="190" s="1"/>
  <c r="B107" i="190"/>
  <c r="A107" i="190"/>
  <c r="H106" i="190"/>
  <c r="J106" i="190" s="1"/>
  <c r="E106" i="190"/>
  <c r="F106" i="190" s="1"/>
  <c r="B106" i="190"/>
  <c r="A106" i="190"/>
  <c r="H105" i="190"/>
  <c r="J105" i="190" s="1"/>
  <c r="E105" i="190"/>
  <c r="F105" i="190" s="1"/>
  <c r="B105" i="190"/>
  <c r="A105" i="190"/>
  <c r="H104" i="190"/>
  <c r="J104" i="190" s="1"/>
  <c r="E104" i="190"/>
  <c r="F104" i="190" s="1"/>
  <c r="B104" i="190"/>
  <c r="A104" i="190"/>
  <c r="H103" i="190"/>
  <c r="J103" i="190" s="1"/>
  <c r="H120" i="190" s="1"/>
  <c r="J120" i="190" s="1"/>
  <c r="E103" i="190"/>
  <c r="F103" i="190" s="1"/>
  <c r="B103" i="190"/>
  <c r="A103" i="190"/>
  <c r="B102" i="190"/>
  <c r="A102" i="190"/>
  <c r="L101" i="190"/>
  <c r="E101" i="190"/>
  <c r="F101" i="190" s="1"/>
  <c r="B101" i="190"/>
  <c r="A101" i="190"/>
  <c r="L100" i="190"/>
  <c r="B100" i="190"/>
  <c r="A100" i="190"/>
  <c r="H99" i="190"/>
  <c r="E99" i="190"/>
  <c r="F99" i="190" s="1"/>
  <c r="B99" i="190"/>
  <c r="A99" i="190"/>
  <c r="E98" i="190"/>
  <c r="F98" i="190" s="1"/>
  <c r="B98" i="190"/>
  <c r="A98" i="190"/>
  <c r="E97" i="190"/>
  <c r="F97" i="190" s="1"/>
  <c r="B97" i="190"/>
  <c r="A97" i="190"/>
  <c r="B96" i="190"/>
  <c r="A96" i="190"/>
  <c r="B94" i="190"/>
  <c r="A94" i="190"/>
  <c r="N93" i="190"/>
  <c r="E93" i="190"/>
  <c r="F93" i="190" s="1"/>
  <c r="L92" i="190"/>
  <c r="L93" i="190" s="1"/>
  <c r="B92" i="190"/>
  <c r="A92" i="190"/>
  <c r="D91" i="190"/>
  <c r="B91" i="190"/>
  <c r="A91" i="190"/>
  <c r="B90" i="190"/>
  <c r="A90" i="190"/>
  <c r="K89" i="190"/>
  <c r="J89" i="190"/>
  <c r="B88" i="190"/>
  <c r="A88" i="190"/>
  <c r="E87" i="190"/>
  <c r="F87" i="190" s="1"/>
  <c r="B86" i="190"/>
  <c r="A86" i="190"/>
  <c r="L85" i="190"/>
  <c r="L84" i="190"/>
  <c r="B84" i="190"/>
  <c r="A84" i="190"/>
  <c r="L83" i="190"/>
  <c r="B82" i="190"/>
  <c r="A82" i="190"/>
  <c r="L81" i="190"/>
  <c r="A81" i="190"/>
  <c r="L80" i="190"/>
  <c r="E78" i="190"/>
  <c r="F78" i="190" s="1"/>
  <c r="B78" i="190"/>
  <c r="A78" i="190"/>
  <c r="E77" i="190"/>
  <c r="F77" i="190" s="1"/>
  <c r="B77" i="190"/>
  <c r="A77" i="190"/>
  <c r="B76" i="190"/>
  <c r="A76" i="190"/>
  <c r="E75" i="190"/>
  <c r="F75" i="190" s="1"/>
  <c r="B75" i="190"/>
  <c r="A75" i="190"/>
  <c r="E74" i="190"/>
  <c r="F74" i="190" s="1"/>
  <c r="B74" i="190"/>
  <c r="A74" i="190"/>
  <c r="B73" i="190"/>
  <c r="A73" i="190"/>
  <c r="B72" i="190"/>
  <c r="A72" i="190"/>
  <c r="E71" i="190"/>
  <c r="F71" i="190" s="1"/>
  <c r="B71" i="190"/>
  <c r="A71" i="190"/>
  <c r="E70" i="190"/>
  <c r="F70" i="190" s="1"/>
  <c r="B70" i="190"/>
  <c r="A70" i="190"/>
  <c r="E69" i="190"/>
  <c r="F69" i="190" s="1"/>
  <c r="B69" i="190"/>
  <c r="A69" i="190"/>
  <c r="B68" i="190"/>
  <c r="A68" i="190"/>
  <c r="J67" i="190"/>
  <c r="E67" i="190"/>
  <c r="F67" i="190" s="1"/>
  <c r="B67" i="190"/>
  <c r="A67" i="190"/>
  <c r="J66" i="190"/>
  <c r="E66" i="190"/>
  <c r="F66" i="190" s="1"/>
  <c r="B66" i="190"/>
  <c r="A66" i="190"/>
  <c r="J65" i="190"/>
  <c r="E65" i="190"/>
  <c r="F65" i="190" s="1"/>
  <c r="B65" i="190"/>
  <c r="A65" i="190"/>
  <c r="J64" i="190"/>
  <c r="B64" i="190"/>
  <c r="A64" i="190"/>
  <c r="J63" i="190"/>
  <c r="B63" i="190"/>
  <c r="A63" i="190"/>
  <c r="J62" i="190"/>
  <c r="E62" i="190"/>
  <c r="F62" i="190" s="1"/>
  <c r="B62" i="190"/>
  <c r="A62" i="190"/>
  <c r="J61" i="190"/>
  <c r="E61" i="190"/>
  <c r="F61" i="190" s="1"/>
  <c r="B61" i="190"/>
  <c r="A61" i="190"/>
  <c r="J60" i="190"/>
  <c r="B60" i="190"/>
  <c r="A60" i="190"/>
  <c r="J59" i="190"/>
  <c r="E59" i="190"/>
  <c r="F59" i="190" s="1"/>
  <c r="B59" i="190"/>
  <c r="A59" i="190"/>
  <c r="J58" i="190"/>
  <c r="E58" i="190"/>
  <c r="F58" i="190" s="1"/>
  <c r="B58" i="190"/>
  <c r="A58" i="190"/>
  <c r="B57" i="190"/>
  <c r="A57" i="190"/>
  <c r="B56" i="190"/>
  <c r="A56" i="190"/>
  <c r="E55" i="190"/>
  <c r="F55" i="190" s="1"/>
  <c r="B54" i="190"/>
  <c r="A54" i="190"/>
  <c r="E53" i="190"/>
  <c r="F53" i="190" s="1"/>
  <c r="B53" i="190"/>
  <c r="A53" i="190"/>
  <c r="B52" i="190"/>
  <c r="A52" i="190"/>
  <c r="H51" i="190"/>
  <c r="H55" i="190" s="1"/>
  <c r="J55" i="190" s="1"/>
  <c r="A51" i="190"/>
  <c r="E48" i="190"/>
  <c r="F48" i="190" s="1"/>
  <c r="B47" i="190"/>
  <c r="A47" i="190"/>
  <c r="E46" i="190"/>
  <c r="F46" i="190" s="1"/>
  <c r="B45" i="190"/>
  <c r="A45" i="190"/>
  <c r="E44" i="190"/>
  <c r="F44" i="190" s="1"/>
  <c r="B43" i="190"/>
  <c r="A43" i="190"/>
  <c r="H42" i="190"/>
  <c r="H46" i="190" s="1"/>
  <c r="J46" i="190" s="1"/>
  <c r="E42" i="190"/>
  <c r="F42" i="190" s="1"/>
  <c r="B42" i="190"/>
  <c r="A42" i="190"/>
  <c r="B41" i="190"/>
  <c r="A41" i="190"/>
  <c r="A40" i="190"/>
  <c r="H37" i="190"/>
  <c r="J37" i="190" s="1"/>
  <c r="D37" i="190" s="1"/>
  <c r="E37" i="190"/>
  <c r="B36" i="190"/>
  <c r="A36" i="190"/>
  <c r="H35" i="190"/>
  <c r="J35" i="190" s="1"/>
  <c r="E35" i="190"/>
  <c r="F35" i="190" s="1"/>
  <c r="B34" i="190"/>
  <c r="A34" i="190"/>
  <c r="I33" i="190"/>
  <c r="H33" i="190"/>
  <c r="H98" i="190" s="1"/>
  <c r="J98" i="190" s="1"/>
  <c r="E33" i="190"/>
  <c r="F33" i="190" s="1"/>
  <c r="B33" i="190"/>
  <c r="A33" i="190"/>
  <c r="B32" i="190"/>
  <c r="A32" i="190"/>
  <c r="I31" i="190"/>
  <c r="H31" i="190"/>
  <c r="J31" i="190" s="1"/>
  <c r="E31" i="190"/>
  <c r="F31" i="190" s="1"/>
  <c r="H30" i="190"/>
  <c r="B30" i="190"/>
  <c r="A30" i="190"/>
  <c r="I29" i="190"/>
  <c r="H29" i="190"/>
  <c r="E29" i="190"/>
  <c r="F29" i="190" s="1"/>
  <c r="B28" i="190"/>
  <c r="A28" i="190"/>
  <c r="I27" i="190"/>
  <c r="F27" i="190"/>
  <c r="B27" i="190"/>
  <c r="A27" i="190"/>
  <c r="H26" i="190"/>
  <c r="J26" i="190" s="1"/>
  <c r="E26" i="190"/>
  <c r="F26" i="190" s="1"/>
  <c r="B26" i="190"/>
  <c r="A26" i="190"/>
  <c r="I25" i="190"/>
  <c r="E25" i="190"/>
  <c r="F25" i="190" s="1"/>
  <c r="B25" i="190"/>
  <c r="A25" i="190"/>
  <c r="I24" i="190"/>
  <c r="E24" i="190"/>
  <c r="F24" i="190" s="1"/>
  <c r="B24" i="190"/>
  <c r="A24" i="190"/>
  <c r="B23" i="190"/>
  <c r="A23" i="190"/>
  <c r="E22" i="190"/>
  <c r="F22" i="190" s="1"/>
  <c r="B21" i="190"/>
  <c r="A21" i="190"/>
  <c r="E20" i="190"/>
  <c r="F20" i="190" s="1"/>
  <c r="B20" i="190"/>
  <c r="A20" i="190"/>
  <c r="B19" i="190"/>
  <c r="A19" i="190"/>
  <c r="E18" i="190"/>
  <c r="F18" i="190" s="1"/>
  <c r="B17" i="190"/>
  <c r="A17" i="190"/>
  <c r="A16" i="190"/>
  <c r="G14" i="190"/>
  <c r="B13" i="190"/>
  <c r="A13" i="190"/>
  <c r="B11" i="190"/>
  <c r="A11" i="190"/>
  <c r="G10" i="190"/>
  <c r="N9" i="190"/>
  <c r="B9" i="190"/>
  <c r="A9" i="190"/>
  <c r="A8" i="190"/>
  <c r="H7" i="190"/>
  <c r="H22" i="190" s="1"/>
  <c r="J22" i="190" s="1"/>
  <c r="B5" i="190"/>
  <c r="B9" i="189" s="1"/>
  <c r="A5" i="190"/>
  <c r="A9" i="189" s="1"/>
  <c r="J4" i="190"/>
  <c r="H4" i="190"/>
  <c r="F3" i="190"/>
  <c r="H83" i="190" s="1"/>
  <c r="A1" i="190"/>
  <c r="E146" i="189"/>
  <c r="J125" i="189"/>
  <c r="E118" i="189"/>
  <c r="F118" i="189" s="1"/>
  <c r="C118" i="189"/>
  <c r="B118" i="189"/>
  <c r="A118" i="189"/>
  <c r="C117" i="189"/>
  <c r="B117" i="189"/>
  <c r="A117" i="189"/>
  <c r="B116" i="189"/>
  <c r="A116" i="189"/>
  <c r="E115" i="189"/>
  <c r="F115" i="189" s="1"/>
  <c r="C115" i="189"/>
  <c r="B114" i="189"/>
  <c r="A114" i="189"/>
  <c r="C113" i="189"/>
  <c r="B113" i="189"/>
  <c r="A113" i="189"/>
  <c r="L112" i="189"/>
  <c r="H112" i="189"/>
  <c r="C112" i="189"/>
  <c r="B112" i="189"/>
  <c r="A112" i="189"/>
  <c r="H111" i="189"/>
  <c r="E111" i="189"/>
  <c r="F111" i="189" s="1"/>
  <c r="C111" i="189"/>
  <c r="B111" i="189"/>
  <c r="A111" i="189"/>
  <c r="I110" i="189"/>
  <c r="I111" i="189" s="1"/>
  <c r="I112" i="189" s="1"/>
  <c r="H110" i="189"/>
  <c r="E110" i="189"/>
  <c r="F110" i="189" s="1"/>
  <c r="C110" i="189"/>
  <c r="B110" i="189"/>
  <c r="A110" i="189"/>
  <c r="H109" i="189"/>
  <c r="J109" i="189" s="1"/>
  <c r="E109" i="189"/>
  <c r="F109" i="189" s="1"/>
  <c r="C109" i="189"/>
  <c r="B109" i="189"/>
  <c r="A109" i="189"/>
  <c r="B108" i="189"/>
  <c r="A108" i="189"/>
  <c r="H107" i="189"/>
  <c r="L111" i="189" s="1"/>
  <c r="E107" i="189"/>
  <c r="F107" i="189" s="1"/>
  <c r="C107" i="189"/>
  <c r="B107" i="189"/>
  <c r="A107" i="189"/>
  <c r="M106" i="189"/>
  <c r="H106" i="189"/>
  <c r="L110" i="189" s="1"/>
  <c r="E106" i="189"/>
  <c r="F106" i="189" s="1"/>
  <c r="C106" i="189"/>
  <c r="B106" i="189"/>
  <c r="A106" i="189"/>
  <c r="J105" i="189"/>
  <c r="B105" i="189"/>
  <c r="A105" i="189"/>
  <c r="E104" i="189"/>
  <c r="F104" i="189" s="1"/>
  <c r="C104" i="189"/>
  <c r="B104" i="189"/>
  <c r="A104" i="189"/>
  <c r="E103" i="189"/>
  <c r="F103" i="189" s="1"/>
  <c r="C103" i="189"/>
  <c r="B103" i="189"/>
  <c r="A103" i="189"/>
  <c r="E102" i="189"/>
  <c r="F102" i="189" s="1"/>
  <c r="C102" i="189"/>
  <c r="B102" i="189"/>
  <c r="A102" i="189"/>
  <c r="B101" i="189"/>
  <c r="A101" i="189"/>
  <c r="C100" i="189"/>
  <c r="B99" i="189"/>
  <c r="A99" i="189"/>
  <c r="N98" i="189"/>
  <c r="E98" i="189"/>
  <c r="F98" i="189" s="1"/>
  <c r="C98" i="189"/>
  <c r="L97" i="189"/>
  <c r="L98" i="189" s="1"/>
  <c r="B97" i="189"/>
  <c r="A97" i="189"/>
  <c r="D96" i="189"/>
  <c r="C96" i="189"/>
  <c r="B96" i="189"/>
  <c r="A96" i="189"/>
  <c r="B95" i="189"/>
  <c r="A95" i="189"/>
  <c r="K94" i="189"/>
  <c r="J94" i="189"/>
  <c r="K95" i="189" s="1"/>
  <c r="F94" i="189"/>
  <c r="C94" i="189"/>
  <c r="B93" i="189"/>
  <c r="A93" i="189"/>
  <c r="E92" i="189"/>
  <c r="F92" i="189" s="1"/>
  <c r="C92" i="189"/>
  <c r="B91" i="189"/>
  <c r="A91" i="189"/>
  <c r="L90" i="189"/>
  <c r="J90" i="189"/>
  <c r="C90" i="189"/>
  <c r="N89" i="189"/>
  <c r="P89" i="189" s="1"/>
  <c r="K89" i="189"/>
  <c r="M89" i="189" s="1"/>
  <c r="H89" i="189"/>
  <c r="J89" i="189" s="1"/>
  <c r="B89" i="189"/>
  <c r="A89" i="189"/>
  <c r="N88" i="189"/>
  <c r="P88" i="189" s="1"/>
  <c r="K88" i="189"/>
  <c r="M88" i="189" s="1"/>
  <c r="C88" i="189"/>
  <c r="L87" i="189"/>
  <c r="B87" i="189"/>
  <c r="A87" i="189"/>
  <c r="L86" i="189"/>
  <c r="C86" i="189"/>
  <c r="B85" i="189"/>
  <c r="A85" i="189"/>
  <c r="A84" i="189"/>
  <c r="L82" i="189"/>
  <c r="E81" i="189"/>
  <c r="F81" i="189" s="1"/>
  <c r="C81" i="189"/>
  <c r="B81" i="189"/>
  <c r="A81" i="189"/>
  <c r="E80" i="189"/>
  <c r="F80" i="189" s="1"/>
  <c r="C80" i="189"/>
  <c r="B80" i="189"/>
  <c r="A80" i="189"/>
  <c r="B79" i="189"/>
  <c r="A79" i="189"/>
  <c r="E78" i="189"/>
  <c r="F78" i="189" s="1"/>
  <c r="C78" i="189"/>
  <c r="B78" i="189"/>
  <c r="A78" i="189"/>
  <c r="E77" i="189"/>
  <c r="F77" i="189" s="1"/>
  <c r="C77" i="189"/>
  <c r="B77" i="189"/>
  <c r="A77" i="189"/>
  <c r="B76" i="189"/>
  <c r="A76" i="189"/>
  <c r="B75" i="189"/>
  <c r="A75" i="189"/>
  <c r="E74" i="189"/>
  <c r="F74" i="189" s="1"/>
  <c r="C74" i="189"/>
  <c r="B74" i="189"/>
  <c r="A74" i="189"/>
  <c r="E73" i="189"/>
  <c r="F73" i="189" s="1"/>
  <c r="C73" i="189"/>
  <c r="B73" i="189"/>
  <c r="A73" i="189"/>
  <c r="E72" i="189"/>
  <c r="F72" i="189" s="1"/>
  <c r="C72" i="189"/>
  <c r="B72" i="189"/>
  <c r="A72" i="189"/>
  <c r="B71" i="189"/>
  <c r="A71" i="189"/>
  <c r="H70" i="189"/>
  <c r="J70" i="189" s="1"/>
  <c r="E70" i="189"/>
  <c r="F70" i="189" s="1"/>
  <c r="C70" i="189"/>
  <c r="B70" i="189"/>
  <c r="A70" i="189"/>
  <c r="H69" i="189"/>
  <c r="J69" i="189" s="1"/>
  <c r="E69" i="189"/>
  <c r="F69" i="189" s="1"/>
  <c r="C69" i="189"/>
  <c r="B69" i="189"/>
  <c r="A69" i="189"/>
  <c r="E68" i="189"/>
  <c r="F68" i="189" s="1"/>
  <c r="C68" i="189"/>
  <c r="B68" i="189"/>
  <c r="A68" i="189"/>
  <c r="H67" i="189"/>
  <c r="J67" i="189" s="1"/>
  <c r="B67" i="189"/>
  <c r="A67" i="189"/>
  <c r="B66" i="189"/>
  <c r="A66" i="189"/>
  <c r="E65" i="189"/>
  <c r="F65" i="189" s="1"/>
  <c r="C65" i="189"/>
  <c r="B65" i="189"/>
  <c r="A65" i="189"/>
  <c r="E64" i="189"/>
  <c r="F64" i="189" s="1"/>
  <c r="C64" i="189"/>
  <c r="B64" i="189"/>
  <c r="A64" i="189"/>
  <c r="E63" i="189"/>
  <c r="F63" i="189" s="1"/>
  <c r="C63" i="189"/>
  <c r="B63" i="189"/>
  <c r="A63" i="189"/>
  <c r="B62" i="189"/>
  <c r="A62" i="189"/>
  <c r="E61" i="189"/>
  <c r="F61" i="189" s="1"/>
  <c r="C61" i="189"/>
  <c r="B61" i="189"/>
  <c r="A61" i="189"/>
  <c r="E60" i="189"/>
  <c r="F60" i="189" s="1"/>
  <c r="C60" i="189"/>
  <c r="B60" i="189"/>
  <c r="A60" i="189"/>
  <c r="E59" i="189"/>
  <c r="F59" i="189" s="1"/>
  <c r="C59" i="189"/>
  <c r="B59" i="189"/>
  <c r="A59" i="189"/>
  <c r="B58" i="189"/>
  <c r="A58" i="189"/>
  <c r="B57" i="189"/>
  <c r="A57" i="189"/>
  <c r="E56" i="189"/>
  <c r="F56" i="189" s="1"/>
  <c r="C56" i="189"/>
  <c r="B55" i="189"/>
  <c r="A55" i="189"/>
  <c r="I54" i="189"/>
  <c r="E54" i="189"/>
  <c r="F54" i="189" s="1"/>
  <c r="C54" i="189"/>
  <c r="B54" i="189"/>
  <c r="A54" i="189"/>
  <c r="B53" i="189"/>
  <c r="A53" i="189"/>
  <c r="I52" i="189"/>
  <c r="A52" i="189"/>
  <c r="H50" i="189"/>
  <c r="J50" i="189" s="1"/>
  <c r="E50" i="189"/>
  <c r="F50" i="189" s="1"/>
  <c r="C50" i="189"/>
  <c r="B49" i="189"/>
  <c r="A49" i="189"/>
  <c r="H48" i="189"/>
  <c r="J48" i="189" s="1"/>
  <c r="D48" i="189" s="1"/>
  <c r="C48" i="189"/>
  <c r="B47" i="189"/>
  <c r="A47" i="189"/>
  <c r="H46" i="189"/>
  <c r="H103" i="189" s="1"/>
  <c r="J103" i="189" s="1"/>
  <c r="E46" i="189"/>
  <c r="F46" i="189" s="1"/>
  <c r="C46" i="189"/>
  <c r="B46" i="189"/>
  <c r="A46" i="189"/>
  <c r="B45" i="189"/>
  <c r="A45" i="189"/>
  <c r="E44" i="189"/>
  <c r="F44" i="189" s="1"/>
  <c r="C44" i="189"/>
  <c r="I43" i="189"/>
  <c r="H43" i="189"/>
  <c r="B43" i="189"/>
  <c r="A43" i="189"/>
  <c r="I42" i="189"/>
  <c r="H42" i="189"/>
  <c r="E42" i="189"/>
  <c r="F42" i="189" s="1"/>
  <c r="C42" i="189"/>
  <c r="I41" i="189"/>
  <c r="J41" i="189" s="1"/>
  <c r="B41" i="189"/>
  <c r="A41" i="189"/>
  <c r="I40" i="189"/>
  <c r="F40" i="189"/>
  <c r="C40" i="189"/>
  <c r="B40" i="189"/>
  <c r="A40" i="189"/>
  <c r="I39" i="189"/>
  <c r="H39" i="189"/>
  <c r="E39" i="189"/>
  <c r="F39" i="189" s="1"/>
  <c r="C39" i="189"/>
  <c r="B39" i="189"/>
  <c r="A39" i="189"/>
  <c r="I38" i="189"/>
  <c r="F38" i="189"/>
  <c r="C38" i="189"/>
  <c r="B38" i="189"/>
  <c r="A38" i="189"/>
  <c r="I37" i="189"/>
  <c r="H37" i="189"/>
  <c r="H38" i="189" s="1"/>
  <c r="H40" i="189" s="1"/>
  <c r="F37" i="189"/>
  <c r="C37" i="189"/>
  <c r="B37" i="189"/>
  <c r="A37" i="189"/>
  <c r="B36" i="189"/>
  <c r="A36" i="189"/>
  <c r="J35" i="189"/>
  <c r="E35" i="189"/>
  <c r="F35" i="189" s="1"/>
  <c r="C35" i="189"/>
  <c r="B34" i="189"/>
  <c r="A34" i="189"/>
  <c r="H33" i="189"/>
  <c r="J33" i="189" s="1"/>
  <c r="E33" i="189"/>
  <c r="F33" i="189" s="1"/>
  <c r="C33" i="189"/>
  <c r="B33" i="189"/>
  <c r="A33" i="189"/>
  <c r="B32" i="189"/>
  <c r="A32" i="189"/>
  <c r="F31" i="189"/>
  <c r="C31" i="189"/>
  <c r="B30" i="189"/>
  <c r="A30" i="189"/>
  <c r="A29" i="189"/>
  <c r="F27" i="189"/>
  <c r="E26" i="189"/>
  <c r="C26" i="189"/>
  <c r="B25" i="189"/>
  <c r="A25" i="189"/>
  <c r="C24" i="189"/>
  <c r="B23" i="189"/>
  <c r="A23" i="189"/>
  <c r="C22" i="189"/>
  <c r="B21" i="189"/>
  <c r="A21" i="189"/>
  <c r="G20" i="189"/>
  <c r="C20" i="189"/>
  <c r="B19" i="189"/>
  <c r="A19" i="189"/>
  <c r="C18" i="189"/>
  <c r="B17" i="189"/>
  <c r="A17" i="189"/>
  <c r="H16" i="189"/>
  <c r="H18" i="189" s="1"/>
  <c r="G18" i="189" s="1"/>
  <c r="G16" i="189"/>
  <c r="C16" i="189"/>
  <c r="B15" i="189"/>
  <c r="A15" i="189"/>
  <c r="N14" i="189"/>
  <c r="A14" i="189"/>
  <c r="C12" i="189"/>
  <c r="H11" i="189"/>
  <c r="J11" i="189" s="1"/>
  <c r="B11" i="189"/>
  <c r="A11" i="189"/>
  <c r="F8" i="189"/>
  <c r="C8" i="189"/>
  <c r="B7" i="189"/>
  <c r="A7" i="189"/>
  <c r="A6" i="189"/>
  <c r="P4" i="189"/>
  <c r="H61" i="189" s="1"/>
  <c r="J61" i="189" s="1"/>
  <c r="N4" i="189"/>
  <c r="N5" i="189" s="1"/>
  <c r="H59" i="189" s="1"/>
  <c r="J59" i="189" s="1"/>
  <c r="M4" i="189"/>
  <c r="M5" i="189" s="1"/>
  <c r="H60" i="189" s="1"/>
  <c r="J60" i="189" s="1"/>
  <c r="K4" i="189"/>
  <c r="F3" i="189"/>
  <c r="A1" i="189"/>
  <c r="J40" i="189" l="1"/>
  <c r="H113" i="189"/>
  <c r="J113" i="189" s="1"/>
  <c r="B11" i="194"/>
  <c r="J42" i="189"/>
  <c r="J43" i="189"/>
  <c r="J42" i="190"/>
  <c r="J43" i="190" s="1"/>
  <c r="E10" i="189"/>
  <c r="E23" i="204" s="1"/>
  <c r="F23" i="204" s="1"/>
  <c r="F6" i="190"/>
  <c r="F37" i="190"/>
  <c r="F38" i="190" s="1"/>
  <c r="M2" i="191"/>
  <c r="O2" i="191" s="1"/>
  <c r="I9" i="191"/>
  <c r="K9" i="191" s="1"/>
  <c r="I27" i="191"/>
  <c r="I29" i="191"/>
  <c r="J110" i="189"/>
  <c r="F91" i="190"/>
  <c r="M4" i="191"/>
  <c r="O4" i="191" s="1"/>
  <c r="J46" i="189"/>
  <c r="H102" i="189" s="1"/>
  <c r="J102" i="189" s="1"/>
  <c r="J29" i="190"/>
  <c r="G32" i="191"/>
  <c r="I32" i="191" s="1"/>
  <c r="H49" i="191"/>
  <c r="G36" i="191"/>
  <c r="I36" i="191" s="1"/>
  <c r="H48" i="191"/>
  <c r="H20" i="190"/>
  <c r="J20" i="190" s="1"/>
  <c r="J107" i="189"/>
  <c r="J51" i="190"/>
  <c r="H53" i="190"/>
  <c r="J53" i="190" s="1"/>
  <c r="I11" i="191"/>
  <c r="I13" i="191"/>
  <c r="I15" i="191"/>
  <c r="I17" i="191"/>
  <c r="I20" i="191"/>
  <c r="I22" i="191"/>
  <c r="I25" i="191"/>
  <c r="I31" i="191"/>
  <c r="I38" i="191"/>
  <c r="I40" i="191"/>
  <c r="J39" i="189"/>
  <c r="H24" i="190"/>
  <c r="I26" i="191"/>
  <c r="I28" i="191"/>
  <c r="I30" i="191"/>
  <c r="N44" i="191"/>
  <c r="N45" i="191" s="1"/>
  <c r="N46" i="191" s="1"/>
  <c r="K90" i="190"/>
  <c r="I34" i="191"/>
  <c r="F49" i="190"/>
  <c r="F96" i="189"/>
  <c r="F48" i="189"/>
  <c r="F51" i="189" s="1"/>
  <c r="F7" i="190"/>
  <c r="F15" i="190" s="1"/>
  <c r="I33" i="191"/>
  <c r="I35" i="191"/>
  <c r="I10" i="191"/>
  <c r="I12" i="191"/>
  <c r="I14" i="191"/>
  <c r="I16" i="191"/>
  <c r="I21" i="191"/>
  <c r="I23" i="191"/>
  <c r="I37" i="191"/>
  <c r="I39" i="191"/>
  <c r="K25" i="191"/>
  <c r="K33" i="191"/>
  <c r="G8" i="191"/>
  <c r="I8" i="191" s="1"/>
  <c r="E112" i="190" s="1"/>
  <c r="K30" i="191"/>
  <c r="K34" i="191"/>
  <c r="M49" i="191"/>
  <c r="M50" i="191" s="1"/>
  <c r="K31" i="191"/>
  <c r="K35" i="191"/>
  <c r="H85" i="190"/>
  <c r="J85" i="190" s="1"/>
  <c r="D85" i="190" s="1"/>
  <c r="F85" i="190" s="1"/>
  <c r="J83" i="190"/>
  <c r="D83" i="190" s="1"/>
  <c r="F83" i="190" s="1"/>
  <c r="F82" i="189"/>
  <c r="J112" i="189"/>
  <c r="K46" i="190"/>
  <c r="F79" i="190"/>
  <c r="L56" i="189"/>
  <c r="H119" i="190"/>
  <c r="J119" i="190" s="1"/>
  <c r="J109" i="190"/>
  <c r="H112" i="190"/>
  <c r="J112" i="190" s="1"/>
  <c r="D112" i="190" s="1"/>
  <c r="H52" i="189"/>
  <c r="J111" i="189"/>
  <c r="F137" i="190"/>
  <c r="B12" i="188"/>
  <c r="D113" i="189"/>
  <c r="B11" i="188"/>
  <c r="J37" i="189"/>
  <c r="J38" i="189"/>
  <c r="H54" i="189"/>
  <c r="J54" i="189" s="1"/>
  <c r="H86" i="189"/>
  <c r="H117" i="189"/>
  <c r="J117" i="189" s="1"/>
  <c r="D117" i="189" s="1"/>
  <c r="J33" i="190"/>
  <c r="H97" i="190" s="1"/>
  <c r="J97" i="190" s="1"/>
  <c r="J106" i="189"/>
  <c r="H118" i="189"/>
  <c r="J118" i="189" s="1"/>
  <c r="J134" i="190"/>
  <c r="O6" i="191" l="1"/>
  <c r="F10" i="189"/>
  <c r="F13" i="189" s="1"/>
  <c r="F28" i="189" s="1"/>
  <c r="E23" i="193"/>
  <c r="F23" i="193" s="1"/>
  <c r="E113" i="189"/>
  <c r="F113" i="189" s="1"/>
  <c r="J24" i="190"/>
  <c r="H25" i="190"/>
  <c r="F112" i="190"/>
  <c r="F122" i="190" s="1"/>
  <c r="F139" i="190" s="1"/>
  <c r="I42" i="191"/>
  <c r="I43" i="191" s="1"/>
  <c r="K8" i="191"/>
  <c r="J86" i="189"/>
  <c r="D86" i="189" s="1"/>
  <c r="F86" i="189" s="1"/>
  <c r="H90" i="189"/>
  <c r="H56" i="189"/>
  <c r="J56" i="189" s="1"/>
  <c r="J52" i="189"/>
  <c r="J25" i="190" l="1"/>
  <c r="H27" i="190"/>
  <c r="J27" i="190" s="1"/>
  <c r="H10" i="190"/>
  <c r="H12" i="190" s="1"/>
  <c r="F141" i="190"/>
  <c r="D90" i="189"/>
  <c r="F90" i="189" s="1"/>
  <c r="J88" i="189"/>
  <c r="C12" i="188" l="1"/>
  <c r="H14" i="190"/>
  <c r="J12" i="190"/>
  <c r="G12" i="190"/>
  <c r="H124" i="187" l="1"/>
  <c r="F7" i="187"/>
  <c r="H129" i="187" s="1"/>
  <c r="H106" i="187"/>
  <c r="I96" i="187"/>
  <c r="H96" i="187"/>
  <c r="H88" i="187"/>
  <c r="J88" i="187" s="1"/>
  <c r="D88" i="187" s="1"/>
  <c r="D92" i="187" s="1"/>
  <c r="F12" i="187"/>
  <c r="F11" i="187"/>
  <c r="M11" i="187" s="1"/>
  <c r="H146" i="187"/>
  <c r="H145" i="187"/>
  <c r="J145" i="187" s="1"/>
  <c r="D145" i="187" s="1"/>
  <c r="J144" i="187"/>
  <c r="J146" i="187"/>
  <c r="D146" i="187" s="1"/>
  <c r="J147" i="187"/>
  <c r="F6" i="187"/>
  <c r="H130" i="187" s="1"/>
  <c r="F4" i="187"/>
  <c r="H132" i="187" s="1"/>
  <c r="F3" i="187"/>
  <c r="H131" i="187" s="1"/>
  <c r="F5" i="187"/>
  <c r="H133" i="187" s="1"/>
  <c r="H60" i="187"/>
  <c r="J60" i="187" s="1"/>
  <c r="D60" i="187" s="1"/>
  <c r="E178" i="187"/>
  <c r="J157" i="187"/>
  <c r="H148" i="187"/>
  <c r="J148" i="187" s="1"/>
  <c r="D148" i="187" s="1"/>
  <c r="E148" i="187"/>
  <c r="C148" i="187"/>
  <c r="B147" i="187"/>
  <c r="A147" i="187"/>
  <c r="E146" i="187"/>
  <c r="C146" i="187"/>
  <c r="B146" i="187"/>
  <c r="A146" i="187"/>
  <c r="E145" i="187"/>
  <c r="C145" i="187"/>
  <c r="B145" i="187"/>
  <c r="A145" i="187"/>
  <c r="B144" i="187"/>
  <c r="A144" i="187"/>
  <c r="E143" i="187"/>
  <c r="C143" i="187"/>
  <c r="B143" i="187"/>
  <c r="A143" i="187"/>
  <c r="B142" i="187"/>
  <c r="A142" i="187"/>
  <c r="A141" i="187"/>
  <c r="E138" i="187"/>
  <c r="C138" i="187"/>
  <c r="B138" i="187"/>
  <c r="A138" i="187"/>
  <c r="C137" i="187"/>
  <c r="B137" i="187"/>
  <c r="A137" i="187"/>
  <c r="B136" i="187"/>
  <c r="A136" i="187"/>
  <c r="E135" i="187"/>
  <c r="F135" i="187" s="1"/>
  <c r="C135" i="187"/>
  <c r="B134" i="187"/>
  <c r="A134" i="187"/>
  <c r="C133" i="187"/>
  <c r="B133" i="187"/>
  <c r="A133" i="187"/>
  <c r="L132" i="187"/>
  <c r="C132" i="187"/>
  <c r="B132" i="187"/>
  <c r="A132" i="187"/>
  <c r="C131" i="187"/>
  <c r="B131" i="187"/>
  <c r="A131" i="187"/>
  <c r="I130" i="187"/>
  <c r="I131" i="187" s="1"/>
  <c r="I132" i="187" s="1"/>
  <c r="E130" i="187"/>
  <c r="C130" i="187"/>
  <c r="B130" i="187"/>
  <c r="A130" i="187"/>
  <c r="C129" i="187"/>
  <c r="B129" i="187"/>
  <c r="A129" i="187"/>
  <c r="B128" i="187"/>
  <c r="A128" i="187"/>
  <c r="E127" i="187"/>
  <c r="C127" i="187"/>
  <c r="B127" i="187"/>
  <c r="A127" i="187"/>
  <c r="E126" i="187"/>
  <c r="C126" i="187"/>
  <c r="B126" i="187"/>
  <c r="A126" i="187"/>
  <c r="J125" i="187"/>
  <c r="B125" i="187"/>
  <c r="A125" i="187"/>
  <c r="E124" i="187"/>
  <c r="D124" i="187"/>
  <c r="C124" i="187"/>
  <c r="B124" i="187"/>
  <c r="A124" i="187"/>
  <c r="C123" i="187"/>
  <c r="B123" i="187"/>
  <c r="A123" i="187"/>
  <c r="E122" i="187"/>
  <c r="C122" i="187"/>
  <c r="B122" i="187"/>
  <c r="A122" i="187"/>
  <c r="B121" i="187"/>
  <c r="A121" i="187"/>
  <c r="E120" i="187"/>
  <c r="F120" i="187" s="1"/>
  <c r="C120" i="187"/>
  <c r="B119" i="187"/>
  <c r="A119" i="187"/>
  <c r="N118" i="187"/>
  <c r="E118" i="187"/>
  <c r="F118" i="187" s="1"/>
  <c r="C118" i="187"/>
  <c r="L117" i="187"/>
  <c r="L118" i="187" s="1"/>
  <c r="B117" i="187"/>
  <c r="A117" i="187"/>
  <c r="E116" i="187"/>
  <c r="D116" i="187"/>
  <c r="C116" i="187"/>
  <c r="B116" i="187"/>
  <c r="A116" i="187"/>
  <c r="B115" i="187"/>
  <c r="A115" i="187"/>
  <c r="K114" i="187"/>
  <c r="J114" i="187"/>
  <c r="E114" i="187"/>
  <c r="F114" i="187" s="1"/>
  <c r="C114" i="187"/>
  <c r="B113" i="187"/>
  <c r="A113" i="187"/>
  <c r="E112" i="187"/>
  <c r="F112" i="187" s="1"/>
  <c r="C112" i="187"/>
  <c r="B111" i="187"/>
  <c r="A111" i="187"/>
  <c r="L110" i="187"/>
  <c r="E110" i="187"/>
  <c r="C110" i="187"/>
  <c r="N109" i="187"/>
  <c r="P109" i="187" s="1"/>
  <c r="K109" i="187"/>
  <c r="M109" i="187" s="1"/>
  <c r="H109" i="187"/>
  <c r="J109" i="187" s="1"/>
  <c r="B109" i="187"/>
  <c r="A109" i="187"/>
  <c r="N108" i="187"/>
  <c r="P108" i="187" s="1"/>
  <c r="K108" i="187"/>
  <c r="M108" i="187" s="1"/>
  <c r="C108" i="187"/>
  <c r="L107" i="187"/>
  <c r="B107" i="187"/>
  <c r="A107" i="187"/>
  <c r="L106" i="187"/>
  <c r="E106" i="187"/>
  <c r="C106" i="187"/>
  <c r="B105" i="187"/>
  <c r="A105" i="187"/>
  <c r="A104" i="187"/>
  <c r="L102" i="187"/>
  <c r="C101" i="187"/>
  <c r="B101" i="187"/>
  <c r="A101" i="187"/>
  <c r="C100" i="187"/>
  <c r="B100" i="187"/>
  <c r="A100" i="187"/>
  <c r="B99" i="187"/>
  <c r="A99" i="187"/>
  <c r="C98" i="187"/>
  <c r="B98" i="187"/>
  <c r="A98" i="187"/>
  <c r="C97" i="187"/>
  <c r="B97" i="187"/>
  <c r="A97" i="187"/>
  <c r="B96" i="187"/>
  <c r="A96" i="187"/>
  <c r="B95" i="187"/>
  <c r="A95" i="187"/>
  <c r="C94" i="187"/>
  <c r="B94" i="187"/>
  <c r="A94" i="187"/>
  <c r="E93" i="187"/>
  <c r="C93" i="187"/>
  <c r="B93" i="187"/>
  <c r="A93" i="187"/>
  <c r="E92" i="187"/>
  <c r="C92" i="187"/>
  <c r="B92" i="187"/>
  <c r="A92" i="187"/>
  <c r="B91" i="187"/>
  <c r="A91" i="187"/>
  <c r="B86" i="187"/>
  <c r="A86" i="187"/>
  <c r="E85" i="187"/>
  <c r="C85" i="187"/>
  <c r="B85" i="187"/>
  <c r="A85" i="187"/>
  <c r="E84" i="187"/>
  <c r="C84" i="187"/>
  <c r="B84" i="187"/>
  <c r="A84" i="187"/>
  <c r="E83" i="187"/>
  <c r="C83" i="187"/>
  <c r="B83" i="187"/>
  <c r="A83" i="187"/>
  <c r="B82" i="187"/>
  <c r="A82" i="187"/>
  <c r="B77" i="187"/>
  <c r="A77" i="187"/>
  <c r="E76" i="187"/>
  <c r="C76" i="187"/>
  <c r="B75" i="187"/>
  <c r="A75" i="187"/>
  <c r="I74" i="187"/>
  <c r="E74" i="187"/>
  <c r="C74" i="187"/>
  <c r="B74" i="187"/>
  <c r="A74" i="187"/>
  <c r="B73" i="187"/>
  <c r="A73" i="187"/>
  <c r="I72" i="187"/>
  <c r="A72" i="187"/>
  <c r="E69" i="187"/>
  <c r="C69" i="187"/>
  <c r="B68" i="187"/>
  <c r="A68" i="187"/>
  <c r="E67" i="187"/>
  <c r="C67" i="187"/>
  <c r="B66" i="187"/>
  <c r="A66" i="187"/>
  <c r="E65" i="187"/>
  <c r="C65" i="187"/>
  <c r="B65" i="187"/>
  <c r="A65" i="187"/>
  <c r="B64" i="187"/>
  <c r="A64" i="187"/>
  <c r="A63" i="187"/>
  <c r="E60" i="187"/>
  <c r="C60" i="187"/>
  <c r="B59" i="187"/>
  <c r="A59" i="187"/>
  <c r="J58" i="187"/>
  <c r="D58" i="187" s="1"/>
  <c r="H58" i="187"/>
  <c r="E58" i="187"/>
  <c r="C58" i="187"/>
  <c r="B57" i="187"/>
  <c r="A57" i="187"/>
  <c r="H56" i="187"/>
  <c r="H123" i="187" s="1"/>
  <c r="J123" i="187" s="1"/>
  <c r="D123" i="187" s="1"/>
  <c r="E56" i="187"/>
  <c r="C56" i="187"/>
  <c r="B56" i="187"/>
  <c r="A56" i="187"/>
  <c r="B55" i="187"/>
  <c r="A55" i="187"/>
  <c r="E54" i="187"/>
  <c r="C54" i="187"/>
  <c r="I53" i="187"/>
  <c r="H53" i="187"/>
  <c r="B53" i="187"/>
  <c r="A53" i="187"/>
  <c r="I52" i="187"/>
  <c r="H52" i="187"/>
  <c r="E52" i="187"/>
  <c r="C52" i="187"/>
  <c r="I51" i="187"/>
  <c r="J51" i="187" s="1"/>
  <c r="B51" i="187"/>
  <c r="A51" i="187"/>
  <c r="I50" i="187"/>
  <c r="F50" i="187"/>
  <c r="C50" i="187"/>
  <c r="B50" i="187"/>
  <c r="A50" i="187"/>
  <c r="I49" i="187"/>
  <c r="E49" i="187"/>
  <c r="C49" i="187"/>
  <c r="B49" i="187"/>
  <c r="A49" i="187"/>
  <c r="I48" i="187"/>
  <c r="F48" i="187"/>
  <c r="C48" i="187"/>
  <c r="B48" i="187"/>
  <c r="A48" i="187"/>
  <c r="I47" i="187"/>
  <c r="F47" i="187"/>
  <c r="C47" i="187"/>
  <c r="B47" i="187"/>
  <c r="A47" i="187"/>
  <c r="B46" i="187"/>
  <c r="A46" i="187"/>
  <c r="J45" i="187"/>
  <c r="D45" i="187" s="1"/>
  <c r="E45" i="187"/>
  <c r="C45" i="187"/>
  <c r="B44" i="187"/>
  <c r="A44" i="187"/>
  <c r="E43" i="187"/>
  <c r="C43" i="187"/>
  <c r="B43" i="187"/>
  <c r="A43" i="187"/>
  <c r="B42" i="187"/>
  <c r="A42" i="187"/>
  <c r="C41" i="187"/>
  <c r="B40" i="187"/>
  <c r="A40" i="187"/>
  <c r="A39" i="187"/>
  <c r="E34" i="187"/>
  <c r="F34" i="187" s="1"/>
  <c r="F35" i="187" s="1"/>
  <c r="C34" i="187"/>
  <c r="B33" i="187"/>
  <c r="A33" i="187"/>
  <c r="C32" i="187"/>
  <c r="B31" i="187"/>
  <c r="A31" i="187"/>
  <c r="C30" i="187"/>
  <c r="B29" i="187"/>
  <c r="A29" i="187"/>
  <c r="G28" i="187"/>
  <c r="C28" i="187"/>
  <c r="B27" i="187"/>
  <c r="A27" i="187"/>
  <c r="C26" i="187"/>
  <c r="B25" i="187"/>
  <c r="A25" i="187"/>
  <c r="G24" i="187"/>
  <c r="C24" i="187"/>
  <c r="B23" i="187"/>
  <c r="A23" i="187"/>
  <c r="N22" i="187"/>
  <c r="A22" i="187"/>
  <c r="C19" i="187"/>
  <c r="B18" i="187"/>
  <c r="A18" i="187"/>
  <c r="C17" i="187"/>
  <c r="B16" i="187"/>
  <c r="A16" i="187"/>
  <c r="A15" i="187"/>
  <c r="K13" i="187"/>
  <c r="P11" i="187"/>
  <c r="F10" i="187"/>
  <c r="F9" i="187"/>
  <c r="I7" i="187"/>
  <c r="A1" i="187"/>
  <c r="H126" i="187" l="1"/>
  <c r="J53" i="187"/>
  <c r="D54" i="187" s="1"/>
  <c r="H137" i="187"/>
  <c r="F124" i="187"/>
  <c r="F146" i="187"/>
  <c r="H110" i="187"/>
  <c r="F148" i="187"/>
  <c r="J52" i="187"/>
  <c r="D52" i="187" s="1"/>
  <c r="F52" i="187" s="1"/>
  <c r="J56" i="187"/>
  <c r="N12" i="187"/>
  <c r="N13" i="187" s="1"/>
  <c r="N14" i="187" s="1"/>
  <c r="H79" i="187" s="1"/>
  <c r="J79" i="187" s="1"/>
  <c r="D79" i="187" s="1"/>
  <c r="D83" i="187" s="1"/>
  <c r="F83" i="187" s="1"/>
  <c r="H127" i="187"/>
  <c r="K115" i="187"/>
  <c r="F45" i="187"/>
  <c r="F92" i="187"/>
  <c r="F54" i="187"/>
  <c r="F58" i="187"/>
  <c r="F116" i="187"/>
  <c r="F60" i="187"/>
  <c r="P12" i="187"/>
  <c r="F145" i="187"/>
  <c r="I133" i="187"/>
  <c r="J133" i="187" s="1"/>
  <c r="D133" i="187" s="1"/>
  <c r="J132" i="187"/>
  <c r="D132" i="187" s="1"/>
  <c r="J131" i="187"/>
  <c r="D131" i="187" s="1"/>
  <c r="J130" i="187"/>
  <c r="D130" i="187" s="1"/>
  <c r="F130" i="187" s="1"/>
  <c r="H108" i="187"/>
  <c r="J108" i="187" s="1"/>
  <c r="D108" i="187" s="1"/>
  <c r="J110" i="187"/>
  <c r="D110" i="187" s="1"/>
  <c r="F110" i="187" s="1"/>
  <c r="M10" i="187"/>
  <c r="P10" i="187"/>
  <c r="M126" i="187"/>
  <c r="J137" i="187"/>
  <c r="D137" i="187" s="1"/>
  <c r="M9" i="187"/>
  <c r="M13" i="187" s="1"/>
  <c r="M14" i="187" s="1"/>
  <c r="H80" i="187" s="1"/>
  <c r="H43" i="187"/>
  <c r="J43" i="187" s="1"/>
  <c r="D43" i="187" s="1"/>
  <c r="F43" i="187" s="1"/>
  <c r="H138" i="187"/>
  <c r="J129" i="187"/>
  <c r="D129" i="187" s="1"/>
  <c r="I3" i="187"/>
  <c r="P9" i="187"/>
  <c r="F13" i="187"/>
  <c r="H65" i="187"/>
  <c r="H89" i="187"/>
  <c r="J106" i="187" l="1"/>
  <c r="D106" i="187" s="1"/>
  <c r="F106" i="187" s="1"/>
  <c r="D56" i="187"/>
  <c r="F56" i="187" s="1"/>
  <c r="H122" i="187"/>
  <c r="J122" i="187" s="1"/>
  <c r="D122" i="187" s="1"/>
  <c r="F122" i="187" s="1"/>
  <c r="H143" i="187"/>
  <c r="J143" i="187" s="1"/>
  <c r="D143" i="187" s="1"/>
  <c r="F143" i="187" s="1"/>
  <c r="F149" i="187" s="1"/>
  <c r="H90" i="187"/>
  <c r="J90" i="187" s="1"/>
  <c r="D90" i="187" s="1"/>
  <c r="J80" i="187"/>
  <c r="D80" i="187" s="1"/>
  <c r="H72" i="187"/>
  <c r="L76" i="187"/>
  <c r="H49" i="187"/>
  <c r="J49" i="187" s="1"/>
  <c r="D49" i="187" s="1"/>
  <c r="F49" i="187" s="1"/>
  <c r="H47" i="187"/>
  <c r="H18" i="187"/>
  <c r="J18" i="187" s="1"/>
  <c r="J138" i="187"/>
  <c r="D138" i="187" s="1"/>
  <c r="F138" i="187" s="1"/>
  <c r="J126" i="187"/>
  <c r="D126" i="187" s="1"/>
  <c r="F126" i="187" s="1"/>
  <c r="L130" i="187"/>
  <c r="L131" i="187"/>
  <c r="J127" i="187"/>
  <c r="D127" i="187" s="1"/>
  <c r="F127" i="187" s="1"/>
  <c r="D89" i="187"/>
  <c r="J89" i="187"/>
  <c r="H69" i="187"/>
  <c r="J69" i="187" s="1"/>
  <c r="D69" i="187" s="1"/>
  <c r="F69" i="187" s="1"/>
  <c r="J65" i="187"/>
  <c r="D94" i="187"/>
  <c r="P13" i="187"/>
  <c r="H81" i="187" s="1"/>
  <c r="J81" i="187" s="1"/>
  <c r="D81" i="187" s="1"/>
  <c r="H74" i="187" l="1"/>
  <c r="J74" i="187" s="1"/>
  <c r="D74" i="187" s="1"/>
  <c r="F74" i="187" s="1"/>
  <c r="J66" i="187"/>
  <c r="D65" i="187"/>
  <c r="D98" i="187"/>
  <c r="D84" i="187"/>
  <c r="F84" i="187" s="1"/>
  <c r="D97" i="187"/>
  <c r="J47" i="187"/>
  <c r="H48" i="187"/>
  <c r="D93" i="187"/>
  <c r="F93" i="187" s="1"/>
  <c r="H76" i="187"/>
  <c r="J76" i="187" s="1"/>
  <c r="D76" i="187" s="1"/>
  <c r="F76" i="187" s="1"/>
  <c r="J72" i="187"/>
  <c r="D85" i="187"/>
  <c r="F85" i="187" s="1"/>
  <c r="D67" i="187" l="1"/>
  <c r="F67" i="187" s="1"/>
  <c r="F65" i="187"/>
  <c r="J48" i="187"/>
  <c r="H50" i="187"/>
  <c r="J50" i="187" s="1"/>
  <c r="D100" i="187"/>
  <c r="D101" i="187"/>
  <c r="F70" i="187" l="1"/>
  <c r="D116" i="185"/>
  <c r="P101" i="185"/>
  <c r="O104" i="185"/>
  <c r="O105" i="185"/>
  <c r="O103" i="185"/>
  <c r="N105" i="185"/>
  <c r="N104" i="185"/>
  <c r="N103" i="185"/>
  <c r="M101" i="185"/>
  <c r="J105" i="185"/>
  <c r="J104" i="185"/>
  <c r="J103" i="185"/>
  <c r="J102" i="185"/>
  <c r="K110" i="185"/>
  <c r="H92" i="185"/>
  <c r="H94" i="185"/>
  <c r="J94" i="185" s="1"/>
  <c r="D94" i="185" s="1"/>
  <c r="D98" i="185" s="1"/>
  <c r="E45" i="185"/>
  <c r="E52" i="185"/>
  <c r="E51" i="185"/>
  <c r="D156" i="185"/>
  <c r="D148" i="185"/>
  <c r="H136" i="185"/>
  <c r="J136" i="185" s="1"/>
  <c r="H137" i="185"/>
  <c r="E137" i="185"/>
  <c r="B137" i="185"/>
  <c r="A136" i="185"/>
  <c r="B136" i="185"/>
  <c r="A140" i="185"/>
  <c r="F12" i="185"/>
  <c r="H9" i="186"/>
  <c r="H10" i="186"/>
  <c r="H11" i="186"/>
  <c r="I11" i="186" s="1"/>
  <c r="F9" i="186"/>
  <c r="G9" i="186" s="1"/>
  <c r="F10" i="186"/>
  <c r="G10" i="186" s="1"/>
  <c r="L53" i="186"/>
  <c r="L54" i="186" s="1"/>
  <c r="G53" i="186"/>
  <c r="F53" i="186"/>
  <c r="G52" i="186"/>
  <c r="F52" i="186"/>
  <c r="N47" i="186"/>
  <c r="N46" i="186"/>
  <c r="N45" i="186"/>
  <c r="B45" i="186"/>
  <c r="N44" i="186"/>
  <c r="H44" i="186"/>
  <c r="F44" i="186"/>
  <c r="G44" i="186" s="1"/>
  <c r="H43" i="186"/>
  <c r="F43" i="186"/>
  <c r="G43" i="186" s="1"/>
  <c r="H42" i="186"/>
  <c r="F42" i="186"/>
  <c r="G42" i="186" s="1"/>
  <c r="H41" i="186"/>
  <c r="F41" i="186"/>
  <c r="G41" i="186" s="1"/>
  <c r="H40" i="186"/>
  <c r="F40" i="186"/>
  <c r="K40" i="186" s="1"/>
  <c r="H39" i="186"/>
  <c r="F39" i="186"/>
  <c r="K39" i="186" s="1"/>
  <c r="H38" i="186"/>
  <c r="F38" i="186"/>
  <c r="G38" i="186" s="1"/>
  <c r="H37" i="186"/>
  <c r="F37" i="186"/>
  <c r="G37" i="186" s="1"/>
  <c r="H36" i="186"/>
  <c r="F36" i="186"/>
  <c r="G36" i="186" s="1"/>
  <c r="H35" i="186"/>
  <c r="F35" i="186"/>
  <c r="K35" i="186" s="1"/>
  <c r="H34" i="186"/>
  <c r="F34" i="186"/>
  <c r="G34" i="186" s="1"/>
  <c r="H33" i="186"/>
  <c r="F33" i="186"/>
  <c r="G33" i="186" s="1"/>
  <c r="H32" i="186"/>
  <c r="F32" i="186"/>
  <c r="G32" i="186" s="1"/>
  <c r="H31" i="186"/>
  <c r="F31" i="186"/>
  <c r="G31" i="186" s="1"/>
  <c r="H30" i="186"/>
  <c r="F30" i="186"/>
  <c r="G30" i="186" s="1"/>
  <c r="H29" i="186"/>
  <c r="F29" i="186"/>
  <c r="G29" i="186" s="1"/>
  <c r="H27" i="186"/>
  <c r="F27" i="186"/>
  <c r="G27" i="186" s="1"/>
  <c r="H26" i="186"/>
  <c r="F26" i="186"/>
  <c r="G26" i="186" s="1"/>
  <c r="H25" i="186"/>
  <c r="F25" i="186"/>
  <c r="G25" i="186" s="1"/>
  <c r="H24" i="186"/>
  <c r="F24" i="186"/>
  <c r="G24" i="186" s="1"/>
  <c r="F23" i="186"/>
  <c r="F22" i="186"/>
  <c r="H21" i="186"/>
  <c r="F21" i="186"/>
  <c r="G21" i="186" s="1"/>
  <c r="H20" i="186"/>
  <c r="F20" i="186"/>
  <c r="G20" i="186" s="1"/>
  <c r="H19" i="186"/>
  <c r="F19" i="186"/>
  <c r="G19" i="186" s="1"/>
  <c r="H18" i="186"/>
  <c r="F18" i="186"/>
  <c r="G18" i="186" s="1"/>
  <c r="H17" i="186"/>
  <c r="F17" i="186"/>
  <c r="G17" i="186" s="1"/>
  <c r="H16" i="186"/>
  <c r="F16" i="186"/>
  <c r="G16" i="186" s="1"/>
  <c r="H15" i="186"/>
  <c r="F15" i="186"/>
  <c r="G15" i="186" s="1"/>
  <c r="H14" i="186"/>
  <c r="F14" i="186"/>
  <c r="G14" i="186" s="1"/>
  <c r="H13" i="186"/>
  <c r="F13" i="186"/>
  <c r="G13" i="186" s="1"/>
  <c r="H8" i="186"/>
  <c r="O5" i="186" s="1"/>
  <c r="F8" i="186"/>
  <c r="M2" i="186" s="1"/>
  <c r="O2" i="186" s="1"/>
  <c r="E143" i="204" l="1"/>
  <c r="F143" i="204" s="1"/>
  <c r="E143" i="193"/>
  <c r="F143" i="193" s="1"/>
  <c r="D136" i="185"/>
  <c r="N48" i="186"/>
  <c r="N49" i="186" s="1"/>
  <c r="N50" i="186" s="1"/>
  <c r="H53" i="186"/>
  <c r="I25" i="186"/>
  <c r="I27" i="186"/>
  <c r="G39" i="186"/>
  <c r="I39" i="186" s="1"/>
  <c r="M3" i="186"/>
  <c r="O3" i="186" s="1"/>
  <c r="M4" i="186"/>
  <c r="O4" i="186" s="1"/>
  <c r="G35" i="186"/>
  <c r="I35" i="186" s="1"/>
  <c r="I10" i="186"/>
  <c r="I14" i="186"/>
  <c r="I18" i="186"/>
  <c r="I36" i="186"/>
  <c r="I38" i="186"/>
  <c r="I9" i="186"/>
  <c r="I24" i="186"/>
  <c r="I26" i="186"/>
  <c r="I29" i="186"/>
  <c r="H52" i="186"/>
  <c r="I37" i="186"/>
  <c r="I17" i="186"/>
  <c r="I21" i="186"/>
  <c r="I16" i="186"/>
  <c r="I20" i="186"/>
  <c r="I15" i="186"/>
  <c r="I19" i="186"/>
  <c r="I13" i="186"/>
  <c r="K13" i="186" s="1"/>
  <c r="I31" i="186"/>
  <c r="I33" i="186"/>
  <c r="I42" i="186"/>
  <c r="I44" i="186"/>
  <c r="I30" i="186"/>
  <c r="I32" i="186"/>
  <c r="I34" i="186"/>
  <c r="I41" i="186"/>
  <c r="I43" i="186"/>
  <c r="M53" i="186"/>
  <c r="M54" i="186" s="1"/>
  <c r="K36" i="186"/>
  <c r="K29" i="186"/>
  <c r="K37" i="186"/>
  <c r="G40" i="186"/>
  <c r="I40" i="186" s="1"/>
  <c r="G8" i="186"/>
  <c r="I8" i="186" s="1"/>
  <c r="K34" i="186"/>
  <c r="K38" i="186"/>
  <c r="O6" i="186" l="1"/>
  <c r="I46" i="186"/>
  <c r="I47" i="186" s="1"/>
  <c r="K8" i="186"/>
  <c r="E140" i="185" l="1"/>
  <c r="B140" i="185"/>
  <c r="A139" i="185"/>
  <c r="B139" i="185"/>
  <c r="A138" i="185"/>
  <c r="B138" i="185"/>
  <c r="E192" i="185"/>
  <c r="J173" i="185"/>
  <c r="E163" i="185"/>
  <c r="F163" i="185" s="1"/>
  <c r="K162" i="185"/>
  <c r="B162" i="185"/>
  <c r="A162" i="185"/>
  <c r="H161" i="185"/>
  <c r="J161" i="185" s="1"/>
  <c r="D161" i="185" s="1"/>
  <c r="E161" i="185"/>
  <c r="B160" i="185"/>
  <c r="A160" i="185"/>
  <c r="H159" i="185"/>
  <c r="J159" i="185" s="1"/>
  <c r="D159" i="185" s="1"/>
  <c r="E159" i="185"/>
  <c r="B158" i="185"/>
  <c r="A158" i="185"/>
  <c r="E157" i="185"/>
  <c r="D157" i="185"/>
  <c r="B157" i="185"/>
  <c r="A157" i="185"/>
  <c r="E156" i="185"/>
  <c r="B156" i="185"/>
  <c r="A156" i="185"/>
  <c r="B155" i="185"/>
  <c r="A155" i="185"/>
  <c r="H154" i="185"/>
  <c r="J154" i="185" s="1"/>
  <c r="D154" i="185" s="1"/>
  <c r="E154" i="185"/>
  <c r="B154" i="185"/>
  <c r="A154" i="185"/>
  <c r="H153" i="185"/>
  <c r="J153" i="185" s="1"/>
  <c r="D153" i="185" s="1"/>
  <c r="E153" i="185"/>
  <c r="B153" i="185"/>
  <c r="A153" i="185"/>
  <c r="B152" i="185"/>
  <c r="A152" i="185"/>
  <c r="A151" i="185"/>
  <c r="B148" i="185"/>
  <c r="A148" i="185"/>
  <c r="E147" i="185"/>
  <c r="B147" i="185"/>
  <c r="A147" i="185"/>
  <c r="L146" i="185"/>
  <c r="B146" i="185"/>
  <c r="A146" i="185"/>
  <c r="K145" i="185"/>
  <c r="B145" i="185"/>
  <c r="A145" i="185"/>
  <c r="J144" i="185"/>
  <c r="E144" i="185"/>
  <c r="F144" i="185" s="1"/>
  <c r="B143" i="185"/>
  <c r="A143" i="185"/>
  <c r="E142" i="185"/>
  <c r="B142" i="185"/>
  <c r="A142" i="185"/>
  <c r="B141" i="185"/>
  <c r="A141" i="185"/>
  <c r="J137" i="185"/>
  <c r="B135" i="185"/>
  <c r="A135" i="185"/>
  <c r="H134" i="185"/>
  <c r="J134" i="185" s="1"/>
  <c r="D134" i="185" s="1"/>
  <c r="E134" i="185"/>
  <c r="B134" i="185"/>
  <c r="A134" i="185"/>
  <c r="E133" i="185"/>
  <c r="B133" i="185"/>
  <c r="A133" i="185"/>
  <c r="E132" i="185"/>
  <c r="B132" i="185"/>
  <c r="A132" i="185"/>
  <c r="E131" i="185"/>
  <c r="B131" i="185"/>
  <c r="A131" i="185"/>
  <c r="E130" i="185"/>
  <c r="B130" i="185"/>
  <c r="A130" i="185"/>
  <c r="B129" i="185"/>
  <c r="A129" i="185"/>
  <c r="L128" i="185"/>
  <c r="E128" i="185"/>
  <c r="D128" i="185"/>
  <c r="B128" i="185"/>
  <c r="A128" i="185"/>
  <c r="L127" i="185"/>
  <c r="B127" i="185"/>
  <c r="A127" i="185"/>
  <c r="H126" i="185"/>
  <c r="D126" i="185" s="1"/>
  <c r="E126" i="185"/>
  <c r="B126" i="185"/>
  <c r="A126" i="185"/>
  <c r="B125" i="185"/>
  <c r="A125" i="185"/>
  <c r="E124" i="185"/>
  <c r="B124" i="185"/>
  <c r="A124" i="185"/>
  <c r="B123" i="185"/>
  <c r="A123" i="185"/>
  <c r="E122" i="185"/>
  <c r="D122" i="185"/>
  <c r="D118" i="185" s="1"/>
  <c r="B121" i="185"/>
  <c r="A121" i="185"/>
  <c r="N120" i="185"/>
  <c r="E120" i="185"/>
  <c r="D120" i="185"/>
  <c r="L119" i="185"/>
  <c r="L120" i="185" s="1"/>
  <c r="B119" i="185"/>
  <c r="A119" i="185"/>
  <c r="E118" i="185"/>
  <c r="B118" i="185"/>
  <c r="A118" i="185"/>
  <c r="B117" i="185"/>
  <c r="A117" i="185"/>
  <c r="K116" i="185"/>
  <c r="J116" i="185"/>
  <c r="E116" i="185"/>
  <c r="F116" i="185" s="1"/>
  <c r="B115" i="185"/>
  <c r="A115" i="185"/>
  <c r="E114" i="185"/>
  <c r="D114" i="185"/>
  <c r="B113" i="185"/>
  <c r="A113" i="185"/>
  <c r="L112" i="185"/>
  <c r="E112" i="185"/>
  <c r="L111" i="185"/>
  <c r="B111" i="185"/>
  <c r="A111" i="185"/>
  <c r="L110" i="185"/>
  <c r="E110" i="185"/>
  <c r="B109" i="185"/>
  <c r="A109" i="185"/>
  <c r="L108" i="185"/>
  <c r="A108" i="185"/>
  <c r="L107" i="185"/>
  <c r="B105" i="185"/>
  <c r="A105" i="185"/>
  <c r="B104" i="185"/>
  <c r="A104" i="185"/>
  <c r="B103" i="185"/>
  <c r="A103" i="185"/>
  <c r="B102" i="185"/>
  <c r="A102" i="185"/>
  <c r="B101" i="185"/>
  <c r="A101" i="185"/>
  <c r="B100" i="185"/>
  <c r="A100" i="185"/>
  <c r="B99" i="185"/>
  <c r="A99" i="185"/>
  <c r="B98" i="185"/>
  <c r="A98" i="185"/>
  <c r="E97" i="185"/>
  <c r="B97" i="185"/>
  <c r="A97" i="185"/>
  <c r="E96" i="185"/>
  <c r="B96" i="185"/>
  <c r="A96" i="185"/>
  <c r="B95" i="185"/>
  <c r="A95" i="185"/>
  <c r="H93" i="185"/>
  <c r="J93" i="185" s="1"/>
  <c r="D93" i="185" s="1"/>
  <c r="J92" i="185"/>
  <c r="D92" i="185" s="1"/>
  <c r="J91" i="185"/>
  <c r="J90" i="185"/>
  <c r="B90" i="185"/>
  <c r="A90" i="185"/>
  <c r="J89" i="185"/>
  <c r="E89" i="185"/>
  <c r="B89" i="185"/>
  <c r="A89" i="185"/>
  <c r="J88" i="185"/>
  <c r="E88" i="185"/>
  <c r="B88" i="185"/>
  <c r="A88" i="185"/>
  <c r="J87" i="185"/>
  <c r="B87" i="185"/>
  <c r="A87" i="185"/>
  <c r="B83" i="185"/>
  <c r="A83" i="185"/>
  <c r="E82" i="185"/>
  <c r="B81" i="185"/>
  <c r="A81" i="185"/>
  <c r="E80" i="185"/>
  <c r="B80" i="185"/>
  <c r="A80" i="185"/>
  <c r="B79" i="185"/>
  <c r="A79" i="185"/>
  <c r="A78" i="185"/>
  <c r="E75" i="185"/>
  <c r="B74" i="185"/>
  <c r="A74" i="185"/>
  <c r="E73" i="185"/>
  <c r="B72" i="185"/>
  <c r="A72" i="185"/>
  <c r="E71" i="185"/>
  <c r="B70" i="185"/>
  <c r="A70" i="185"/>
  <c r="H69" i="185"/>
  <c r="J69" i="185" s="1"/>
  <c r="E69" i="185"/>
  <c r="B69" i="185"/>
  <c r="A69" i="185"/>
  <c r="B68" i="185"/>
  <c r="A67" i="185"/>
  <c r="H64" i="185"/>
  <c r="J64" i="185" s="1"/>
  <c r="D64" i="185" s="1"/>
  <c r="E64" i="185"/>
  <c r="B63" i="185"/>
  <c r="A63" i="185"/>
  <c r="H62" i="185"/>
  <c r="J62" i="185" s="1"/>
  <c r="D62" i="185" s="1"/>
  <c r="E62" i="185"/>
  <c r="B61" i="185"/>
  <c r="A61" i="185"/>
  <c r="I60" i="185"/>
  <c r="H60" i="185"/>
  <c r="E60" i="185"/>
  <c r="B60" i="185"/>
  <c r="A60" i="185"/>
  <c r="B59" i="185"/>
  <c r="A59" i="185"/>
  <c r="I58" i="185"/>
  <c r="H58" i="185"/>
  <c r="E58" i="185"/>
  <c r="H57" i="185"/>
  <c r="B57" i="185"/>
  <c r="A57" i="185"/>
  <c r="I56" i="185"/>
  <c r="H56" i="185"/>
  <c r="E56" i="185"/>
  <c r="B55" i="185"/>
  <c r="A55" i="185"/>
  <c r="I54" i="185"/>
  <c r="F54" i="185"/>
  <c r="B54" i="185"/>
  <c r="A54" i="185"/>
  <c r="J53" i="185"/>
  <c r="D53" i="185" s="1"/>
  <c r="E53" i="185"/>
  <c r="B53" i="185"/>
  <c r="A53" i="185"/>
  <c r="I52" i="185"/>
  <c r="F52" i="185"/>
  <c r="B52" i="185"/>
  <c r="A52" i="185"/>
  <c r="I51" i="185"/>
  <c r="F51" i="185"/>
  <c r="B51" i="185"/>
  <c r="A51" i="185"/>
  <c r="B50" i="185"/>
  <c r="A50" i="185"/>
  <c r="J49" i="185"/>
  <c r="D49" i="185" s="1"/>
  <c r="E49" i="185"/>
  <c r="B48" i="185"/>
  <c r="A48" i="185"/>
  <c r="E47" i="185"/>
  <c r="B47" i="185"/>
  <c r="A47" i="185"/>
  <c r="B46" i="185"/>
  <c r="A46" i="185"/>
  <c r="F45" i="185"/>
  <c r="B44" i="185"/>
  <c r="A44" i="185"/>
  <c r="A43" i="185"/>
  <c r="E38" i="185"/>
  <c r="F38" i="185" s="1"/>
  <c r="F39" i="185" s="1"/>
  <c r="B37" i="185"/>
  <c r="A37" i="185"/>
  <c r="J36" i="185"/>
  <c r="B35" i="185"/>
  <c r="A35" i="185"/>
  <c r="B33" i="185"/>
  <c r="A33" i="185"/>
  <c r="G32" i="185"/>
  <c r="B31" i="185"/>
  <c r="A31" i="185"/>
  <c r="B29" i="185"/>
  <c r="A29" i="185"/>
  <c r="G28" i="185"/>
  <c r="N27" i="185"/>
  <c r="B27" i="185"/>
  <c r="A27" i="185"/>
  <c r="A26" i="185"/>
  <c r="H24" i="185"/>
  <c r="B22" i="185"/>
  <c r="A22" i="185"/>
  <c r="J20" i="185"/>
  <c r="B20" i="185"/>
  <c r="A20" i="185"/>
  <c r="A19" i="185"/>
  <c r="I17" i="185"/>
  <c r="J17" i="185" s="1"/>
  <c r="H17" i="185"/>
  <c r="I16" i="185"/>
  <c r="J16" i="185" s="1"/>
  <c r="H16" i="185"/>
  <c r="J15" i="185"/>
  <c r="H15" i="185"/>
  <c r="J14" i="185"/>
  <c r="H14" i="185"/>
  <c r="J13" i="185"/>
  <c r="H13" i="185"/>
  <c r="I12" i="185"/>
  <c r="H142" i="185"/>
  <c r="J142" i="185" s="1"/>
  <c r="D142" i="185" s="1"/>
  <c r="F9" i="185"/>
  <c r="H138" i="185" s="1"/>
  <c r="K8" i="185"/>
  <c r="F7" i="185"/>
  <c r="H130" i="185" s="1"/>
  <c r="J130" i="185" s="1"/>
  <c r="F6" i="185"/>
  <c r="H131" i="185" s="1"/>
  <c r="J131" i="185" s="1"/>
  <c r="D131" i="185" s="1"/>
  <c r="F5" i="185"/>
  <c r="H132" i="185" s="1"/>
  <c r="J132" i="185" s="1"/>
  <c r="D132" i="185" s="1"/>
  <c r="F4" i="185"/>
  <c r="H133" i="185" s="1"/>
  <c r="J133" i="185" s="1"/>
  <c r="D133" i="185" s="1"/>
  <c r="A1" i="185"/>
  <c r="H18" i="185" l="1"/>
  <c r="H19" i="185" s="1"/>
  <c r="H85" i="185" s="1"/>
  <c r="J85" i="185" s="1"/>
  <c r="D85" i="185" s="1"/>
  <c r="J60" i="185"/>
  <c r="H124" i="185" s="1"/>
  <c r="J124" i="185" s="1"/>
  <c r="D124" i="185" s="1"/>
  <c r="F124" i="185" s="1"/>
  <c r="F62" i="185"/>
  <c r="F161" i="185"/>
  <c r="F142" i="185"/>
  <c r="J56" i="185"/>
  <c r="D56" i="185" s="1"/>
  <c r="F56" i="185" s="1"/>
  <c r="H125" i="185"/>
  <c r="J125" i="185" s="1"/>
  <c r="D125" i="185" s="1"/>
  <c r="K117" i="185"/>
  <c r="L100" i="185"/>
  <c r="H147" i="185"/>
  <c r="H52" i="185"/>
  <c r="H54" i="185" s="1"/>
  <c r="J54" i="185" s="1"/>
  <c r="H47" i="185"/>
  <c r="J47" i="185" s="1"/>
  <c r="D47" i="185" s="1"/>
  <c r="F47" i="185" s="1"/>
  <c r="D137" i="185"/>
  <c r="F137" i="185" s="1"/>
  <c r="L102" i="185"/>
  <c r="J138" i="185"/>
  <c r="J18" i="185"/>
  <c r="F10" i="185"/>
  <c r="F122" i="185"/>
  <c r="F114" i="185"/>
  <c r="F126" i="185"/>
  <c r="F132" i="185"/>
  <c r="F133" i="185"/>
  <c r="F157" i="185"/>
  <c r="F134" i="185"/>
  <c r="F64" i="185"/>
  <c r="F120" i="185"/>
  <c r="F128" i="185"/>
  <c r="F53" i="185"/>
  <c r="F159" i="185"/>
  <c r="F154" i="185"/>
  <c r="F153" i="185"/>
  <c r="F49" i="185"/>
  <c r="F131" i="185"/>
  <c r="F118" i="185"/>
  <c r="F156" i="185"/>
  <c r="H78" i="185"/>
  <c r="D96" i="185"/>
  <c r="F96" i="185" s="1"/>
  <c r="D97" i="185"/>
  <c r="F97" i="185" s="1"/>
  <c r="J147" i="185"/>
  <c r="D147" i="185" s="1"/>
  <c r="F147" i="185" s="1"/>
  <c r="D130" i="185"/>
  <c r="F130" i="185" s="1"/>
  <c r="D69" i="185"/>
  <c r="J70" i="185"/>
  <c r="J52" i="185"/>
  <c r="H73" i="185"/>
  <c r="J73" i="185" s="1"/>
  <c r="J51" i="185"/>
  <c r="H75" i="185"/>
  <c r="J75" i="185" s="1"/>
  <c r="D75" i="185" s="1"/>
  <c r="F75" i="185" s="1"/>
  <c r="J58" i="185"/>
  <c r="D58" i="185" s="1"/>
  <c r="F58" i="185" s="1"/>
  <c r="D60" i="185" l="1"/>
  <c r="F60" i="185" s="1"/>
  <c r="D138" i="185"/>
  <c r="L103" i="185"/>
  <c r="H139" i="185"/>
  <c r="F11" i="185"/>
  <c r="H140" i="185" s="1"/>
  <c r="J140" i="185" s="1"/>
  <c r="P102" i="185"/>
  <c r="M102" i="185"/>
  <c r="J19" i="185"/>
  <c r="H86" i="185" s="1"/>
  <c r="J86" i="185" s="1"/>
  <c r="P100" i="185"/>
  <c r="M100" i="185"/>
  <c r="F65" i="185"/>
  <c r="F164" i="185"/>
  <c r="D101" i="185"/>
  <c r="D88" i="185"/>
  <c r="F88" i="185" s="1"/>
  <c r="F69" i="185"/>
  <c r="D71" i="185"/>
  <c r="F71" i="185" s="1"/>
  <c r="K73" i="185"/>
  <c r="D73" i="185" s="1"/>
  <c r="F73" i="185" s="1"/>
  <c r="J78" i="185"/>
  <c r="H82" i="185"/>
  <c r="J82" i="185" s="1"/>
  <c r="D82" i="185" s="1"/>
  <c r="F82" i="185" s="1"/>
  <c r="L113" i="125"/>
  <c r="J186" i="125"/>
  <c r="D186" i="125" s="1"/>
  <c r="D153" i="91"/>
  <c r="A198" i="125"/>
  <c r="B198" i="125"/>
  <c r="E37" i="125"/>
  <c r="E28" i="91"/>
  <c r="H15" i="91"/>
  <c r="H70" i="91"/>
  <c r="H74" i="91" s="1"/>
  <c r="D125" i="91"/>
  <c r="D99" i="91"/>
  <c r="H112" i="125"/>
  <c r="H97" i="91"/>
  <c r="C105" i="91"/>
  <c r="A105" i="91"/>
  <c r="B105" i="91"/>
  <c r="H173" i="125"/>
  <c r="F116" i="125"/>
  <c r="C120" i="125"/>
  <c r="A120" i="125"/>
  <c r="B120" i="125"/>
  <c r="H87" i="125"/>
  <c r="I63" i="125"/>
  <c r="D86" i="185" l="1"/>
  <c r="H80" i="185"/>
  <c r="J80" i="185" s="1"/>
  <c r="D80" i="185" s="1"/>
  <c r="F80" i="185" s="1"/>
  <c r="J139" i="185"/>
  <c r="H146" i="185"/>
  <c r="J146" i="185" s="1"/>
  <c r="D146" i="185" s="1"/>
  <c r="P103" i="185"/>
  <c r="M103" i="185"/>
  <c r="D140" i="185"/>
  <c r="F140" i="185" s="1"/>
  <c r="L105" i="185"/>
  <c r="D104" i="185"/>
  <c r="F76" i="185"/>
  <c r="D104" i="91"/>
  <c r="P105" i="185" l="1"/>
  <c r="M105" i="185"/>
  <c r="D139" i="185"/>
  <c r="L104" i="185"/>
  <c r="D89" i="185"/>
  <c r="F89" i="185" s="1"/>
  <c r="D102" i="185"/>
  <c r="D105" i="185" s="1"/>
  <c r="P104" i="185" l="1"/>
  <c r="P106" i="185" s="1"/>
  <c r="M104" i="185"/>
  <c r="M106" i="185" s="1"/>
  <c r="H110" i="185" s="1"/>
  <c r="H112" i="185" l="1"/>
  <c r="J112" i="185" s="1"/>
  <c r="D112" i="185" s="1"/>
  <c r="F112" i="185" s="1"/>
  <c r="J110" i="185"/>
  <c r="D110" i="185" s="1"/>
  <c r="F110" i="185" s="1"/>
  <c r="F16" i="125" l="1"/>
  <c r="F15" i="125"/>
  <c r="F13" i="125"/>
  <c r="H115" i="125" l="1"/>
  <c r="F17" i="125"/>
  <c r="H200" i="125" s="1"/>
  <c r="J200" i="125" s="1"/>
  <c r="I13" i="125"/>
  <c r="H17" i="125"/>
  <c r="G93" i="125" s="1"/>
  <c r="H46" i="125"/>
  <c r="H185" i="125"/>
  <c r="H93" i="125"/>
  <c r="H105" i="125" s="1"/>
  <c r="I15" i="125"/>
  <c r="I16" i="125"/>
  <c r="I14" i="125"/>
  <c r="H95" i="125"/>
  <c r="H108" i="125"/>
  <c r="H94" i="125"/>
  <c r="C126" i="125"/>
  <c r="C124" i="125"/>
  <c r="C123" i="125"/>
  <c r="A121" i="125"/>
  <c r="A122" i="125"/>
  <c r="A123" i="125"/>
  <c r="A124" i="125"/>
  <c r="A125" i="125"/>
  <c r="A126" i="125"/>
  <c r="A127" i="125"/>
  <c r="B122" i="125"/>
  <c r="B123" i="125"/>
  <c r="B124" i="125"/>
  <c r="B125" i="125"/>
  <c r="B126" i="125"/>
  <c r="B127" i="125"/>
  <c r="B121" i="125"/>
  <c r="C112" i="91"/>
  <c r="C111" i="91"/>
  <c r="C109" i="91"/>
  <c r="C108" i="91"/>
  <c r="A106" i="91"/>
  <c r="A107" i="91"/>
  <c r="A108" i="91"/>
  <c r="A109" i="91"/>
  <c r="A110" i="91"/>
  <c r="A111" i="91"/>
  <c r="A112" i="91"/>
  <c r="B107" i="91"/>
  <c r="B108" i="91"/>
  <c r="B109" i="91"/>
  <c r="B110" i="91"/>
  <c r="B111" i="91"/>
  <c r="B112" i="91"/>
  <c r="B106" i="91"/>
  <c r="C32" i="91"/>
  <c r="C30" i="91"/>
  <c r="C28" i="91"/>
  <c r="C26" i="91"/>
  <c r="C24" i="91"/>
  <c r="C22" i="91"/>
  <c r="C20" i="91"/>
  <c r="C39" i="125"/>
  <c r="C37" i="125"/>
  <c r="C35" i="125"/>
  <c r="C33" i="125"/>
  <c r="C31" i="125"/>
  <c r="C29" i="125"/>
  <c r="E130" i="109"/>
  <c r="F130" i="109" l="1"/>
  <c r="I17" i="125"/>
  <c r="H81" i="125" s="1"/>
  <c r="H106" i="125"/>
  <c r="J106" i="125" s="1"/>
  <c r="D106" i="125" s="1"/>
  <c r="G94" i="125"/>
  <c r="J115" i="125"/>
  <c r="D115" i="125" s="1"/>
  <c r="H114" i="125"/>
  <c r="J105" i="125"/>
  <c r="D105" i="125" s="1"/>
  <c r="H102" i="125"/>
  <c r="H96" i="125"/>
  <c r="C148" i="178"/>
  <c r="C146" i="178"/>
  <c r="C145" i="178"/>
  <c r="C143" i="178"/>
  <c r="A142" i="178"/>
  <c r="A143" i="178"/>
  <c r="A144" i="178"/>
  <c r="A145" i="178"/>
  <c r="A146" i="178"/>
  <c r="A147" i="178"/>
  <c r="C138" i="178"/>
  <c r="C137" i="178"/>
  <c r="C135" i="178"/>
  <c r="C133" i="178"/>
  <c r="C132" i="178"/>
  <c r="C131" i="178"/>
  <c r="C130" i="178"/>
  <c r="C129" i="178"/>
  <c r="C127" i="178"/>
  <c r="C126" i="178"/>
  <c r="C124" i="178"/>
  <c r="C123" i="178"/>
  <c r="C122" i="178"/>
  <c r="C120" i="178"/>
  <c r="C118" i="178"/>
  <c r="C116" i="178"/>
  <c r="C114" i="178"/>
  <c r="C112" i="178"/>
  <c r="C110" i="178"/>
  <c r="C108" i="178"/>
  <c r="C106" i="178"/>
  <c r="A105" i="178"/>
  <c r="A107" i="178"/>
  <c r="A109" i="178"/>
  <c r="A111" i="178"/>
  <c r="A113" i="178"/>
  <c r="A115" i="178"/>
  <c r="A116" i="178"/>
  <c r="A117" i="178"/>
  <c r="A119" i="178"/>
  <c r="A121" i="178"/>
  <c r="A122" i="178"/>
  <c r="A123" i="178"/>
  <c r="A124" i="178"/>
  <c r="A125" i="178"/>
  <c r="A126" i="178"/>
  <c r="A127" i="178"/>
  <c r="A128" i="178"/>
  <c r="A129" i="178"/>
  <c r="A130" i="178"/>
  <c r="A131" i="178"/>
  <c r="A132" i="178"/>
  <c r="A133" i="178"/>
  <c r="A134" i="178"/>
  <c r="A136" i="178"/>
  <c r="A137" i="178"/>
  <c r="A138" i="178"/>
  <c r="C101" i="178"/>
  <c r="C100" i="178"/>
  <c r="C98" i="178"/>
  <c r="C97" i="178"/>
  <c r="C94" i="178"/>
  <c r="C93" i="178"/>
  <c r="C92" i="178"/>
  <c r="C85" i="178"/>
  <c r="C84" i="178"/>
  <c r="C83" i="178"/>
  <c r="C76" i="178"/>
  <c r="C74" i="178"/>
  <c r="A73" i="178"/>
  <c r="A74" i="178"/>
  <c r="A75" i="178"/>
  <c r="A77" i="178"/>
  <c r="A82" i="178"/>
  <c r="A83" i="178"/>
  <c r="A84" i="178"/>
  <c r="A85" i="178"/>
  <c r="A86" i="178"/>
  <c r="A91" i="178"/>
  <c r="A92" i="178"/>
  <c r="A93" i="178"/>
  <c r="A94" i="178"/>
  <c r="A95" i="178"/>
  <c r="A96" i="178"/>
  <c r="A97" i="178"/>
  <c r="A98" i="178"/>
  <c r="A99" i="178"/>
  <c r="A100" i="178"/>
  <c r="A101" i="178"/>
  <c r="C69" i="178"/>
  <c r="C67" i="178"/>
  <c r="C65" i="178"/>
  <c r="C60" i="178"/>
  <c r="C58" i="178"/>
  <c r="C56" i="178"/>
  <c r="C54" i="178"/>
  <c r="C52" i="178"/>
  <c r="C50" i="178"/>
  <c r="C49" i="178"/>
  <c r="C48" i="178"/>
  <c r="C47" i="178"/>
  <c r="C45" i="178"/>
  <c r="C43" i="178"/>
  <c r="C41" i="178"/>
  <c r="A59" i="178"/>
  <c r="A57" i="178"/>
  <c r="A56" i="178"/>
  <c r="A55" i="178"/>
  <c r="A53" i="178"/>
  <c r="A51" i="178"/>
  <c r="A50" i="178"/>
  <c r="A49" i="178"/>
  <c r="A48" i="178"/>
  <c r="A47" i="178"/>
  <c r="A46" i="178"/>
  <c r="A44" i="178"/>
  <c r="A43" i="178"/>
  <c r="A42" i="178"/>
  <c r="A40" i="178"/>
  <c r="C34" i="178"/>
  <c r="C32" i="178"/>
  <c r="C30" i="178"/>
  <c r="C28" i="178"/>
  <c r="C26" i="178"/>
  <c r="C24" i="178"/>
  <c r="C19" i="178"/>
  <c r="C17" i="178"/>
  <c r="A23" i="178"/>
  <c r="A25" i="178"/>
  <c r="A27" i="178"/>
  <c r="A29" i="178"/>
  <c r="A31" i="178"/>
  <c r="A33" i="178"/>
  <c r="A16" i="178"/>
  <c r="A18" i="178"/>
  <c r="C163" i="88"/>
  <c r="C161" i="88"/>
  <c r="C159" i="88"/>
  <c r="C157" i="88"/>
  <c r="C156" i="88"/>
  <c r="C154" i="88"/>
  <c r="C153" i="88"/>
  <c r="A152" i="88"/>
  <c r="A153" i="88"/>
  <c r="A154" i="88"/>
  <c r="A155" i="88"/>
  <c r="A156" i="88"/>
  <c r="A157" i="88"/>
  <c r="A158" i="88"/>
  <c r="A160" i="88"/>
  <c r="A162" i="88"/>
  <c r="C148" i="88"/>
  <c r="C147" i="88"/>
  <c r="C146" i="88"/>
  <c r="C144" i="88"/>
  <c r="C142" i="88"/>
  <c r="C140" i="88"/>
  <c r="C139" i="88"/>
  <c r="C138" i="88"/>
  <c r="C137" i="88"/>
  <c r="C135" i="88"/>
  <c r="C134" i="88"/>
  <c r="C131" i="88"/>
  <c r="C130" i="88"/>
  <c r="C128" i="88"/>
  <c r="C126" i="88"/>
  <c r="C125" i="88"/>
  <c r="C124" i="88"/>
  <c r="C122" i="88"/>
  <c r="C120" i="88"/>
  <c r="C118" i="88"/>
  <c r="C116" i="88"/>
  <c r="C114" i="88"/>
  <c r="C112" i="88"/>
  <c r="C110" i="88"/>
  <c r="A109" i="88"/>
  <c r="A111" i="88"/>
  <c r="A113" i="88"/>
  <c r="A115" i="88"/>
  <c r="A117" i="88"/>
  <c r="A118" i="88"/>
  <c r="A119" i="88"/>
  <c r="A121" i="88"/>
  <c r="A123" i="88"/>
  <c r="A124" i="88"/>
  <c r="A125" i="88"/>
  <c r="A126" i="88"/>
  <c r="A127" i="88"/>
  <c r="A128" i="88"/>
  <c r="A129" i="88"/>
  <c r="A130" i="88"/>
  <c r="A131" i="88"/>
  <c r="A132" i="88"/>
  <c r="A134" i="88"/>
  <c r="A135" i="88"/>
  <c r="A136" i="88"/>
  <c r="A137" i="88"/>
  <c r="A138" i="88"/>
  <c r="A139" i="88"/>
  <c r="A140" i="88"/>
  <c r="A141" i="88"/>
  <c r="A142" i="88"/>
  <c r="A143" i="88"/>
  <c r="A145" i="88"/>
  <c r="A146" i="88"/>
  <c r="A147" i="88"/>
  <c r="A148" i="88"/>
  <c r="C105" i="88"/>
  <c r="C104" i="88"/>
  <c r="C102" i="88"/>
  <c r="C101" i="88"/>
  <c r="C98" i="88"/>
  <c r="C97" i="88"/>
  <c r="C96" i="88"/>
  <c r="C89" i="88"/>
  <c r="C88" i="88"/>
  <c r="C82" i="88"/>
  <c r="C80" i="88"/>
  <c r="A79" i="88"/>
  <c r="A80" i="88"/>
  <c r="A81" i="88"/>
  <c r="A83" i="88"/>
  <c r="A87" i="88"/>
  <c r="A88" i="88"/>
  <c r="A89" i="88"/>
  <c r="A90" i="88"/>
  <c r="A95" i="88"/>
  <c r="A96" i="88"/>
  <c r="A97" i="88"/>
  <c r="A98" i="88"/>
  <c r="A99" i="88"/>
  <c r="A100" i="88"/>
  <c r="A101" i="88"/>
  <c r="A102" i="88"/>
  <c r="A103" i="88"/>
  <c r="A104" i="88"/>
  <c r="A105" i="88"/>
  <c r="C75" i="88"/>
  <c r="C73" i="88"/>
  <c r="C71" i="88"/>
  <c r="C69" i="88"/>
  <c r="A68" i="88"/>
  <c r="A69" i="88"/>
  <c r="A70" i="88"/>
  <c r="A72" i="88"/>
  <c r="A74" i="88"/>
  <c r="H74" i="125" l="1"/>
  <c r="H79" i="125" s="1"/>
  <c r="G79" i="125"/>
  <c r="J79" i="125" s="1"/>
  <c r="H48" i="125"/>
  <c r="G81" i="125"/>
  <c r="J81" i="125" s="1"/>
  <c r="D81" i="125" s="1"/>
  <c r="H49" i="125"/>
  <c r="H18" i="125"/>
  <c r="D124" i="125"/>
  <c r="D127" i="125" s="1"/>
  <c r="D109" i="125"/>
  <c r="D123" i="125"/>
  <c r="D126" i="125" s="1"/>
  <c r="D108" i="125"/>
  <c r="D120" i="125"/>
  <c r="C64" i="88"/>
  <c r="C62" i="88"/>
  <c r="C60" i="88"/>
  <c r="C58" i="88"/>
  <c r="C56" i="88"/>
  <c r="C54" i="88"/>
  <c r="C53" i="88"/>
  <c r="C52" i="88"/>
  <c r="C51" i="88"/>
  <c r="C49" i="88"/>
  <c r="C47" i="88"/>
  <c r="C45" i="88"/>
  <c r="C23" i="88" l="1"/>
  <c r="C21" i="88"/>
  <c r="A22" i="88"/>
  <c r="A20" i="88"/>
  <c r="A151" i="169" l="1"/>
  <c r="A152" i="169"/>
  <c r="A153" i="169"/>
  <c r="A154" i="169"/>
  <c r="A155" i="169"/>
  <c r="A156" i="169"/>
  <c r="A157" i="169"/>
  <c r="A159" i="169"/>
  <c r="A161" i="169"/>
  <c r="A109" i="169"/>
  <c r="A111" i="169"/>
  <c r="A113" i="169"/>
  <c r="A115" i="169"/>
  <c r="A117" i="169"/>
  <c r="A118" i="169"/>
  <c r="A119" i="169"/>
  <c r="A121" i="169"/>
  <c r="A123" i="169"/>
  <c r="A124" i="169"/>
  <c r="A125" i="169"/>
  <c r="A126" i="169"/>
  <c r="A127" i="169"/>
  <c r="A128" i="169"/>
  <c r="A129" i="169"/>
  <c r="A130" i="169"/>
  <c r="A131" i="169"/>
  <c r="A132" i="169"/>
  <c r="A133" i="169"/>
  <c r="A134" i="169"/>
  <c r="A135" i="169"/>
  <c r="A136" i="169"/>
  <c r="A137" i="169"/>
  <c r="A138" i="169"/>
  <c r="A139" i="169"/>
  <c r="A140" i="169"/>
  <c r="A141" i="169"/>
  <c r="A142" i="169"/>
  <c r="A144" i="169"/>
  <c r="A145" i="169"/>
  <c r="A146" i="169"/>
  <c r="A147" i="169"/>
  <c r="A79" i="169"/>
  <c r="A80" i="169"/>
  <c r="A81" i="169"/>
  <c r="A83" i="169"/>
  <c r="A87" i="169"/>
  <c r="A88" i="169"/>
  <c r="A89" i="169"/>
  <c r="A90" i="169"/>
  <c r="A95" i="169"/>
  <c r="A96" i="169"/>
  <c r="A97" i="169"/>
  <c r="A98" i="169"/>
  <c r="A99" i="169"/>
  <c r="A100" i="169"/>
  <c r="A101" i="169"/>
  <c r="A102" i="169"/>
  <c r="A103" i="169"/>
  <c r="A104" i="169"/>
  <c r="A105" i="169"/>
  <c r="A68" i="169"/>
  <c r="A69" i="169"/>
  <c r="A70" i="169"/>
  <c r="A72" i="169"/>
  <c r="A74" i="169"/>
  <c r="A50" i="169"/>
  <c r="A48" i="169"/>
  <c r="A63" i="169"/>
  <c r="A61" i="169"/>
  <c r="A60" i="169"/>
  <c r="A59" i="169"/>
  <c r="A57" i="169"/>
  <c r="A55" i="169"/>
  <c r="A51" i="169"/>
  <c r="A52" i="169"/>
  <c r="A53" i="169"/>
  <c r="A54" i="169"/>
  <c r="B54" i="169"/>
  <c r="B53" i="169"/>
  <c r="B52" i="169"/>
  <c r="A47" i="169"/>
  <c r="A46" i="169"/>
  <c r="A44" i="169"/>
  <c r="A27" i="169"/>
  <c r="A20" i="169"/>
  <c r="C30" i="94"/>
  <c r="A29" i="94"/>
  <c r="B29" i="94"/>
  <c r="A28" i="94"/>
  <c r="C25" i="94"/>
  <c r="C23" i="94"/>
  <c r="A22" i="94"/>
  <c r="A24" i="94"/>
  <c r="B24" i="94"/>
  <c r="B22" i="94"/>
  <c r="A21" i="94"/>
  <c r="J62" i="182" l="1"/>
  <c r="A1" i="183"/>
  <c r="D158" i="183"/>
  <c r="I137" i="183"/>
  <c r="G133" i="183"/>
  <c r="I133" i="183" s="1"/>
  <c r="B132" i="183"/>
  <c r="A132" i="183"/>
  <c r="B131" i="183"/>
  <c r="A131" i="183"/>
  <c r="B130" i="183"/>
  <c r="A130" i="183"/>
  <c r="B129" i="183"/>
  <c r="A129" i="183"/>
  <c r="B128" i="183"/>
  <c r="A128" i="183"/>
  <c r="B127" i="183"/>
  <c r="A127" i="183"/>
  <c r="A126" i="183"/>
  <c r="B125" i="183"/>
  <c r="A125" i="183"/>
  <c r="B124" i="183"/>
  <c r="A124" i="183"/>
  <c r="B123" i="183"/>
  <c r="A123" i="183"/>
  <c r="B121" i="183"/>
  <c r="A121" i="183"/>
  <c r="B120" i="183"/>
  <c r="A120" i="183"/>
  <c r="K119" i="183"/>
  <c r="H119" i="183"/>
  <c r="H120" i="183" s="1"/>
  <c r="B119" i="183"/>
  <c r="A119" i="183"/>
  <c r="B118" i="183"/>
  <c r="A118" i="183"/>
  <c r="B117" i="183"/>
  <c r="A117" i="183"/>
  <c r="B116" i="183"/>
  <c r="A116" i="183"/>
  <c r="B115" i="183"/>
  <c r="A115" i="183"/>
  <c r="B114" i="183"/>
  <c r="A114" i="183"/>
  <c r="I113" i="183"/>
  <c r="B113" i="183"/>
  <c r="A113" i="183"/>
  <c r="B112" i="183"/>
  <c r="A112" i="183"/>
  <c r="B111" i="183"/>
  <c r="A111" i="183"/>
  <c r="B110" i="183"/>
  <c r="A110" i="183"/>
  <c r="B109" i="183"/>
  <c r="A109" i="183"/>
  <c r="B107" i="183"/>
  <c r="A107" i="183"/>
  <c r="M106" i="183"/>
  <c r="K105" i="183"/>
  <c r="K106" i="183" s="1"/>
  <c r="B105" i="183"/>
  <c r="A105" i="183"/>
  <c r="B104" i="183"/>
  <c r="A104" i="183"/>
  <c r="B103" i="183"/>
  <c r="A103" i="183"/>
  <c r="J102" i="183"/>
  <c r="I102" i="183"/>
  <c r="B101" i="183"/>
  <c r="A101" i="183"/>
  <c r="B99" i="183"/>
  <c r="A99" i="183"/>
  <c r="K98" i="183"/>
  <c r="M97" i="183"/>
  <c r="O97" i="183" s="1"/>
  <c r="J97" i="183"/>
  <c r="L97" i="183" s="1"/>
  <c r="G97" i="183"/>
  <c r="I97" i="183" s="1"/>
  <c r="B97" i="183"/>
  <c r="A97" i="183"/>
  <c r="M96" i="183"/>
  <c r="O96" i="183" s="1"/>
  <c r="J96" i="183"/>
  <c r="L96" i="183" s="1"/>
  <c r="K95" i="183"/>
  <c r="B95" i="183"/>
  <c r="A95" i="183"/>
  <c r="K94" i="183"/>
  <c r="G94" i="183"/>
  <c r="G96" i="183" s="1"/>
  <c r="I96" i="183" s="1"/>
  <c r="B93" i="183"/>
  <c r="A93" i="183"/>
  <c r="A92" i="183"/>
  <c r="B91" i="183"/>
  <c r="A91" i="183"/>
  <c r="B90" i="183"/>
  <c r="A90" i="183"/>
  <c r="B89" i="183"/>
  <c r="A89" i="183"/>
  <c r="B88" i="183"/>
  <c r="A88" i="183"/>
  <c r="B87" i="183"/>
  <c r="A87" i="183"/>
  <c r="B86" i="183"/>
  <c r="A86" i="183"/>
  <c r="B85" i="183"/>
  <c r="A85" i="183"/>
  <c r="B84" i="183"/>
  <c r="A84" i="183"/>
  <c r="B83" i="183"/>
  <c r="A83" i="183"/>
  <c r="B82" i="183"/>
  <c r="A82" i="183"/>
  <c r="B81" i="183"/>
  <c r="A81" i="183"/>
  <c r="G77" i="183"/>
  <c r="I77" i="183" s="1"/>
  <c r="B76" i="183"/>
  <c r="A76" i="183"/>
  <c r="B75" i="183"/>
  <c r="A75" i="183"/>
  <c r="B74" i="183"/>
  <c r="A74" i="183"/>
  <c r="B73" i="183"/>
  <c r="A73" i="183"/>
  <c r="B72" i="183"/>
  <c r="A72" i="183"/>
  <c r="B67" i="183"/>
  <c r="A67" i="183"/>
  <c r="B65" i="183"/>
  <c r="A65" i="183"/>
  <c r="H64" i="183"/>
  <c r="B64" i="183"/>
  <c r="A64" i="183"/>
  <c r="B63" i="183"/>
  <c r="A63" i="183"/>
  <c r="H62" i="183"/>
  <c r="A62" i="183"/>
  <c r="B60" i="183"/>
  <c r="A60" i="183"/>
  <c r="B58" i="183"/>
  <c r="A58" i="183"/>
  <c r="B57" i="183"/>
  <c r="A57" i="183"/>
  <c r="B56" i="183"/>
  <c r="A56" i="183"/>
  <c r="A55" i="183"/>
  <c r="G54" i="183"/>
  <c r="I54" i="183" s="1"/>
  <c r="B53" i="183"/>
  <c r="A53" i="183"/>
  <c r="G52" i="183"/>
  <c r="I52" i="183" s="1"/>
  <c r="B51" i="183"/>
  <c r="A51" i="183"/>
  <c r="G50" i="183"/>
  <c r="G111" i="183" s="1"/>
  <c r="I111" i="183" s="1"/>
  <c r="B50" i="183"/>
  <c r="A50" i="183"/>
  <c r="B49" i="183"/>
  <c r="A49" i="183"/>
  <c r="H47" i="183"/>
  <c r="G47" i="183"/>
  <c r="B47" i="183"/>
  <c r="A47" i="183"/>
  <c r="H46" i="183"/>
  <c r="G46" i="183"/>
  <c r="H45" i="183"/>
  <c r="I45" i="183" s="1"/>
  <c r="B45" i="183"/>
  <c r="A45" i="183"/>
  <c r="H44" i="183"/>
  <c r="B44" i="183"/>
  <c r="A44" i="183"/>
  <c r="H43" i="183"/>
  <c r="B43" i="183"/>
  <c r="A43" i="183"/>
  <c r="H42" i="183"/>
  <c r="B42" i="183"/>
  <c r="A42" i="183"/>
  <c r="H41" i="183"/>
  <c r="B41" i="183"/>
  <c r="A41" i="183"/>
  <c r="B40" i="183"/>
  <c r="A40" i="183"/>
  <c r="I39" i="183"/>
  <c r="B38" i="183"/>
  <c r="A38" i="183"/>
  <c r="B37" i="183"/>
  <c r="A37" i="183"/>
  <c r="B35" i="183"/>
  <c r="A35" i="183"/>
  <c r="A34" i="183"/>
  <c r="B32" i="183"/>
  <c r="A32" i="183"/>
  <c r="B30" i="183"/>
  <c r="A30" i="183"/>
  <c r="B28" i="183"/>
  <c r="A28" i="183"/>
  <c r="F27" i="183"/>
  <c r="B26" i="183"/>
  <c r="A26" i="183"/>
  <c r="B24" i="183"/>
  <c r="A24" i="183"/>
  <c r="G23" i="183"/>
  <c r="G25" i="183" s="1"/>
  <c r="F25" i="183" s="1"/>
  <c r="F23" i="183"/>
  <c r="B22" i="183"/>
  <c r="A22" i="183"/>
  <c r="M21" i="183"/>
  <c r="A21" i="183"/>
  <c r="B19" i="183"/>
  <c r="A19" i="183"/>
  <c r="G17" i="183"/>
  <c r="G20" i="183" s="1"/>
  <c r="B17" i="183"/>
  <c r="A17" i="183"/>
  <c r="A16" i="183"/>
  <c r="J13" i="183"/>
  <c r="O12" i="183"/>
  <c r="M12" i="183"/>
  <c r="M13" i="183" s="1"/>
  <c r="M15" i="183" s="1"/>
  <c r="G69" i="183" s="1"/>
  <c r="I69" i="183" s="1"/>
  <c r="O11" i="183"/>
  <c r="L11" i="183"/>
  <c r="E10" i="183"/>
  <c r="O10" i="183" s="1"/>
  <c r="E9" i="183"/>
  <c r="H7" i="183"/>
  <c r="E7" i="183"/>
  <c r="G117" i="183" s="1"/>
  <c r="E6" i="183"/>
  <c r="E5" i="183"/>
  <c r="G120" i="183" s="1"/>
  <c r="E4" i="183"/>
  <c r="G119" i="183" s="1"/>
  <c r="E3" i="183"/>
  <c r="E172" i="182"/>
  <c r="J151" i="182"/>
  <c r="H142" i="182"/>
  <c r="J142" i="182" s="1"/>
  <c r="D142" i="182" s="1"/>
  <c r="B141" i="182"/>
  <c r="A141" i="182"/>
  <c r="B140" i="182"/>
  <c r="A140" i="182"/>
  <c r="B139" i="182"/>
  <c r="A139" i="182"/>
  <c r="B138" i="182"/>
  <c r="A138" i="182"/>
  <c r="B137" i="182"/>
  <c r="A137" i="182"/>
  <c r="B136" i="182"/>
  <c r="A136" i="182"/>
  <c r="A135" i="182"/>
  <c r="B133" i="182"/>
  <c r="A133" i="182"/>
  <c r="B132" i="182"/>
  <c r="A132" i="182"/>
  <c r="B131" i="182"/>
  <c r="A131" i="182"/>
  <c r="B129" i="182"/>
  <c r="A129" i="182"/>
  <c r="B128" i="182"/>
  <c r="A128" i="182"/>
  <c r="L127" i="182"/>
  <c r="B127" i="182"/>
  <c r="A127" i="182"/>
  <c r="B126" i="182"/>
  <c r="A126" i="182"/>
  <c r="B125" i="182"/>
  <c r="A125" i="182"/>
  <c r="B124" i="182"/>
  <c r="A124" i="182"/>
  <c r="B123" i="182"/>
  <c r="A123" i="182"/>
  <c r="B122" i="182"/>
  <c r="A122" i="182"/>
  <c r="J121" i="182"/>
  <c r="B121" i="182"/>
  <c r="A121" i="182"/>
  <c r="D120" i="182"/>
  <c r="B120" i="182"/>
  <c r="A120" i="182"/>
  <c r="B119" i="182"/>
  <c r="A119" i="182"/>
  <c r="B118" i="182"/>
  <c r="A118" i="182"/>
  <c r="B117" i="182"/>
  <c r="A117" i="182"/>
  <c r="B115" i="182"/>
  <c r="A115" i="182"/>
  <c r="N114" i="182"/>
  <c r="L113" i="182"/>
  <c r="L114" i="182" s="1"/>
  <c r="B113" i="182"/>
  <c r="A113" i="182"/>
  <c r="D112" i="182"/>
  <c r="B112" i="182"/>
  <c r="A112" i="182"/>
  <c r="B111" i="182"/>
  <c r="A111" i="182"/>
  <c r="K110" i="182"/>
  <c r="J110" i="182"/>
  <c r="B109" i="182"/>
  <c r="A109" i="182"/>
  <c r="B107" i="182"/>
  <c r="A107" i="182"/>
  <c r="L106" i="182"/>
  <c r="N105" i="182"/>
  <c r="P105" i="182" s="1"/>
  <c r="K105" i="182"/>
  <c r="M105" i="182" s="1"/>
  <c r="H105" i="182"/>
  <c r="J105" i="182" s="1"/>
  <c r="B105" i="182"/>
  <c r="A105" i="182"/>
  <c r="N104" i="182"/>
  <c r="P104" i="182" s="1"/>
  <c r="K104" i="182"/>
  <c r="M104" i="182" s="1"/>
  <c r="L103" i="182"/>
  <c r="B103" i="182"/>
  <c r="A103" i="182"/>
  <c r="L102" i="182"/>
  <c r="H102" i="182"/>
  <c r="H104" i="182" s="1"/>
  <c r="J104" i="182" s="1"/>
  <c r="D104" i="182" s="1"/>
  <c r="B101" i="182"/>
  <c r="A101" i="182"/>
  <c r="A100" i="182"/>
  <c r="L98" i="182"/>
  <c r="B97" i="182"/>
  <c r="A97" i="182"/>
  <c r="B96" i="182"/>
  <c r="A96" i="182"/>
  <c r="B95" i="182"/>
  <c r="A95" i="182"/>
  <c r="B94" i="182"/>
  <c r="A94" i="182"/>
  <c r="B93" i="182"/>
  <c r="A93" i="182"/>
  <c r="B92" i="182"/>
  <c r="A92" i="182"/>
  <c r="B91" i="182"/>
  <c r="A91" i="182"/>
  <c r="B90" i="182"/>
  <c r="A90" i="182"/>
  <c r="B89" i="182"/>
  <c r="A89" i="182"/>
  <c r="B88" i="182"/>
  <c r="A88" i="182"/>
  <c r="B87" i="182"/>
  <c r="A87" i="182"/>
  <c r="H83" i="182"/>
  <c r="J83" i="182" s="1"/>
  <c r="D84" i="182" s="1"/>
  <c r="B82" i="182"/>
  <c r="A82" i="182"/>
  <c r="B81" i="182"/>
  <c r="A81" i="182"/>
  <c r="B80" i="182"/>
  <c r="A80" i="182"/>
  <c r="B79" i="182"/>
  <c r="A79" i="182"/>
  <c r="B78" i="182"/>
  <c r="A78" i="182"/>
  <c r="B73" i="182"/>
  <c r="A73" i="182"/>
  <c r="B71" i="182"/>
  <c r="A71" i="182"/>
  <c r="I70" i="182"/>
  <c r="B70" i="182"/>
  <c r="A70" i="182"/>
  <c r="B69" i="182"/>
  <c r="A69" i="182"/>
  <c r="I68" i="182"/>
  <c r="A68" i="182"/>
  <c r="B64" i="182"/>
  <c r="A64" i="182"/>
  <c r="B62" i="182"/>
  <c r="A62" i="182"/>
  <c r="B61" i="182"/>
  <c r="A61" i="182"/>
  <c r="B60" i="182"/>
  <c r="A60" i="182"/>
  <c r="A59" i="182"/>
  <c r="H57" i="182"/>
  <c r="J57" i="182" s="1"/>
  <c r="D57" i="182" s="1"/>
  <c r="B56" i="182"/>
  <c r="A56" i="182"/>
  <c r="H55" i="182"/>
  <c r="J55" i="182" s="1"/>
  <c r="D55" i="182" s="1"/>
  <c r="B54" i="182"/>
  <c r="A54" i="182"/>
  <c r="H53" i="182"/>
  <c r="J53" i="182" s="1"/>
  <c r="B53" i="182"/>
  <c r="A53" i="182"/>
  <c r="B52" i="182"/>
  <c r="A52" i="182"/>
  <c r="I50" i="182"/>
  <c r="H50" i="182"/>
  <c r="B50" i="182"/>
  <c r="A50" i="182"/>
  <c r="I49" i="182"/>
  <c r="H49" i="182"/>
  <c r="I48" i="182"/>
  <c r="J48" i="182" s="1"/>
  <c r="B48" i="182"/>
  <c r="A48" i="182"/>
  <c r="I47" i="182"/>
  <c r="B47" i="182"/>
  <c r="A47" i="182"/>
  <c r="I46" i="182"/>
  <c r="B46" i="182"/>
  <c r="A46" i="182"/>
  <c r="I45" i="182"/>
  <c r="B45" i="182"/>
  <c r="A45" i="182"/>
  <c r="I44" i="182"/>
  <c r="B44" i="182"/>
  <c r="A44" i="182"/>
  <c r="B43" i="182"/>
  <c r="A43" i="182"/>
  <c r="J42" i="182"/>
  <c r="D42" i="182" s="1"/>
  <c r="B41" i="182"/>
  <c r="A41" i="182"/>
  <c r="B40" i="182"/>
  <c r="A40" i="182"/>
  <c r="B38" i="182"/>
  <c r="A38" i="182"/>
  <c r="A37" i="182"/>
  <c r="B33" i="182"/>
  <c r="A33" i="182"/>
  <c r="B31" i="182"/>
  <c r="A31" i="182"/>
  <c r="B29" i="182"/>
  <c r="A29" i="182"/>
  <c r="G28" i="182"/>
  <c r="B27" i="182"/>
  <c r="A27" i="182"/>
  <c r="B25" i="182"/>
  <c r="A25" i="182"/>
  <c r="G24" i="182"/>
  <c r="B23" i="182"/>
  <c r="A23" i="182"/>
  <c r="N22" i="182"/>
  <c r="A22" i="182"/>
  <c r="B19" i="182"/>
  <c r="A19" i="182"/>
  <c r="B17" i="182"/>
  <c r="A17" i="182"/>
  <c r="A16" i="182"/>
  <c r="K13" i="182"/>
  <c r="P12" i="182"/>
  <c r="N12" i="182"/>
  <c r="N13" i="182" s="1"/>
  <c r="N15" i="182" s="1"/>
  <c r="H75" i="182" s="1"/>
  <c r="J75" i="182" s="1"/>
  <c r="D75" i="182" s="1"/>
  <c r="P11" i="182"/>
  <c r="M11" i="182"/>
  <c r="F10" i="182"/>
  <c r="M10" i="182" s="1"/>
  <c r="F9" i="182"/>
  <c r="I7" i="182"/>
  <c r="F7" i="182"/>
  <c r="H125" i="182" s="1"/>
  <c r="F6" i="182"/>
  <c r="F5" i="182"/>
  <c r="H128" i="182" s="1"/>
  <c r="F4" i="182"/>
  <c r="H127" i="182" s="1"/>
  <c r="F3" i="182"/>
  <c r="H126" i="182" s="1"/>
  <c r="A1" i="182"/>
  <c r="D169" i="180"/>
  <c r="I150" i="180"/>
  <c r="J144" i="180"/>
  <c r="B144" i="180"/>
  <c r="A144" i="180"/>
  <c r="G143" i="180"/>
  <c r="I143" i="180" s="1"/>
  <c r="B142" i="180"/>
  <c r="A142" i="180"/>
  <c r="G141" i="180"/>
  <c r="I141" i="180" s="1"/>
  <c r="B140" i="180"/>
  <c r="A140" i="180"/>
  <c r="B139" i="180"/>
  <c r="A139" i="180"/>
  <c r="B138" i="180"/>
  <c r="A138" i="180"/>
  <c r="G137" i="180"/>
  <c r="I137" i="180" s="1"/>
  <c r="B137" i="180"/>
  <c r="A137" i="180"/>
  <c r="B136" i="180"/>
  <c r="A136" i="180"/>
  <c r="A135" i="180"/>
  <c r="B134" i="180"/>
  <c r="A134" i="180"/>
  <c r="B133" i="180"/>
  <c r="A133" i="180"/>
  <c r="K132" i="180"/>
  <c r="B132" i="180"/>
  <c r="A132" i="180"/>
  <c r="J131" i="180"/>
  <c r="B131" i="180"/>
  <c r="A131" i="180"/>
  <c r="I130" i="180"/>
  <c r="B129" i="180"/>
  <c r="A129" i="180"/>
  <c r="B128" i="180"/>
  <c r="A128" i="180"/>
  <c r="B127" i="180"/>
  <c r="A127" i="180"/>
  <c r="B126" i="180"/>
  <c r="A126" i="180"/>
  <c r="B125" i="180"/>
  <c r="A125" i="180"/>
  <c r="B124" i="180"/>
  <c r="A124" i="180"/>
  <c r="B123" i="180"/>
  <c r="A123" i="180"/>
  <c r="B122" i="180"/>
  <c r="A122" i="180"/>
  <c r="B121" i="180"/>
  <c r="A121" i="180"/>
  <c r="B120" i="180"/>
  <c r="A120" i="180"/>
  <c r="K119" i="180"/>
  <c r="B119" i="180"/>
  <c r="A119" i="180"/>
  <c r="K118" i="180"/>
  <c r="B118" i="180"/>
  <c r="A118" i="180"/>
  <c r="G117" i="180"/>
  <c r="B117" i="180"/>
  <c r="A117" i="180"/>
  <c r="B116" i="180"/>
  <c r="A116" i="180"/>
  <c r="B115" i="180"/>
  <c r="A115" i="180"/>
  <c r="B114" i="180"/>
  <c r="A114" i="180"/>
  <c r="B112" i="180"/>
  <c r="A112" i="180"/>
  <c r="M111" i="180"/>
  <c r="K110" i="180"/>
  <c r="K111" i="180" s="1"/>
  <c r="B110" i="180"/>
  <c r="A110" i="180"/>
  <c r="B109" i="180"/>
  <c r="A109" i="180"/>
  <c r="B108" i="180"/>
  <c r="A108" i="180"/>
  <c r="J107" i="180"/>
  <c r="I107" i="180"/>
  <c r="B106" i="180"/>
  <c r="A106" i="180"/>
  <c r="B104" i="180"/>
  <c r="A104" i="180"/>
  <c r="K103" i="180"/>
  <c r="K102" i="180"/>
  <c r="B102" i="180"/>
  <c r="A102" i="180"/>
  <c r="K101" i="180"/>
  <c r="G101" i="180"/>
  <c r="I101" i="180" s="1"/>
  <c r="B100" i="180"/>
  <c r="A100" i="180"/>
  <c r="K99" i="180"/>
  <c r="A99" i="180"/>
  <c r="B98" i="180"/>
  <c r="A98" i="180"/>
  <c r="B97" i="180"/>
  <c r="A97" i="180"/>
  <c r="B96" i="180"/>
  <c r="A96" i="180"/>
  <c r="B95" i="180"/>
  <c r="A95" i="180"/>
  <c r="B94" i="180"/>
  <c r="A94" i="180"/>
  <c r="B93" i="180"/>
  <c r="A93" i="180"/>
  <c r="B92" i="180"/>
  <c r="A92" i="180"/>
  <c r="B91" i="180"/>
  <c r="A91" i="180"/>
  <c r="B90" i="180"/>
  <c r="A90" i="180"/>
  <c r="B89" i="180"/>
  <c r="A89" i="180"/>
  <c r="B88" i="180"/>
  <c r="A88" i="180"/>
  <c r="G87" i="180"/>
  <c r="I87" i="180" s="1"/>
  <c r="G86" i="180"/>
  <c r="I86" i="180" s="1"/>
  <c r="G85" i="180"/>
  <c r="I85" i="180" s="1"/>
  <c r="I84" i="180"/>
  <c r="I83" i="180"/>
  <c r="B83" i="180"/>
  <c r="A83" i="180"/>
  <c r="I82" i="180"/>
  <c r="B82" i="180"/>
  <c r="A82" i="180"/>
  <c r="I81" i="180"/>
  <c r="B81" i="180"/>
  <c r="A81" i="180"/>
  <c r="I80" i="180"/>
  <c r="B80" i="180"/>
  <c r="A80" i="180"/>
  <c r="B76" i="180"/>
  <c r="A76" i="180"/>
  <c r="B74" i="180"/>
  <c r="A74" i="180"/>
  <c r="B73" i="180"/>
  <c r="A73" i="180"/>
  <c r="B72" i="180"/>
  <c r="A72" i="180"/>
  <c r="A71" i="180"/>
  <c r="B69" i="180"/>
  <c r="A69" i="180"/>
  <c r="B67" i="180"/>
  <c r="A67" i="180"/>
  <c r="B65" i="180"/>
  <c r="A65" i="180"/>
  <c r="G64" i="180"/>
  <c r="G68" i="180" s="1"/>
  <c r="I68" i="180" s="1"/>
  <c r="B64" i="180"/>
  <c r="A64" i="180"/>
  <c r="B63" i="180"/>
  <c r="A63" i="180"/>
  <c r="A62" i="180"/>
  <c r="G60" i="180"/>
  <c r="I60" i="180" s="1"/>
  <c r="B59" i="180"/>
  <c r="A59" i="180"/>
  <c r="G58" i="180"/>
  <c r="I58" i="180" s="1"/>
  <c r="B57" i="180"/>
  <c r="A57" i="180"/>
  <c r="H56" i="180"/>
  <c r="G56" i="180"/>
  <c r="G116" i="180" s="1"/>
  <c r="I116" i="180" s="1"/>
  <c r="B56" i="180"/>
  <c r="A56" i="180"/>
  <c r="B55" i="180"/>
  <c r="A55" i="180"/>
  <c r="H54" i="180"/>
  <c r="G54" i="180"/>
  <c r="G53" i="180"/>
  <c r="B53" i="180"/>
  <c r="A53" i="180"/>
  <c r="H52" i="180"/>
  <c r="G52" i="180"/>
  <c r="B51" i="180"/>
  <c r="A51" i="180"/>
  <c r="H50" i="180"/>
  <c r="B50" i="180"/>
  <c r="A50" i="180"/>
  <c r="G49" i="180"/>
  <c r="I49" i="180" s="1"/>
  <c r="B49" i="180"/>
  <c r="A49" i="180"/>
  <c r="H48" i="180"/>
  <c r="B48" i="180"/>
  <c r="A48" i="180"/>
  <c r="H47" i="180"/>
  <c r="B47" i="180"/>
  <c r="A47" i="180"/>
  <c r="B46" i="180"/>
  <c r="A46" i="180"/>
  <c r="B44" i="180"/>
  <c r="A44" i="180"/>
  <c r="B43" i="180"/>
  <c r="A43" i="180"/>
  <c r="B42" i="180"/>
  <c r="A42" i="180"/>
  <c r="B40" i="180"/>
  <c r="A40" i="180"/>
  <c r="A39" i="180"/>
  <c r="B37" i="180"/>
  <c r="A37" i="180"/>
  <c r="I36" i="180"/>
  <c r="B35" i="180"/>
  <c r="A35" i="180"/>
  <c r="B33" i="180"/>
  <c r="A33" i="180"/>
  <c r="F32" i="180"/>
  <c r="B31" i="180"/>
  <c r="A31" i="180"/>
  <c r="B29" i="180"/>
  <c r="A29" i="180"/>
  <c r="G28" i="180"/>
  <c r="G30" i="180" s="1"/>
  <c r="F28" i="180"/>
  <c r="M27" i="180"/>
  <c r="B27" i="180"/>
  <c r="A27" i="180"/>
  <c r="A26" i="180"/>
  <c r="G25" i="180"/>
  <c r="G47" i="180" s="1"/>
  <c r="G24" i="180"/>
  <c r="G37" i="180" s="1"/>
  <c r="I37" i="180" s="1"/>
  <c r="B23" i="180"/>
  <c r="A23" i="180"/>
  <c r="G22" i="180"/>
  <c r="I22" i="180" s="1"/>
  <c r="I21" i="180"/>
  <c r="B21" i="180"/>
  <c r="A21" i="180"/>
  <c r="A20" i="180"/>
  <c r="H17" i="180"/>
  <c r="I17" i="180" s="1"/>
  <c r="G17" i="180"/>
  <c r="H16" i="180"/>
  <c r="I16" i="180" s="1"/>
  <c r="G16" i="180"/>
  <c r="I15" i="180"/>
  <c r="G15" i="180"/>
  <c r="I14" i="180"/>
  <c r="G14" i="180"/>
  <c r="I13" i="180"/>
  <c r="G13" i="180"/>
  <c r="H12" i="180"/>
  <c r="E12" i="180"/>
  <c r="G128" i="180" s="1"/>
  <c r="I128" i="180" s="1"/>
  <c r="E9" i="180"/>
  <c r="G124" i="180" s="1"/>
  <c r="J8" i="180"/>
  <c r="E7" i="180"/>
  <c r="G121" i="180" s="1"/>
  <c r="I121" i="180" s="1"/>
  <c r="E6" i="180"/>
  <c r="G122" i="180" s="1"/>
  <c r="I122" i="180" s="1"/>
  <c r="E5" i="180"/>
  <c r="E4" i="180"/>
  <c r="F4" i="179"/>
  <c r="F5" i="179"/>
  <c r="K8" i="179"/>
  <c r="H13" i="179"/>
  <c r="J13" i="179"/>
  <c r="H14" i="179"/>
  <c r="J14" i="179"/>
  <c r="H16" i="179"/>
  <c r="I16" i="179"/>
  <c r="J16" i="179" s="1"/>
  <c r="H25" i="179"/>
  <c r="H46" i="179" s="1"/>
  <c r="J46" i="179" s="1"/>
  <c r="D46" i="179" s="1"/>
  <c r="H63" i="179"/>
  <c r="J63" i="179" s="1"/>
  <c r="E182" i="179"/>
  <c r="J163" i="179"/>
  <c r="K152" i="179"/>
  <c r="B152" i="179"/>
  <c r="A152" i="179"/>
  <c r="H151" i="179"/>
  <c r="J151" i="179" s="1"/>
  <c r="D151" i="179" s="1"/>
  <c r="B150" i="179"/>
  <c r="A150" i="179"/>
  <c r="H149" i="179"/>
  <c r="J149" i="179" s="1"/>
  <c r="D149" i="179" s="1"/>
  <c r="B148" i="179"/>
  <c r="A148" i="179"/>
  <c r="D147" i="179"/>
  <c r="B147" i="179"/>
  <c r="A147" i="179"/>
  <c r="B146" i="179"/>
  <c r="A146" i="179"/>
  <c r="H145" i="179"/>
  <c r="J145" i="179" s="1"/>
  <c r="D145" i="179" s="1"/>
  <c r="B145" i="179"/>
  <c r="A145" i="179"/>
  <c r="B144" i="179"/>
  <c r="A144" i="179"/>
  <c r="A143" i="179"/>
  <c r="B141" i="179"/>
  <c r="A141" i="179"/>
  <c r="B140" i="179"/>
  <c r="A140" i="179"/>
  <c r="L139" i="179"/>
  <c r="B139" i="179"/>
  <c r="A139" i="179"/>
  <c r="K138" i="179"/>
  <c r="B138" i="179"/>
  <c r="A138" i="179"/>
  <c r="J137" i="179"/>
  <c r="B136" i="179"/>
  <c r="A136" i="179"/>
  <c r="B135" i="179"/>
  <c r="A135" i="179"/>
  <c r="B134" i="179"/>
  <c r="A134" i="179"/>
  <c r="B133" i="179"/>
  <c r="A133" i="179"/>
  <c r="B132" i="179"/>
  <c r="A132" i="179"/>
  <c r="B131" i="179"/>
  <c r="A131" i="179"/>
  <c r="B130" i="179"/>
  <c r="A130" i="179"/>
  <c r="B129" i="179"/>
  <c r="A129" i="179"/>
  <c r="B128" i="179"/>
  <c r="A128" i="179"/>
  <c r="B127" i="179"/>
  <c r="A127" i="179"/>
  <c r="L126" i="179"/>
  <c r="D126" i="179"/>
  <c r="B126" i="179"/>
  <c r="A126" i="179"/>
  <c r="L125" i="179"/>
  <c r="B125" i="179"/>
  <c r="A125" i="179"/>
  <c r="H124" i="179"/>
  <c r="D124" i="179" s="1"/>
  <c r="B124" i="179"/>
  <c r="A124" i="179"/>
  <c r="B123" i="179"/>
  <c r="A123" i="179"/>
  <c r="B122" i="179"/>
  <c r="A122" i="179"/>
  <c r="B121" i="179"/>
  <c r="A121" i="179"/>
  <c r="D120" i="179"/>
  <c r="D116" i="179" s="1"/>
  <c r="B119" i="179"/>
  <c r="A119" i="179"/>
  <c r="N118" i="179"/>
  <c r="D118" i="179"/>
  <c r="L117" i="179"/>
  <c r="L118" i="179" s="1"/>
  <c r="B117" i="179"/>
  <c r="A117" i="179"/>
  <c r="B116" i="179"/>
  <c r="A116" i="179"/>
  <c r="B115" i="179"/>
  <c r="A115" i="179"/>
  <c r="K114" i="179"/>
  <c r="J114" i="179"/>
  <c r="D114" i="179"/>
  <c r="B113" i="179"/>
  <c r="A113" i="179"/>
  <c r="D112" i="179"/>
  <c r="B111" i="179"/>
  <c r="A111" i="179"/>
  <c r="L110" i="179"/>
  <c r="L109" i="179"/>
  <c r="B109" i="179"/>
  <c r="A109" i="179"/>
  <c r="L108" i="179"/>
  <c r="H108" i="179"/>
  <c r="B107" i="179"/>
  <c r="A107" i="179"/>
  <c r="L106" i="179"/>
  <c r="A106" i="179"/>
  <c r="L105" i="179"/>
  <c r="B103" i="179"/>
  <c r="A103" i="179"/>
  <c r="B102" i="179"/>
  <c r="A102" i="179"/>
  <c r="B101" i="179"/>
  <c r="A101" i="179"/>
  <c r="B100" i="179"/>
  <c r="A100" i="179"/>
  <c r="B99" i="179"/>
  <c r="A99" i="179"/>
  <c r="B98" i="179"/>
  <c r="A98" i="179"/>
  <c r="B97" i="179"/>
  <c r="A97" i="179"/>
  <c r="B96" i="179"/>
  <c r="A96" i="179"/>
  <c r="B95" i="179"/>
  <c r="A95" i="179"/>
  <c r="B94" i="179"/>
  <c r="A94" i="179"/>
  <c r="B93" i="179"/>
  <c r="A93" i="179"/>
  <c r="H92" i="179"/>
  <c r="J92" i="179" s="1"/>
  <c r="D92" i="179" s="1"/>
  <c r="H91" i="179"/>
  <c r="J91" i="179" s="1"/>
  <c r="D91" i="179" s="1"/>
  <c r="H90" i="179"/>
  <c r="J90" i="179" s="1"/>
  <c r="D90" i="179" s="1"/>
  <c r="J89" i="179"/>
  <c r="J88" i="179"/>
  <c r="B88" i="179"/>
  <c r="A88" i="179"/>
  <c r="J87" i="179"/>
  <c r="B87" i="179"/>
  <c r="A87" i="179"/>
  <c r="J86" i="179"/>
  <c r="B86" i="179"/>
  <c r="A86" i="179"/>
  <c r="J85" i="179"/>
  <c r="B85" i="179"/>
  <c r="A85" i="179"/>
  <c r="B81" i="179"/>
  <c r="A81" i="179"/>
  <c r="B79" i="179"/>
  <c r="A79" i="179"/>
  <c r="B78" i="179"/>
  <c r="A78" i="179"/>
  <c r="B77" i="179"/>
  <c r="A77" i="179"/>
  <c r="A76" i="179"/>
  <c r="B73" i="179"/>
  <c r="A73" i="179"/>
  <c r="B71" i="179"/>
  <c r="A71" i="179"/>
  <c r="B69" i="179"/>
  <c r="A69" i="179"/>
  <c r="H68" i="179"/>
  <c r="H72" i="179" s="1"/>
  <c r="J72" i="179" s="1"/>
  <c r="B68" i="179"/>
  <c r="A68" i="179"/>
  <c r="B67" i="179"/>
  <c r="A67" i="179"/>
  <c r="A66" i="179"/>
  <c r="B62" i="179"/>
  <c r="A62" i="179"/>
  <c r="H61" i="179"/>
  <c r="J61" i="179" s="1"/>
  <c r="D61" i="179" s="1"/>
  <c r="B60" i="179"/>
  <c r="A60" i="179"/>
  <c r="I59" i="179"/>
  <c r="H59" i="179"/>
  <c r="B59" i="179"/>
  <c r="A59" i="179"/>
  <c r="B58" i="179"/>
  <c r="A58" i="179"/>
  <c r="I57" i="179"/>
  <c r="H57" i="179"/>
  <c r="H56" i="179"/>
  <c r="B56" i="179"/>
  <c r="A56" i="179"/>
  <c r="I55" i="179"/>
  <c r="H55" i="179"/>
  <c r="B54" i="179"/>
  <c r="A54" i="179"/>
  <c r="I53" i="179"/>
  <c r="B53" i="179"/>
  <c r="A53" i="179"/>
  <c r="H52" i="179"/>
  <c r="J52" i="179" s="1"/>
  <c r="D52" i="179" s="1"/>
  <c r="B52" i="179"/>
  <c r="A52" i="179"/>
  <c r="I51" i="179"/>
  <c r="B51" i="179"/>
  <c r="A51" i="179"/>
  <c r="I50" i="179"/>
  <c r="B50" i="179"/>
  <c r="A50" i="179"/>
  <c r="B49" i="179"/>
  <c r="A49" i="179"/>
  <c r="B47" i="179"/>
  <c r="A47" i="179"/>
  <c r="B46" i="179"/>
  <c r="A46" i="179"/>
  <c r="B45" i="179"/>
  <c r="A45" i="179"/>
  <c r="B43" i="179"/>
  <c r="A43" i="179"/>
  <c r="A42" i="179"/>
  <c r="B37" i="179"/>
  <c r="A37" i="179"/>
  <c r="J36" i="179"/>
  <c r="B35" i="179"/>
  <c r="A35" i="179"/>
  <c r="B33" i="179"/>
  <c r="A33" i="179"/>
  <c r="G32" i="179"/>
  <c r="B31" i="179"/>
  <c r="A31" i="179"/>
  <c r="B29" i="179"/>
  <c r="A29" i="179"/>
  <c r="G28" i="179"/>
  <c r="N27" i="179"/>
  <c r="B27" i="179"/>
  <c r="A27" i="179"/>
  <c r="A26" i="179"/>
  <c r="B23" i="179"/>
  <c r="A23" i="179"/>
  <c r="J21" i="179"/>
  <c r="B21" i="179"/>
  <c r="A21" i="179"/>
  <c r="A20" i="179"/>
  <c r="I17" i="179"/>
  <c r="J17" i="179" s="1"/>
  <c r="H17" i="179"/>
  <c r="J15" i="179"/>
  <c r="H15" i="179"/>
  <c r="I12" i="179"/>
  <c r="F12" i="179"/>
  <c r="H135" i="179" s="1"/>
  <c r="J135" i="179" s="1"/>
  <c r="D135" i="179" s="1"/>
  <c r="F9" i="179"/>
  <c r="F10" i="179" s="1"/>
  <c r="H132" i="179" s="1"/>
  <c r="J132" i="179" s="1"/>
  <c r="D132" i="179" s="1"/>
  <c r="F7" i="179"/>
  <c r="H128" i="179" s="1"/>
  <c r="J128" i="179" s="1"/>
  <c r="F6" i="179"/>
  <c r="H129" i="179" s="1"/>
  <c r="J129" i="179" s="1"/>
  <c r="D129" i="179" s="1"/>
  <c r="I130" i="178"/>
  <c r="I131" i="178" s="1"/>
  <c r="I132" i="178" s="1"/>
  <c r="I133" i="178" s="1"/>
  <c r="H106" i="178"/>
  <c r="M11" i="178"/>
  <c r="F3" i="178"/>
  <c r="F10" i="178"/>
  <c r="P10" i="178" s="1"/>
  <c r="F9" i="178"/>
  <c r="F7" i="178"/>
  <c r="H129" i="178" s="1"/>
  <c r="F6" i="178"/>
  <c r="H130" i="178" s="1"/>
  <c r="E178" i="178"/>
  <c r="J157" i="178"/>
  <c r="H148" i="178"/>
  <c r="J148" i="178" s="1"/>
  <c r="D148" i="178" s="1"/>
  <c r="E148" i="178"/>
  <c r="B147" i="178"/>
  <c r="E146" i="178"/>
  <c r="F146" i="178" s="1"/>
  <c r="B146" i="178"/>
  <c r="E145" i="178"/>
  <c r="F145" i="178" s="1"/>
  <c r="B145" i="178"/>
  <c r="B144" i="178"/>
  <c r="E143" i="178"/>
  <c r="B143" i="178"/>
  <c r="B142" i="178"/>
  <c r="A141" i="178"/>
  <c r="E138" i="178"/>
  <c r="B138" i="178"/>
  <c r="B137" i="178"/>
  <c r="B136" i="178"/>
  <c r="E135" i="178"/>
  <c r="F135" i="178" s="1"/>
  <c r="B134" i="178"/>
  <c r="B133" i="178"/>
  <c r="L132" i="178"/>
  <c r="B132" i="178"/>
  <c r="B131" i="178"/>
  <c r="E130" i="178"/>
  <c r="B130" i="178"/>
  <c r="B129" i="178"/>
  <c r="B128" i="178"/>
  <c r="E127" i="178"/>
  <c r="B127" i="178"/>
  <c r="E126" i="178"/>
  <c r="B126" i="178"/>
  <c r="J125" i="178"/>
  <c r="B125" i="178"/>
  <c r="E124" i="178"/>
  <c r="D124" i="178"/>
  <c r="B124" i="178"/>
  <c r="B123" i="178"/>
  <c r="E122" i="178"/>
  <c r="B122" i="178"/>
  <c r="B121" i="178"/>
  <c r="E120" i="178"/>
  <c r="F120" i="178" s="1"/>
  <c r="B119" i="178"/>
  <c r="N118" i="178"/>
  <c r="E118" i="178"/>
  <c r="F118" i="178" s="1"/>
  <c r="L117" i="178"/>
  <c r="L118" i="178" s="1"/>
  <c r="B117" i="178"/>
  <c r="E116" i="178"/>
  <c r="D116" i="178"/>
  <c r="B116" i="178"/>
  <c r="B115" i="178"/>
  <c r="K114" i="178"/>
  <c r="J114" i="178"/>
  <c r="E114" i="178"/>
  <c r="F114" i="178" s="1"/>
  <c r="B113" i="178"/>
  <c r="E112" i="178"/>
  <c r="F112" i="178" s="1"/>
  <c r="B111" i="178"/>
  <c r="L110" i="178"/>
  <c r="E110" i="178"/>
  <c r="N109" i="178"/>
  <c r="P109" i="178" s="1"/>
  <c r="K109" i="178"/>
  <c r="M109" i="178" s="1"/>
  <c r="H109" i="178"/>
  <c r="J109" i="178" s="1"/>
  <c r="B109" i="178"/>
  <c r="N108" i="178"/>
  <c r="P108" i="178" s="1"/>
  <c r="K108" i="178"/>
  <c r="M108" i="178" s="1"/>
  <c r="L107" i="178"/>
  <c r="B107" i="178"/>
  <c r="L106" i="178"/>
  <c r="E106" i="178"/>
  <c r="B105" i="178"/>
  <c r="A104" i="178"/>
  <c r="L102" i="178"/>
  <c r="B101" i="178"/>
  <c r="B100" i="178"/>
  <c r="B99" i="178"/>
  <c r="B98" i="178"/>
  <c r="B97" i="178"/>
  <c r="B96" i="178"/>
  <c r="B95" i="178"/>
  <c r="B94" i="178"/>
  <c r="E93" i="178"/>
  <c r="B93" i="178"/>
  <c r="E92" i="178"/>
  <c r="B92" i="178"/>
  <c r="B91" i="178"/>
  <c r="H87" i="178"/>
  <c r="J87" i="178" s="1"/>
  <c r="D88" i="178" s="1"/>
  <c r="D92" i="178" s="1"/>
  <c r="B86" i="178"/>
  <c r="E85" i="178"/>
  <c r="B85" i="178"/>
  <c r="E84" i="178"/>
  <c r="B84" i="178"/>
  <c r="E83" i="178"/>
  <c r="B83" i="178"/>
  <c r="B82" i="178"/>
  <c r="B77" i="178"/>
  <c r="E76" i="178"/>
  <c r="B75" i="178"/>
  <c r="I74" i="178"/>
  <c r="E74" i="178"/>
  <c r="B74" i="178"/>
  <c r="B73" i="178"/>
  <c r="I72" i="178"/>
  <c r="A72" i="178"/>
  <c r="E69" i="178"/>
  <c r="B68" i="178"/>
  <c r="A68" i="178"/>
  <c r="E67" i="178"/>
  <c r="B66" i="178"/>
  <c r="A66" i="178"/>
  <c r="E65" i="178"/>
  <c r="B65" i="178"/>
  <c r="A65" i="178"/>
  <c r="B64" i="178"/>
  <c r="A64" i="178"/>
  <c r="A63" i="178"/>
  <c r="H60" i="178"/>
  <c r="J60" i="178" s="1"/>
  <c r="D60" i="178" s="1"/>
  <c r="E60" i="178"/>
  <c r="B59" i="178"/>
  <c r="H58" i="178"/>
  <c r="J58" i="178" s="1"/>
  <c r="D58" i="178" s="1"/>
  <c r="E58" i="178"/>
  <c r="B57" i="178"/>
  <c r="H56" i="178"/>
  <c r="H123" i="178" s="1"/>
  <c r="J123" i="178" s="1"/>
  <c r="D123" i="178" s="1"/>
  <c r="E56" i="178"/>
  <c r="B56" i="178"/>
  <c r="B55" i="178"/>
  <c r="E54" i="178"/>
  <c r="I53" i="178"/>
  <c r="H53" i="178"/>
  <c r="B53" i="178"/>
  <c r="I52" i="178"/>
  <c r="H52" i="178"/>
  <c r="E52" i="178"/>
  <c r="I51" i="178"/>
  <c r="J51" i="178" s="1"/>
  <c r="B51" i="178"/>
  <c r="I50" i="178"/>
  <c r="F50" i="178"/>
  <c r="B50" i="178"/>
  <c r="I49" i="178"/>
  <c r="E49" i="178"/>
  <c r="B49" i="178"/>
  <c r="I48" i="178"/>
  <c r="F48" i="178"/>
  <c r="B48" i="178"/>
  <c r="I47" i="178"/>
  <c r="F47" i="178"/>
  <c r="B47" i="178"/>
  <c r="B46" i="178"/>
  <c r="J45" i="178"/>
  <c r="D45" i="178" s="1"/>
  <c r="E45" i="178"/>
  <c r="B44" i="178"/>
  <c r="E43" i="178"/>
  <c r="B43" i="178"/>
  <c r="B42" i="178"/>
  <c r="F41" i="178"/>
  <c r="B40" i="178"/>
  <c r="A39" i="178"/>
  <c r="E34" i="178"/>
  <c r="F34" i="178" s="1"/>
  <c r="B33" i="178"/>
  <c r="B31" i="178"/>
  <c r="B29" i="178"/>
  <c r="G28" i="178"/>
  <c r="B27" i="178"/>
  <c r="B25" i="178"/>
  <c r="G24" i="178"/>
  <c r="B23" i="178"/>
  <c r="N22" i="178"/>
  <c r="A22" i="178"/>
  <c r="B18" i="178"/>
  <c r="B16" i="178"/>
  <c r="A15" i="178"/>
  <c r="K13" i="178"/>
  <c r="P12" i="178"/>
  <c r="N12" i="178"/>
  <c r="N13" i="178" s="1"/>
  <c r="N14" i="178" s="1"/>
  <c r="H79" i="178" s="1"/>
  <c r="J79" i="178" s="1"/>
  <c r="D79" i="178" s="1"/>
  <c r="D83" i="178" s="1"/>
  <c r="P11" i="178"/>
  <c r="P9" i="178"/>
  <c r="M9" i="178"/>
  <c r="I7" i="178"/>
  <c r="F5" i="178"/>
  <c r="H133" i="178" s="1"/>
  <c r="F4" i="178"/>
  <c r="H132" i="178" s="1"/>
  <c r="A1" i="178"/>
  <c r="H126" i="169"/>
  <c r="D122" i="169"/>
  <c r="F9" i="169"/>
  <c r="F9" i="88"/>
  <c r="F10" i="88" s="1"/>
  <c r="H92" i="169"/>
  <c r="M10" i="178" l="1"/>
  <c r="M13" i="178" s="1"/>
  <c r="M14" i="178" s="1"/>
  <c r="J52" i="178"/>
  <c r="D52" i="178" s="1"/>
  <c r="F52" i="178" s="1"/>
  <c r="K115" i="178"/>
  <c r="H126" i="178"/>
  <c r="H65" i="178"/>
  <c r="H69" i="178" s="1"/>
  <c r="J69" i="178" s="1"/>
  <c r="D69" i="178" s="1"/>
  <c r="F69" i="178" s="1"/>
  <c r="H61" i="182"/>
  <c r="H63" i="182" s="1"/>
  <c r="J63" i="182" s="1"/>
  <c r="D63" i="182" s="1"/>
  <c r="H89" i="178"/>
  <c r="J89" i="178" s="1"/>
  <c r="I52" i="180"/>
  <c r="P13" i="178"/>
  <c r="H81" i="178" s="1"/>
  <c r="J81" i="178" s="1"/>
  <c r="D81" i="178" s="1"/>
  <c r="D85" i="178" s="1"/>
  <c r="F85" i="178" s="1"/>
  <c r="J53" i="178"/>
  <c r="D54" i="178" s="1"/>
  <c r="F54" i="178" s="1"/>
  <c r="H43" i="178"/>
  <c r="J43" i="178" s="1"/>
  <c r="D43" i="178" s="1"/>
  <c r="F43" i="178" s="1"/>
  <c r="H110" i="178"/>
  <c r="H90" i="178"/>
  <c r="J90" i="178" s="1"/>
  <c r="D90" i="178" s="1"/>
  <c r="D94" i="178" s="1"/>
  <c r="H127" i="178"/>
  <c r="L131" i="178" s="1"/>
  <c r="F13" i="178"/>
  <c r="H47" i="178" s="1"/>
  <c r="J56" i="178"/>
  <c r="M126" i="178"/>
  <c r="H108" i="178"/>
  <c r="J108" i="178" s="1"/>
  <c r="D108" i="178" s="1"/>
  <c r="F83" i="178"/>
  <c r="F116" i="178"/>
  <c r="F45" i="178"/>
  <c r="F58" i="178"/>
  <c r="F124" i="178"/>
  <c r="F60" i="178"/>
  <c r="F148" i="178"/>
  <c r="F92" i="178"/>
  <c r="I119" i="183"/>
  <c r="I46" i="183"/>
  <c r="I47" i="183"/>
  <c r="J103" i="183"/>
  <c r="H3" i="183"/>
  <c r="L10" i="183"/>
  <c r="G79" i="183"/>
  <c r="I79" i="183" s="1"/>
  <c r="L114" i="183"/>
  <c r="I120" i="183"/>
  <c r="I117" i="183"/>
  <c r="G98" i="183"/>
  <c r="I98" i="183" s="1"/>
  <c r="G57" i="183"/>
  <c r="G114" i="183"/>
  <c r="E13" i="183"/>
  <c r="O9" i="183"/>
  <c r="O13" i="183" s="1"/>
  <c r="G71" i="183" s="1"/>
  <c r="I71" i="183" s="1"/>
  <c r="G80" i="183"/>
  <c r="I80" i="183" s="1"/>
  <c r="L9" i="183"/>
  <c r="I17" i="183"/>
  <c r="G115" i="183"/>
  <c r="G118" i="183"/>
  <c r="I118" i="183" s="1"/>
  <c r="I94" i="183"/>
  <c r="I50" i="183"/>
  <c r="J50" i="182"/>
  <c r="D51" i="182" s="1"/>
  <c r="P10" i="182"/>
  <c r="H119" i="182"/>
  <c r="J119" i="182" s="1"/>
  <c r="D119" i="182" s="1"/>
  <c r="H118" i="182"/>
  <c r="J118" i="182" s="1"/>
  <c r="D118" i="182" s="1"/>
  <c r="D53" i="182"/>
  <c r="J49" i="182"/>
  <c r="D49" i="182" s="1"/>
  <c r="K111" i="182"/>
  <c r="M122" i="182"/>
  <c r="M9" i="182"/>
  <c r="M13" i="182" s="1"/>
  <c r="M15" i="182" s="1"/>
  <c r="H85" i="182"/>
  <c r="H123" i="182"/>
  <c r="H122" i="182"/>
  <c r="H86" i="182"/>
  <c r="J86" i="182" s="1"/>
  <c r="D86" i="182" s="1"/>
  <c r="D88" i="182"/>
  <c r="P9" i="182"/>
  <c r="D79" i="182"/>
  <c r="I3" i="182"/>
  <c r="J125" i="182"/>
  <c r="D125" i="182" s="1"/>
  <c r="H132" i="182"/>
  <c r="J132" i="182" s="1"/>
  <c r="D132" i="182" s="1"/>
  <c r="I127" i="182"/>
  <c r="I128" i="182" s="1"/>
  <c r="J128" i="182" s="1"/>
  <c r="D128" i="182" s="1"/>
  <c r="J126" i="182"/>
  <c r="D126" i="182" s="1"/>
  <c r="F13" i="182"/>
  <c r="H106" i="182"/>
  <c r="J106" i="182" s="1"/>
  <c r="D106" i="182" s="1"/>
  <c r="J102" i="182"/>
  <c r="D102" i="182" s="1"/>
  <c r="G70" i="180"/>
  <c r="I70" i="180" s="1"/>
  <c r="I24" i="180"/>
  <c r="G19" i="180"/>
  <c r="G20" i="180" s="1"/>
  <c r="G78" i="180" s="1"/>
  <c r="I78" i="180" s="1"/>
  <c r="G71" i="180" s="1"/>
  <c r="I56" i="180"/>
  <c r="G103" i="180"/>
  <c r="I103" i="180" s="1"/>
  <c r="G43" i="180"/>
  <c r="I43" i="180" s="1"/>
  <c r="I54" i="180"/>
  <c r="J108" i="180"/>
  <c r="G133" i="180"/>
  <c r="I133" i="180" s="1"/>
  <c r="G48" i="180"/>
  <c r="I47" i="180"/>
  <c r="G115" i="180"/>
  <c r="I115" i="180" s="1"/>
  <c r="I124" i="180"/>
  <c r="I19" i="180"/>
  <c r="I20" i="180" s="1"/>
  <c r="G79" i="180" s="1"/>
  <c r="I79" i="180" s="1"/>
  <c r="I30" i="180"/>
  <c r="G32" i="180"/>
  <c r="F30" i="180"/>
  <c r="F36" i="180" s="1"/>
  <c r="I64" i="180"/>
  <c r="G45" i="180"/>
  <c r="I45" i="180" s="1"/>
  <c r="E10" i="180"/>
  <c r="G34" i="180"/>
  <c r="I34" i="180" s="1"/>
  <c r="G35" i="180"/>
  <c r="I35" i="180" s="1"/>
  <c r="H74" i="179"/>
  <c r="J74" i="179" s="1"/>
  <c r="D74" i="179" s="1"/>
  <c r="J57" i="179"/>
  <c r="D57" i="179" s="1"/>
  <c r="J55" i="179"/>
  <c r="D55" i="179" s="1"/>
  <c r="J68" i="179"/>
  <c r="J69" i="179" s="1"/>
  <c r="K72" i="179" s="1"/>
  <c r="D72" i="179" s="1"/>
  <c r="H131" i="179"/>
  <c r="J131" i="179" s="1"/>
  <c r="D131" i="179" s="1"/>
  <c r="J59" i="179"/>
  <c r="H122" i="179" s="1"/>
  <c r="J122" i="179" s="1"/>
  <c r="D122" i="179" s="1"/>
  <c r="H110" i="179"/>
  <c r="J110" i="179" s="1"/>
  <c r="D110" i="179" s="1"/>
  <c r="H19" i="179"/>
  <c r="H20" i="179" s="1"/>
  <c r="H83" i="179" s="1"/>
  <c r="J83" i="179" s="1"/>
  <c r="H76" i="179" s="1"/>
  <c r="F11" i="179"/>
  <c r="H133" i="179" s="1"/>
  <c r="J133" i="179" s="1"/>
  <c r="D133" i="179" s="1"/>
  <c r="K115" i="179"/>
  <c r="H140" i="179"/>
  <c r="J140" i="179" s="1"/>
  <c r="D140" i="179" s="1"/>
  <c r="D128" i="179"/>
  <c r="J19" i="179"/>
  <c r="J20" i="179" s="1"/>
  <c r="H84" i="179" s="1"/>
  <c r="J84" i="179" s="1"/>
  <c r="D84" i="179" s="1"/>
  <c r="D94" i="179"/>
  <c r="D95" i="179"/>
  <c r="D96" i="179"/>
  <c r="H123" i="179"/>
  <c r="J123" i="179" s="1"/>
  <c r="D123" i="179" s="1"/>
  <c r="H48" i="179"/>
  <c r="J48" i="179" s="1"/>
  <c r="D48" i="179" s="1"/>
  <c r="H50" i="179"/>
  <c r="J108" i="179"/>
  <c r="D108" i="179" s="1"/>
  <c r="J132" i="178"/>
  <c r="D132" i="178" s="1"/>
  <c r="J130" i="178"/>
  <c r="D130" i="178" s="1"/>
  <c r="F130" i="178" s="1"/>
  <c r="J126" i="178"/>
  <c r="D126" i="178" s="1"/>
  <c r="F126" i="178" s="1"/>
  <c r="L130" i="178"/>
  <c r="I3" i="178"/>
  <c r="H131" i="178"/>
  <c r="J131" i="178" s="1"/>
  <c r="D131" i="178" s="1"/>
  <c r="J110" i="178"/>
  <c r="D110" i="178" s="1"/>
  <c r="F110" i="178" s="1"/>
  <c r="J133" i="178"/>
  <c r="D133" i="178" s="1"/>
  <c r="J129" i="178"/>
  <c r="D129" i="178" s="1"/>
  <c r="H137" i="178"/>
  <c r="J137" i="178" s="1"/>
  <c r="D137" i="178" s="1"/>
  <c r="J65" i="178"/>
  <c r="D89" i="178"/>
  <c r="H49" i="178" l="1"/>
  <c r="J49" i="178" s="1"/>
  <c r="D49" i="178" s="1"/>
  <c r="F49" i="178" s="1"/>
  <c r="H72" i="178"/>
  <c r="H76" i="178" s="1"/>
  <c r="H80" i="178"/>
  <c r="J80" i="178" s="1"/>
  <c r="D80" i="178" s="1"/>
  <c r="D98" i="178" s="1"/>
  <c r="H74" i="178"/>
  <c r="J74" i="178" s="1"/>
  <c r="D74" i="178" s="1"/>
  <c r="F74" i="178" s="1"/>
  <c r="L76" i="178"/>
  <c r="H18" i="178"/>
  <c r="J18" i="178" s="1"/>
  <c r="H143" i="178"/>
  <c r="J143" i="178" s="1"/>
  <c r="D143" i="178" s="1"/>
  <c r="F143" i="178" s="1"/>
  <c r="F149" i="178" s="1"/>
  <c r="H138" i="178"/>
  <c r="J138" i="178" s="1"/>
  <c r="D138" i="178" s="1"/>
  <c r="F138" i="178" s="1"/>
  <c r="J106" i="178"/>
  <c r="D106" i="178" s="1"/>
  <c r="F106" i="178" s="1"/>
  <c r="J127" i="178"/>
  <c r="D127" i="178" s="1"/>
  <c r="F127" i="178" s="1"/>
  <c r="H122" i="178"/>
  <c r="J122" i="178" s="1"/>
  <c r="D122" i="178" s="1"/>
  <c r="F122" i="178" s="1"/>
  <c r="D56" i="178"/>
  <c r="F56" i="178" s="1"/>
  <c r="F61" i="178" s="1"/>
  <c r="L13" i="183"/>
  <c r="L15" i="183" s="1"/>
  <c r="G70" i="183" s="1"/>
  <c r="I70" i="183" s="1"/>
  <c r="G124" i="183"/>
  <c r="I124" i="183" s="1"/>
  <c r="G43" i="183"/>
  <c r="I43" i="183" s="1"/>
  <c r="G19" i="183"/>
  <c r="I19" i="183" s="1"/>
  <c r="G128" i="183"/>
  <c r="I128" i="183" s="1"/>
  <c r="G41" i="183"/>
  <c r="K118" i="183"/>
  <c r="I115" i="183"/>
  <c r="I114" i="183"/>
  <c r="G125" i="183"/>
  <c r="I125" i="183" s="1"/>
  <c r="G110" i="183"/>
  <c r="I110" i="183" s="1"/>
  <c r="G61" i="183"/>
  <c r="I61" i="183" s="1"/>
  <c r="I57" i="183"/>
  <c r="I58" i="183" s="1"/>
  <c r="P13" i="182"/>
  <c r="H77" i="182" s="1"/>
  <c r="J77" i="182" s="1"/>
  <c r="D77" i="182" s="1"/>
  <c r="D81" i="182" s="1"/>
  <c r="J127" i="182"/>
  <c r="D127" i="182" s="1"/>
  <c r="D90" i="182"/>
  <c r="L72" i="182"/>
  <c r="H68" i="182"/>
  <c r="H76" i="182"/>
  <c r="J76" i="182" s="1"/>
  <c r="D76" i="182" s="1"/>
  <c r="H46" i="182"/>
  <c r="J46" i="182" s="1"/>
  <c r="D46" i="182" s="1"/>
  <c r="H44" i="182"/>
  <c r="H137" i="182"/>
  <c r="J137" i="182" s="1"/>
  <c r="D137" i="182" s="1"/>
  <c r="H19" i="182"/>
  <c r="J19" i="182" s="1"/>
  <c r="J123" i="182"/>
  <c r="D123" i="182" s="1"/>
  <c r="L126" i="182"/>
  <c r="H65" i="182"/>
  <c r="J65" i="182" s="1"/>
  <c r="D65" i="182" s="1"/>
  <c r="J61" i="182"/>
  <c r="D61" i="182" s="1"/>
  <c r="J122" i="182"/>
  <c r="D122" i="182" s="1"/>
  <c r="H133" i="182"/>
  <c r="J133" i="182" s="1"/>
  <c r="D133" i="182" s="1"/>
  <c r="J85" i="182"/>
  <c r="D85" i="182"/>
  <c r="I65" i="180"/>
  <c r="J68" i="180" s="1"/>
  <c r="G125" i="180"/>
  <c r="E11" i="180"/>
  <c r="G126" i="180" s="1"/>
  <c r="I126" i="180" s="1"/>
  <c r="G75" i="180"/>
  <c r="I75" i="180" s="1"/>
  <c r="I71" i="180"/>
  <c r="G50" i="180"/>
  <c r="I50" i="180" s="1"/>
  <c r="I48" i="180"/>
  <c r="G73" i="180"/>
  <c r="I73" i="180" s="1"/>
  <c r="D68" i="179"/>
  <c r="D70" i="179" s="1"/>
  <c r="D59" i="179"/>
  <c r="H139" i="179"/>
  <c r="J139" i="179" s="1"/>
  <c r="D139" i="179" s="1"/>
  <c r="D83" i="179"/>
  <c r="D86" i="179" s="1"/>
  <c r="H78" i="179"/>
  <c r="J78" i="179" s="1"/>
  <c r="D78" i="179" s="1"/>
  <c r="J76" i="179"/>
  <c r="H80" i="179"/>
  <c r="J80" i="179" s="1"/>
  <c r="D80" i="179" s="1"/>
  <c r="H51" i="179"/>
  <c r="J50" i="179"/>
  <c r="D87" i="179"/>
  <c r="D100" i="179"/>
  <c r="D93" i="178"/>
  <c r="F93" i="178" s="1"/>
  <c r="J76" i="178"/>
  <c r="D76" i="178" s="1"/>
  <c r="F76" i="178" s="1"/>
  <c r="J72" i="178"/>
  <c r="D65" i="178"/>
  <c r="D67" i="178" s="1"/>
  <c r="J66" i="178"/>
  <c r="H48" i="178"/>
  <c r="J47" i="178"/>
  <c r="D84" i="178"/>
  <c r="F84" i="178" s="1"/>
  <c r="D97" i="178" l="1"/>
  <c r="D100" i="178" s="1"/>
  <c r="E19" i="180"/>
  <c r="D19" i="180"/>
  <c r="G64" i="183"/>
  <c r="I64" i="183" s="1"/>
  <c r="G62" i="183"/>
  <c r="G66" i="183" s="1"/>
  <c r="I66" i="183" s="1"/>
  <c r="K66" i="183"/>
  <c r="I41" i="183"/>
  <c r="G42" i="183"/>
  <c r="H70" i="182"/>
  <c r="J70" i="182" s="1"/>
  <c r="D70" i="182" s="1"/>
  <c r="H45" i="182"/>
  <c r="J44" i="182"/>
  <c r="H72" i="182"/>
  <c r="J72" i="182" s="1"/>
  <c r="D72" i="182" s="1"/>
  <c r="J68" i="182"/>
  <c r="D94" i="182"/>
  <c r="D93" i="182"/>
  <c r="D80" i="182"/>
  <c r="D89" i="182"/>
  <c r="I125" i="180"/>
  <c r="G132" i="180"/>
  <c r="I132" i="180" s="1"/>
  <c r="D99" i="179"/>
  <c r="J51" i="179"/>
  <c r="H53" i="179"/>
  <c r="J53" i="179" s="1"/>
  <c r="D103" i="179"/>
  <c r="H50" i="178"/>
  <c r="J50" i="178" s="1"/>
  <c r="J48" i="178"/>
  <c r="D101" i="178"/>
  <c r="F67" i="178"/>
  <c r="F65" i="178"/>
  <c r="C18" i="180" l="1"/>
  <c r="I62" i="183"/>
  <c r="I42" i="183"/>
  <c r="G44" i="183"/>
  <c r="I44" i="183" s="1"/>
  <c r="D97" i="182"/>
  <c r="D96" i="182"/>
  <c r="H47" i="182"/>
  <c r="J47" i="182" s="1"/>
  <c r="J45" i="182"/>
  <c r="D102" i="179"/>
  <c r="H22" i="179" s="1"/>
  <c r="J22" i="179" s="1"/>
  <c r="F70" i="178"/>
  <c r="H158" i="169"/>
  <c r="E45" i="169"/>
  <c r="H53" i="169"/>
  <c r="E52" i="169"/>
  <c r="E51" i="169"/>
  <c r="I60" i="169"/>
  <c r="D156" i="169"/>
  <c r="D155" i="169"/>
  <c r="H152" i="169"/>
  <c r="H62" i="169"/>
  <c r="F7" i="169"/>
  <c r="H130" i="169" s="1"/>
  <c r="F6" i="169"/>
  <c r="F5" i="169"/>
  <c r="F4" i="169"/>
  <c r="D120" i="169"/>
  <c r="D116" i="169"/>
  <c r="D114" i="169"/>
  <c r="H110" i="169"/>
  <c r="H112" i="169" s="1"/>
  <c r="H94" i="169"/>
  <c r="H93" i="169"/>
  <c r="H64" i="169"/>
  <c r="H69" i="169"/>
  <c r="H73" i="169" s="1"/>
  <c r="H56" i="169"/>
  <c r="H28" i="179" l="1"/>
  <c r="H30" i="179" s="1"/>
  <c r="H32" i="179" s="1"/>
  <c r="H24" i="179"/>
  <c r="H17" i="182" l="1"/>
  <c r="H24" i="182"/>
  <c r="H26" i="182" s="1"/>
  <c r="G26" i="182" s="1"/>
  <c r="G30" i="179"/>
  <c r="J30" i="179"/>
  <c r="H35" i="179"/>
  <c r="J35" i="179" s="1"/>
  <c r="H37" i="179"/>
  <c r="J37" i="179" s="1"/>
  <c r="H34" i="179"/>
  <c r="J34" i="179" s="1"/>
  <c r="J24" i="179"/>
  <c r="J17" i="182" l="1"/>
  <c r="H20" i="182"/>
  <c r="G36" i="179"/>
  <c r="F35" i="178"/>
  <c r="F41" i="179" l="1"/>
  <c r="F158" i="179" s="1"/>
  <c r="E191" i="169"/>
  <c r="J172" i="169"/>
  <c r="E162" i="169"/>
  <c r="F162" i="169" s="1"/>
  <c r="K161" i="169"/>
  <c r="B161" i="169"/>
  <c r="H160" i="169"/>
  <c r="H75" i="169" s="1"/>
  <c r="E160" i="169"/>
  <c r="B159" i="169"/>
  <c r="J158" i="169"/>
  <c r="D158" i="169" s="1"/>
  <c r="E158" i="169"/>
  <c r="B157" i="169"/>
  <c r="E156" i="169"/>
  <c r="F156" i="169" s="1"/>
  <c r="B156" i="169"/>
  <c r="E155" i="169"/>
  <c r="F155" i="169" s="1"/>
  <c r="B155" i="169"/>
  <c r="B154" i="169"/>
  <c r="E153" i="169"/>
  <c r="B153" i="169"/>
  <c r="E152" i="169"/>
  <c r="B152" i="169"/>
  <c r="B151" i="169"/>
  <c r="A150" i="169"/>
  <c r="B147" i="169"/>
  <c r="E146" i="169"/>
  <c r="B146" i="169"/>
  <c r="L145" i="169"/>
  <c r="B145" i="169"/>
  <c r="K144" i="169"/>
  <c r="B144" i="169"/>
  <c r="J143" i="169"/>
  <c r="E143" i="169"/>
  <c r="F143" i="169" s="1"/>
  <c r="B142" i="169"/>
  <c r="E141" i="169"/>
  <c r="B141" i="169"/>
  <c r="B140" i="169"/>
  <c r="B139" i="169"/>
  <c r="B138" i="169"/>
  <c r="H137" i="169"/>
  <c r="J137" i="169" s="1"/>
  <c r="D137" i="169" s="1"/>
  <c r="B137" i="169"/>
  <c r="B136" i="169"/>
  <c r="B135" i="169"/>
  <c r="E134" i="169"/>
  <c r="B134" i="169"/>
  <c r="E133" i="169"/>
  <c r="B133" i="169"/>
  <c r="H132" i="169"/>
  <c r="J132" i="169" s="1"/>
  <c r="D132" i="169" s="1"/>
  <c r="E132" i="169"/>
  <c r="B132" i="169"/>
  <c r="E131" i="169"/>
  <c r="B131" i="169"/>
  <c r="E130" i="169"/>
  <c r="B130" i="169"/>
  <c r="B129" i="169"/>
  <c r="L128" i="169"/>
  <c r="E128" i="169"/>
  <c r="D128" i="169"/>
  <c r="B128" i="169"/>
  <c r="L127" i="169"/>
  <c r="B127" i="169"/>
  <c r="D126" i="169"/>
  <c r="E126" i="169"/>
  <c r="B126" i="169"/>
  <c r="B125" i="169"/>
  <c r="E124" i="169"/>
  <c r="B124" i="169"/>
  <c r="B123" i="169"/>
  <c r="E122" i="169"/>
  <c r="F122" i="169" s="1"/>
  <c r="B121" i="169"/>
  <c r="N120" i="169"/>
  <c r="E120" i="169"/>
  <c r="F120" i="169" s="1"/>
  <c r="L119" i="169"/>
  <c r="L120" i="169" s="1"/>
  <c r="B119" i="169"/>
  <c r="E118" i="169"/>
  <c r="D118" i="169"/>
  <c r="B118" i="169"/>
  <c r="B117" i="169"/>
  <c r="K116" i="169"/>
  <c r="J116" i="169"/>
  <c r="E116" i="169"/>
  <c r="F116" i="169" s="1"/>
  <c r="B115" i="169"/>
  <c r="E114" i="169"/>
  <c r="F114" i="169" s="1"/>
  <c r="B113" i="169"/>
  <c r="L112" i="169"/>
  <c r="J112" i="169"/>
  <c r="D112" i="169" s="1"/>
  <c r="E112" i="169"/>
  <c r="L111" i="169"/>
  <c r="B111" i="169"/>
  <c r="L110" i="169"/>
  <c r="J110" i="169"/>
  <c r="D110" i="169" s="1"/>
  <c r="E110" i="169"/>
  <c r="B109" i="169"/>
  <c r="L108" i="169"/>
  <c r="A108" i="169"/>
  <c r="L107" i="169"/>
  <c r="B105" i="169"/>
  <c r="B104" i="169"/>
  <c r="B103" i="169"/>
  <c r="B102" i="169"/>
  <c r="B101" i="169"/>
  <c r="B100" i="169"/>
  <c r="B99" i="169"/>
  <c r="B98" i="169"/>
  <c r="E97" i="169"/>
  <c r="B97" i="169"/>
  <c r="E96" i="169"/>
  <c r="B96" i="169"/>
  <c r="B95" i="169"/>
  <c r="J94" i="169"/>
  <c r="D94" i="169" s="1"/>
  <c r="D98" i="169" s="1"/>
  <c r="J91" i="169"/>
  <c r="J90" i="169"/>
  <c r="B90" i="169"/>
  <c r="J89" i="169"/>
  <c r="E89" i="169"/>
  <c r="B89" i="169"/>
  <c r="J88" i="169"/>
  <c r="E88" i="169"/>
  <c r="B88" i="169"/>
  <c r="J87" i="169"/>
  <c r="B87" i="169"/>
  <c r="B83" i="169"/>
  <c r="E82" i="169"/>
  <c r="B81" i="169"/>
  <c r="E80" i="169"/>
  <c r="B80" i="169"/>
  <c r="B79" i="169"/>
  <c r="A78" i="169"/>
  <c r="J75" i="169"/>
  <c r="D75" i="169" s="1"/>
  <c r="E75" i="169"/>
  <c r="B74" i="169"/>
  <c r="E73" i="169"/>
  <c r="B72" i="169"/>
  <c r="E71" i="169"/>
  <c r="B70" i="169"/>
  <c r="E69" i="169"/>
  <c r="B69" i="169"/>
  <c r="B68" i="169"/>
  <c r="A67" i="169"/>
  <c r="J64" i="169"/>
  <c r="D64" i="169" s="1"/>
  <c r="E64" i="169"/>
  <c r="B63" i="169"/>
  <c r="J62" i="169"/>
  <c r="D62" i="169" s="1"/>
  <c r="E62" i="169"/>
  <c r="B61" i="169"/>
  <c r="H60" i="169"/>
  <c r="E60" i="169"/>
  <c r="B60" i="169"/>
  <c r="B59" i="169"/>
  <c r="I58" i="169"/>
  <c r="H58" i="169"/>
  <c r="E58" i="169"/>
  <c r="H57" i="169"/>
  <c r="B57" i="169"/>
  <c r="I56" i="169"/>
  <c r="J56" i="169" s="1"/>
  <c r="D56" i="169" s="1"/>
  <c r="E56" i="169"/>
  <c r="B55" i="169"/>
  <c r="I54" i="169"/>
  <c r="F54" i="169"/>
  <c r="E53" i="169"/>
  <c r="I52" i="169"/>
  <c r="F52" i="169"/>
  <c r="I51" i="169"/>
  <c r="F51" i="169"/>
  <c r="B51" i="169"/>
  <c r="B50" i="169"/>
  <c r="E49" i="169"/>
  <c r="B48" i="169"/>
  <c r="E47" i="169"/>
  <c r="B47" i="169"/>
  <c r="B46" i="169"/>
  <c r="F45" i="169"/>
  <c r="B44" i="169"/>
  <c r="A43" i="169"/>
  <c r="E38" i="169"/>
  <c r="F38" i="169" s="1"/>
  <c r="F39" i="169" s="1"/>
  <c r="B37" i="169"/>
  <c r="A37" i="169"/>
  <c r="J36" i="169"/>
  <c r="B35" i="169"/>
  <c r="A35" i="169"/>
  <c r="B33" i="169"/>
  <c r="A33" i="169"/>
  <c r="G32" i="169"/>
  <c r="B31" i="169"/>
  <c r="A31" i="169"/>
  <c r="B29" i="169"/>
  <c r="A29" i="169"/>
  <c r="G28" i="169"/>
  <c r="N27" i="169"/>
  <c r="B27" i="169"/>
  <c r="A26" i="169"/>
  <c r="H24" i="169"/>
  <c r="B22" i="169"/>
  <c r="A22" i="169"/>
  <c r="J20" i="169"/>
  <c r="B20" i="169"/>
  <c r="I17" i="169"/>
  <c r="J17" i="169" s="1"/>
  <c r="I16" i="169"/>
  <c r="J16" i="169" s="1"/>
  <c r="H16" i="169"/>
  <c r="J15" i="169"/>
  <c r="H15" i="169"/>
  <c r="J14" i="169"/>
  <c r="J93" i="169"/>
  <c r="D93" i="169" s="1"/>
  <c r="D97" i="169" s="1"/>
  <c r="J13" i="169"/>
  <c r="H13" i="169"/>
  <c r="I12" i="169"/>
  <c r="F12" i="169"/>
  <c r="H141" i="169" s="1"/>
  <c r="J141" i="169" s="1"/>
  <c r="D141" i="169" s="1"/>
  <c r="F10" i="169"/>
  <c r="H138" i="169" s="1"/>
  <c r="J138" i="169" s="1"/>
  <c r="D138" i="169" s="1"/>
  <c r="K8" i="169"/>
  <c r="H153" i="169"/>
  <c r="J153" i="169" s="1"/>
  <c r="D153" i="169" s="1"/>
  <c r="J130" i="169"/>
  <c r="D130" i="169" s="1"/>
  <c r="H131" i="169"/>
  <c r="J131" i="169" s="1"/>
  <c r="D131" i="169" s="1"/>
  <c r="H133" i="169"/>
  <c r="J133" i="169" s="1"/>
  <c r="D133" i="169" s="1"/>
  <c r="H134" i="169"/>
  <c r="J134" i="169" s="1"/>
  <c r="D134" i="169" s="1"/>
  <c r="A1" i="169"/>
  <c r="H139" i="88"/>
  <c r="E154" i="88"/>
  <c r="J160" i="169" l="1"/>
  <c r="D160" i="169" s="1"/>
  <c r="F160" i="169" s="1"/>
  <c r="K117" i="169"/>
  <c r="H125" i="169"/>
  <c r="J125" i="169" s="1"/>
  <c r="D125" i="169" s="1"/>
  <c r="H47" i="169"/>
  <c r="J47" i="169" s="1"/>
  <c r="D47" i="169" s="1"/>
  <c r="F47" i="169" s="1"/>
  <c r="F133" i="169"/>
  <c r="F153" i="169"/>
  <c r="F11" i="88"/>
  <c r="H140" i="88" s="1"/>
  <c r="F131" i="169"/>
  <c r="F141" i="169"/>
  <c r="F56" i="169"/>
  <c r="F118" i="169"/>
  <c r="F110" i="169"/>
  <c r="G158" i="179"/>
  <c r="G163" i="179"/>
  <c r="F126" i="169"/>
  <c r="F62" i="169"/>
  <c r="F97" i="169"/>
  <c r="F75" i="169"/>
  <c r="F112" i="169"/>
  <c r="F128" i="169"/>
  <c r="F158" i="169"/>
  <c r="F64" i="169"/>
  <c r="F132" i="169"/>
  <c r="J53" i="169"/>
  <c r="D53" i="169" s="1"/>
  <c r="F53" i="169" s="1"/>
  <c r="J58" i="169"/>
  <c r="D58" i="169" s="1"/>
  <c r="F58" i="169" s="1"/>
  <c r="H146" i="169"/>
  <c r="J146" i="169" s="1"/>
  <c r="D146" i="169" s="1"/>
  <c r="F146" i="169" s="1"/>
  <c r="F134" i="169"/>
  <c r="H51" i="169"/>
  <c r="H49" i="169"/>
  <c r="J49" i="169" s="1"/>
  <c r="D49" i="169" s="1"/>
  <c r="F49" i="169" s="1"/>
  <c r="F130" i="169"/>
  <c r="F11" i="169"/>
  <c r="H139" i="169" s="1"/>
  <c r="J139" i="169" s="1"/>
  <c r="D139" i="169" s="1"/>
  <c r="J18" i="169"/>
  <c r="J19" i="169" s="1"/>
  <c r="H86" i="169" s="1"/>
  <c r="J86" i="169" s="1"/>
  <c r="D86" i="169" s="1"/>
  <c r="J69" i="169"/>
  <c r="H14" i="169"/>
  <c r="H17" i="169"/>
  <c r="J92" i="169"/>
  <c r="D92" i="169" s="1"/>
  <c r="H136" i="169"/>
  <c r="J152" i="169"/>
  <c r="D152" i="169" s="1"/>
  <c r="F152" i="169" s="1"/>
  <c r="J60" i="169"/>
  <c r="H124" i="169" s="1"/>
  <c r="G32" i="88"/>
  <c r="E32" i="88" s="1"/>
  <c r="G28" i="88"/>
  <c r="E28" i="88" s="1"/>
  <c r="H137" i="88"/>
  <c r="A1" i="112"/>
  <c r="A1" i="109"/>
  <c r="A1" i="61"/>
  <c r="A1" i="62"/>
  <c r="A1" i="66"/>
  <c r="A1" i="91"/>
  <c r="A1" i="125"/>
  <c r="A1" i="88"/>
  <c r="E163" i="88"/>
  <c r="B162" i="88"/>
  <c r="B160" i="88"/>
  <c r="B158" i="88"/>
  <c r="B157" i="88"/>
  <c r="B156" i="88"/>
  <c r="B155" i="88"/>
  <c r="B154" i="88"/>
  <c r="B153" i="88"/>
  <c r="B152" i="88"/>
  <c r="A151" i="88"/>
  <c r="B143" i="88"/>
  <c r="B148" i="88"/>
  <c r="E135" i="88"/>
  <c r="B135" i="88"/>
  <c r="E134" i="88"/>
  <c r="H18" i="169" l="1"/>
  <c r="H19" i="169" s="1"/>
  <c r="H85" i="169" s="1"/>
  <c r="J85" i="169" s="1"/>
  <c r="H80" i="169" s="1"/>
  <c r="J80" i="169" s="1"/>
  <c r="D80" i="169" s="1"/>
  <c r="F80" i="169" s="1"/>
  <c r="F163" i="169"/>
  <c r="H145" i="169"/>
  <c r="J145" i="169" s="1"/>
  <c r="D145" i="169" s="1"/>
  <c r="J136" i="169"/>
  <c r="D136" i="169" s="1"/>
  <c r="D96" i="169"/>
  <c r="F96" i="169" s="1"/>
  <c r="D102" i="169"/>
  <c r="D89" i="169"/>
  <c r="F89" i="169" s="1"/>
  <c r="H52" i="169"/>
  <c r="J51" i="169"/>
  <c r="D60" i="169"/>
  <c r="F60" i="169" s="1"/>
  <c r="F65" i="169" s="1"/>
  <c r="J124" i="169"/>
  <c r="D124" i="169" s="1"/>
  <c r="F124" i="169" s="1"/>
  <c r="J70" i="169"/>
  <c r="D69" i="169"/>
  <c r="H154" i="88"/>
  <c r="J154" i="88" s="1"/>
  <c r="D154" i="88" s="1"/>
  <c r="H78" i="169" l="1"/>
  <c r="H82" i="169" s="1"/>
  <c r="J82" i="169" s="1"/>
  <c r="D82" i="169" s="1"/>
  <c r="F82" i="169" s="1"/>
  <c r="D85" i="169"/>
  <c r="D101" i="169" s="1"/>
  <c r="F69" i="169"/>
  <c r="D71" i="169"/>
  <c r="D105" i="169"/>
  <c r="H54" i="169"/>
  <c r="J54" i="169" s="1"/>
  <c r="J52" i="169"/>
  <c r="D88" i="169" l="1"/>
  <c r="F88" i="169" s="1"/>
  <c r="J78" i="169"/>
  <c r="D104" i="169"/>
  <c r="F71" i="169"/>
  <c r="J73" i="169"/>
  <c r="K73" i="169" s="1"/>
  <c r="D73" i="169" s="1"/>
  <c r="F73" i="169" s="1"/>
  <c r="F76" i="169" l="1"/>
  <c r="E75" i="88" l="1"/>
  <c r="B74" i="88"/>
  <c r="H161" i="88"/>
  <c r="H75" i="88" s="1"/>
  <c r="J75" i="88" s="1"/>
  <c r="D75" i="88" s="1"/>
  <c r="D128" i="88"/>
  <c r="H159" i="88"/>
  <c r="F75" i="88" l="1"/>
  <c r="J161" i="88"/>
  <c r="D161" i="88" l="1"/>
  <c r="B127" i="88" l="1"/>
  <c r="B128" i="88"/>
  <c r="B125" i="88"/>
  <c r="B126" i="88"/>
  <c r="B124" i="88"/>
  <c r="B123" i="88"/>
  <c r="B121" i="88"/>
  <c r="B119" i="88"/>
  <c r="B118" i="88"/>
  <c r="B117" i="88"/>
  <c r="B115" i="88"/>
  <c r="B113" i="88"/>
  <c r="B111" i="88"/>
  <c r="B109" i="88"/>
  <c r="A108" i="88"/>
  <c r="H110" i="88"/>
  <c r="F7" i="88"/>
  <c r="F5" i="88"/>
  <c r="H132" i="88" s="1"/>
  <c r="F4" i="88"/>
  <c r="H62" i="88"/>
  <c r="H58" i="88"/>
  <c r="H56" i="88"/>
  <c r="J87" i="88"/>
  <c r="J88" i="88"/>
  <c r="J89" i="88"/>
  <c r="J90" i="88"/>
  <c r="J91" i="88"/>
  <c r="K8" i="88"/>
  <c r="J15" i="88"/>
  <c r="J20" i="88"/>
  <c r="J13" i="88"/>
  <c r="I17" i="88"/>
  <c r="I16" i="88"/>
  <c r="J16" i="88" s="1"/>
  <c r="H15" i="88"/>
  <c r="H16" i="88"/>
  <c r="H13" i="88"/>
  <c r="E88" i="88"/>
  <c r="E89" i="88"/>
  <c r="E96" i="88"/>
  <c r="E97" i="88"/>
  <c r="B87" i="88"/>
  <c r="B88" i="88"/>
  <c r="B89" i="88"/>
  <c r="B90" i="88"/>
  <c r="B95" i="88"/>
  <c r="B96" i="88"/>
  <c r="B97" i="88"/>
  <c r="B98" i="88"/>
  <c r="B99" i="88"/>
  <c r="B100" i="88"/>
  <c r="B101" i="88"/>
  <c r="B102" i="88"/>
  <c r="B103" i="88"/>
  <c r="B104" i="88"/>
  <c r="B105" i="88"/>
  <c r="B83" i="88"/>
  <c r="E82" i="88"/>
  <c r="B81" i="88"/>
  <c r="B80" i="88"/>
  <c r="B79" i="88"/>
  <c r="A78" i="88"/>
  <c r="B72" i="88"/>
  <c r="B70" i="88"/>
  <c r="B69" i="88"/>
  <c r="B68" i="88"/>
  <c r="A67" i="88"/>
  <c r="A63" i="88"/>
  <c r="B63" i="88"/>
  <c r="A61" i="88"/>
  <c r="B61" i="88"/>
  <c r="A60" i="88"/>
  <c r="B60" i="88"/>
  <c r="A59" i="88"/>
  <c r="B59" i="88"/>
  <c r="A57" i="88"/>
  <c r="B57" i="88"/>
  <c r="A55" i="88"/>
  <c r="B55" i="88"/>
  <c r="B54" i="88"/>
  <c r="A51" i="88" l="1"/>
  <c r="A52" i="88"/>
  <c r="A53" i="88"/>
  <c r="A54" i="88"/>
  <c r="B52" i="88"/>
  <c r="B53" i="88"/>
  <c r="B51" i="88"/>
  <c r="A50" i="88"/>
  <c r="B50" i="88"/>
  <c r="A48" i="88"/>
  <c r="B48" i="88"/>
  <c r="A47" i="88"/>
  <c r="B47" i="88"/>
  <c r="A46" i="88"/>
  <c r="B46" i="88"/>
  <c r="A44" i="88"/>
  <c r="B44" i="88"/>
  <c r="A43" i="88"/>
  <c r="F32" i="88"/>
  <c r="E38" i="88"/>
  <c r="F38" i="88" s="1"/>
  <c r="E34" i="88"/>
  <c r="A33" i="88" l="1"/>
  <c r="B33" i="88"/>
  <c r="A37" i="88"/>
  <c r="B37" i="88"/>
  <c r="A35" i="88"/>
  <c r="B35" i="88"/>
  <c r="A31" i="88"/>
  <c r="B31" i="88"/>
  <c r="A29" i="88"/>
  <c r="B29" i="88"/>
  <c r="A27" i="88"/>
  <c r="B27" i="88"/>
  <c r="A26" i="88"/>
  <c r="B22" i="88"/>
  <c r="F28" i="88" l="1"/>
  <c r="B20" i="88"/>
  <c r="A19" i="88"/>
  <c r="D115" i="46" l="1"/>
  <c r="C167" i="91" l="1"/>
  <c r="B167" i="91"/>
  <c r="B166" i="91"/>
  <c r="A164" i="91"/>
  <c r="C165" i="91"/>
  <c r="B164" i="91"/>
  <c r="A162" i="91"/>
  <c r="A158" i="91"/>
  <c r="C163" i="91"/>
  <c r="B162" i="91"/>
  <c r="E161" i="91"/>
  <c r="C161" i="91"/>
  <c r="A160" i="91"/>
  <c r="B160" i="91"/>
  <c r="C159" i="91"/>
  <c r="B158" i="91"/>
  <c r="C157" i="91"/>
  <c r="C156" i="91"/>
  <c r="A155" i="91"/>
  <c r="A156" i="91"/>
  <c r="A157" i="91"/>
  <c r="B157" i="91"/>
  <c r="B156" i="91"/>
  <c r="B155" i="91"/>
  <c r="C154" i="91"/>
  <c r="C153" i="91"/>
  <c r="C152" i="91"/>
  <c r="A151" i="91"/>
  <c r="A152" i="91"/>
  <c r="A153" i="91"/>
  <c r="A154" i="91"/>
  <c r="B154" i="91"/>
  <c r="B153" i="91"/>
  <c r="B152" i="91"/>
  <c r="B151" i="91"/>
  <c r="A150" i="91"/>
  <c r="C147" i="91"/>
  <c r="A143" i="91"/>
  <c r="A144" i="91"/>
  <c r="A145" i="91"/>
  <c r="C145" i="91"/>
  <c r="C144" i="91"/>
  <c r="B145" i="91"/>
  <c r="B144" i="91"/>
  <c r="B143" i="91"/>
  <c r="A141" i="91"/>
  <c r="C142" i="91"/>
  <c r="B141" i="91"/>
  <c r="A139" i="91"/>
  <c r="A140" i="91"/>
  <c r="C140" i="91"/>
  <c r="B140" i="91"/>
  <c r="B139" i="91"/>
  <c r="C138" i="91"/>
  <c r="C137" i="91"/>
  <c r="C135" i="91"/>
  <c r="A134" i="91"/>
  <c r="A135" i="91"/>
  <c r="A136" i="91"/>
  <c r="A137" i="91"/>
  <c r="A138" i="91"/>
  <c r="B138" i="91"/>
  <c r="B137" i="91"/>
  <c r="B136" i="91"/>
  <c r="B135" i="91"/>
  <c r="B134" i="91"/>
  <c r="A130" i="91"/>
  <c r="A131" i="91"/>
  <c r="A132" i="91"/>
  <c r="A133" i="91"/>
  <c r="C133" i="91"/>
  <c r="C132" i="91"/>
  <c r="C131" i="91"/>
  <c r="B133" i="91"/>
  <c r="B132" i="91"/>
  <c r="B131" i="91"/>
  <c r="B130" i="91"/>
  <c r="A128" i="91"/>
  <c r="C129" i="91"/>
  <c r="B128" i="91"/>
  <c r="A126" i="91"/>
  <c r="C127" i="91"/>
  <c r="B126" i="91"/>
  <c r="C125" i="91"/>
  <c r="A124" i="91"/>
  <c r="A125" i="91"/>
  <c r="B125" i="91"/>
  <c r="B124" i="91"/>
  <c r="A122" i="91"/>
  <c r="C123" i="91"/>
  <c r="B122" i="91"/>
  <c r="C121" i="91"/>
  <c r="A120" i="91"/>
  <c r="B120" i="91"/>
  <c r="C119" i="91"/>
  <c r="C117" i="91"/>
  <c r="A118" i="91"/>
  <c r="B118" i="91"/>
  <c r="A116" i="91"/>
  <c r="B116" i="91"/>
  <c r="A115" i="91"/>
  <c r="C104" i="91"/>
  <c r="C103" i="91"/>
  <c r="C102" i="91"/>
  <c r="A95" i="91"/>
  <c r="A101" i="91"/>
  <c r="A102" i="91"/>
  <c r="A103" i="91"/>
  <c r="A104" i="91"/>
  <c r="B104" i="91"/>
  <c r="B103" i="91"/>
  <c r="B102" i="91"/>
  <c r="B101" i="91"/>
  <c r="B95" i="91"/>
  <c r="C94" i="91"/>
  <c r="C93" i="91"/>
  <c r="A92" i="91"/>
  <c r="A93" i="91"/>
  <c r="A94" i="91"/>
  <c r="B94" i="91"/>
  <c r="B93" i="91"/>
  <c r="B92" i="91"/>
  <c r="A88" i="91"/>
  <c r="B88" i="91"/>
  <c r="C87" i="91"/>
  <c r="A86" i="91"/>
  <c r="B86" i="91"/>
  <c r="C85" i="91"/>
  <c r="A84" i="91"/>
  <c r="B84" i="91"/>
  <c r="A82" i="91"/>
  <c r="C83" i="91"/>
  <c r="B82" i="91"/>
  <c r="A80" i="91"/>
  <c r="A81" i="91"/>
  <c r="C81" i="91"/>
  <c r="B81" i="91"/>
  <c r="B80" i="91"/>
  <c r="A79" i="91"/>
  <c r="C76" i="91"/>
  <c r="A75" i="91"/>
  <c r="B75" i="91"/>
  <c r="C74" i="91"/>
  <c r="A73" i="91"/>
  <c r="B73" i="91"/>
  <c r="C72" i="91"/>
  <c r="A71" i="91"/>
  <c r="B71" i="91"/>
  <c r="C70" i="91"/>
  <c r="A69" i="91"/>
  <c r="A70" i="91"/>
  <c r="B70" i="91"/>
  <c r="B69" i="91"/>
  <c r="A68" i="91"/>
  <c r="C65" i="91"/>
  <c r="A64" i="91"/>
  <c r="B64" i="91"/>
  <c r="C63" i="91"/>
  <c r="A62" i="91"/>
  <c r="B62" i="91"/>
  <c r="C61" i="91"/>
  <c r="A60" i="91"/>
  <c r="B60" i="91"/>
  <c r="A58" i="91"/>
  <c r="C59" i="91"/>
  <c r="B58" i="91"/>
  <c r="C57" i="91"/>
  <c r="C56" i="91"/>
  <c r="A55" i="91"/>
  <c r="A56" i="91"/>
  <c r="A57" i="91"/>
  <c r="B57" i="91"/>
  <c r="B56" i="91"/>
  <c r="B55" i="91"/>
  <c r="A53" i="91"/>
  <c r="B53" i="91"/>
  <c r="C52" i="91"/>
  <c r="A51" i="91"/>
  <c r="B51" i="91"/>
  <c r="C48" i="91"/>
  <c r="C49" i="91"/>
  <c r="C50" i="91"/>
  <c r="C47" i="91"/>
  <c r="A47" i="91"/>
  <c r="A48" i="91"/>
  <c r="A49" i="91"/>
  <c r="A50" i="91"/>
  <c r="B48" i="91"/>
  <c r="B49" i="91"/>
  <c r="B50" i="91"/>
  <c r="B47" i="91"/>
  <c r="A46" i="91"/>
  <c r="B46" i="91"/>
  <c r="C45" i="91"/>
  <c r="A44" i="91"/>
  <c r="B44" i="91"/>
  <c r="C43" i="91"/>
  <c r="A43" i="91"/>
  <c r="B43" i="91"/>
  <c r="A42" i="91"/>
  <c r="B42" i="91"/>
  <c r="C41" i="91"/>
  <c r="A40" i="91"/>
  <c r="B40" i="91"/>
  <c r="A39" i="91"/>
  <c r="C34" i="91"/>
  <c r="A33" i="91"/>
  <c r="B33" i="91"/>
  <c r="A31" i="91"/>
  <c r="B31" i="91"/>
  <c r="A29" i="91"/>
  <c r="B29" i="91"/>
  <c r="A27" i="91"/>
  <c r="B27" i="91"/>
  <c r="A25" i="91"/>
  <c r="B25" i="91"/>
  <c r="A23" i="91"/>
  <c r="B23" i="91"/>
  <c r="A21" i="91"/>
  <c r="B21" i="91"/>
  <c r="A19" i="91"/>
  <c r="B19" i="91"/>
  <c r="A14" i="91"/>
  <c r="A12" i="91"/>
  <c r="C15" i="91"/>
  <c r="C13" i="91"/>
  <c r="B14" i="91"/>
  <c r="B12" i="91"/>
  <c r="A11" i="91"/>
  <c r="D115" i="47" l="1"/>
  <c r="E107" i="204" l="1"/>
  <c r="F107" i="204" s="1"/>
  <c r="E107" i="193"/>
  <c r="F107" i="193" s="1"/>
  <c r="E106" i="204"/>
  <c r="F106" i="204" s="1"/>
  <c r="E106" i="193"/>
  <c r="F106" i="193" s="1"/>
  <c r="E103" i="112"/>
  <c r="E103" i="109"/>
  <c r="F103" i="109" s="1"/>
  <c r="E104" i="112"/>
  <c r="E104" i="109"/>
  <c r="F104" i="109" s="1"/>
  <c r="E91" i="61"/>
  <c r="E98" i="62"/>
  <c r="E100" i="187"/>
  <c r="F100" i="187" s="1"/>
  <c r="E104" i="185"/>
  <c r="F104" i="185" s="1"/>
  <c r="E92" i="61"/>
  <c r="E99" i="62"/>
  <c r="E101" i="187"/>
  <c r="F101" i="187" s="1"/>
  <c r="E105" i="185"/>
  <c r="F105" i="185" s="1"/>
  <c r="E112" i="91"/>
  <c r="E126" i="125"/>
  <c r="F126" i="125" s="1"/>
  <c r="E111" i="91"/>
  <c r="E100" i="178"/>
  <c r="F100" i="178" s="1"/>
  <c r="E104" i="169"/>
  <c r="F104" i="169" s="1"/>
  <c r="E104" i="88"/>
  <c r="E101" i="178"/>
  <c r="F101" i="178" s="1"/>
  <c r="E105" i="169"/>
  <c r="F105" i="169" s="1"/>
  <c r="E105" i="88"/>
  <c r="A199" i="125" l="1"/>
  <c r="A200" i="125"/>
  <c r="C200" i="125"/>
  <c r="B200" i="125"/>
  <c r="B199" i="125"/>
  <c r="C198" i="125"/>
  <c r="A197" i="125"/>
  <c r="B197" i="125"/>
  <c r="C196" i="125"/>
  <c r="A195" i="125"/>
  <c r="B195" i="125"/>
  <c r="C193" i="125"/>
  <c r="C194" i="125"/>
  <c r="A192" i="125"/>
  <c r="A193" i="125"/>
  <c r="A194" i="125"/>
  <c r="B194" i="125"/>
  <c r="B193" i="125"/>
  <c r="B192" i="125"/>
  <c r="C190" i="125"/>
  <c r="C191" i="125"/>
  <c r="A189" i="125"/>
  <c r="A190" i="125"/>
  <c r="A191" i="125"/>
  <c r="B191" i="125"/>
  <c r="B190" i="125"/>
  <c r="B189" i="125"/>
  <c r="C185" i="125"/>
  <c r="C186" i="125"/>
  <c r="C187" i="125"/>
  <c r="C188" i="125"/>
  <c r="A184" i="125"/>
  <c r="A185" i="125"/>
  <c r="A186" i="125"/>
  <c r="A187" i="125"/>
  <c r="A188" i="125"/>
  <c r="B187" i="125"/>
  <c r="B188" i="125"/>
  <c r="B186" i="125"/>
  <c r="B185" i="125"/>
  <c r="A183" i="125"/>
  <c r="B184" i="125"/>
  <c r="C180" i="125"/>
  <c r="A179" i="125"/>
  <c r="A180" i="125"/>
  <c r="B180" i="125"/>
  <c r="B179" i="125"/>
  <c r="A176" i="125"/>
  <c r="A177" i="125"/>
  <c r="A178" i="125"/>
  <c r="C178" i="125"/>
  <c r="C177" i="125"/>
  <c r="C175" i="125"/>
  <c r="B178" i="125"/>
  <c r="B177" i="125"/>
  <c r="B176" i="125"/>
  <c r="A175" i="125"/>
  <c r="B175" i="125"/>
  <c r="A174" i="125"/>
  <c r="B174" i="125"/>
  <c r="C173" i="125"/>
  <c r="C171" i="125"/>
  <c r="A169" i="125"/>
  <c r="B169" i="125"/>
  <c r="C169" i="125"/>
  <c r="A165" i="125"/>
  <c r="A168" i="125"/>
  <c r="A170" i="125"/>
  <c r="A171" i="125"/>
  <c r="B171" i="125"/>
  <c r="B170" i="125"/>
  <c r="B168" i="125"/>
  <c r="A166" i="125"/>
  <c r="A167" i="125"/>
  <c r="C166" i="125"/>
  <c r="C167" i="125"/>
  <c r="B167" i="125"/>
  <c r="B166" i="125"/>
  <c r="B165" i="125"/>
  <c r="C164" i="125"/>
  <c r="A163" i="125"/>
  <c r="B163" i="125"/>
  <c r="C161" i="125"/>
  <c r="C162" i="125"/>
  <c r="C151" i="125"/>
  <c r="C153" i="125"/>
  <c r="C154" i="125"/>
  <c r="C155" i="125"/>
  <c r="C156" i="125"/>
  <c r="C157" i="125"/>
  <c r="C159" i="125"/>
  <c r="A150" i="125"/>
  <c r="B150" i="125"/>
  <c r="C147" i="125"/>
  <c r="C148" i="125"/>
  <c r="C149" i="125"/>
  <c r="A146" i="125"/>
  <c r="A147" i="125"/>
  <c r="A148" i="125"/>
  <c r="A149" i="125"/>
  <c r="B149" i="125"/>
  <c r="B148" i="125"/>
  <c r="B147" i="125"/>
  <c r="B146" i="125"/>
  <c r="C145" i="125"/>
  <c r="A144" i="125"/>
  <c r="B144" i="125"/>
  <c r="C143" i="125"/>
  <c r="A142" i="125"/>
  <c r="B142" i="125"/>
  <c r="C140" i="125"/>
  <c r="C141" i="125"/>
  <c r="A139" i="125"/>
  <c r="A140" i="125"/>
  <c r="A141" i="125"/>
  <c r="B141" i="125"/>
  <c r="B140" i="125"/>
  <c r="B139" i="125"/>
  <c r="C138" i="125"/>
  <c r="A137" i="125"/>
  <c r="B137" i="125"/>
  <c r="C136" i="125"/>
  <c r="A135" i="125"/>
  <c r="B135" i="125"/>
  <c r="C134" i="125"/>
  <c r="A133" i="125"/>
  <c r="B133" i="125"/>
  <c r="C132" i="125"/>
  <c r="A131" i="125"/>
  <c r="B131" i="125"/>
  <c r="A94" i="125"/>
  <c r="A130" i="125"/>
  <c r="A101" i="125"/>
  <c r="E127" i="125"/>
  <c r="F127" i="125" s="1"/>
  <c r="C127" i="125"/>
  <c r="C117" i="125"/>
  <c r="C118" i="125"/>
  <c r="C119" i="125"/>
  <c r="A116" i="125"/>
  <c r="A117" i="125"/>
  <c r="A118" i="125"/>
  <c r="A119" i="125"/>
  <c r="B119" i="125"/>
  <c r="B118" i="125"/>
  <c r="B117" i="125"/>
  <c r="B116" i="125"/>
  <c r="B110" i="125"/>
  <c r="C109" i="125"/>
  <c r="C108" i="125"/>
  <c r="A108" i="125"/>
  <c r="A109" i="125"/>
  <c r="B109" i="125"/>
  <c r="B108" i="125"/>
  <c r="A107" i="125"/>
  <c r="B107" i="125"/>
  <c r="A103" i="125"/>
  <c r="B103" i="125"/>
  <c r="C102" i="125"/>
  <c r="C100" i="125"/>
  <c r="A99" i="125"/>
  <c r="B99" i="125"/>
  <c r="C98" i="125"/>
  <c r="A97" i="125"/>
  <c r="B97" i="125"/>
  <c r="C96" i="125"/>
  <c r="A95" i="125"/>
  <c r="A96" i="125"/>
  <c r="B96" i="125"/>
  <c r="B95" i="125"/>
  <c r="A80" i="125"/>
  <c r="B80" i="125"/>
  <c r="E85" i="125"/>
  <c r="C91" i="125"/>
  <c r="C89" i="125"/>
  <c r="A90" i="125"/>
  <c r="B90" i="125"/>
  <c r="A88" i="125"/>
  <c r="B88" i="125"/>
  <c r="C87" i="125"/>
  <c r="A86" i="125"/>
  <c r="B86" i="125"/>
  <c r="C85" i="125"/>
  <c r="A84" i="125"/>
  <c r="B84" i="125"/>
  <c r="C83" i="125"/>
  <c r="A82" i="125"/>
  <c r="B82" i="125"/>
  <c r="C81" i="125"/>
  <c r="C79" i="125"/>
  <c r="A78" i="125"/>
  <c r="B78" i="125"/>
  <c r="C77" i="125"/>
  <c r="A76" i="125"/>
  <c r="B76" i="125"/>
  <c r="C75" i="125"/>
  <c r="C74" i="125"/>
  <c r="A74" i="125"/>
  <c r="A75" i="125"/>
  <c r="B75" i="125"/>
  <c r="B74" i="125"/>
  <c r="A73" i="125"/>
  <c r="B73" i="125"/>
  <c r="A72" i="125"/>
  <c r="C60" i="125"/>
  <c r="C69" i="125"/>
  <c r="A68" i="125"/>
  <c r="B68" i="125"/>
  <c r="C67" i="125"/>
  <c r="A66" i="125"/>
  <c r="B66" i="125"/>
  <c r="A64" i="125"/>
  <c r="C65" i="125"/>
  <c r="B64" i="125"/>
  <c r="C62" i="125"/>
  <c r="C63" i="125"/>
  <c r="A61" i="125"/>
  <c r="A62" i="125"/>
  <c r="A63" i="125"/>
  <c r="B63" i="125"/>
  <c r="B62" i="125"/>
  <c r="B61" i="125"/>
  <c r="A59" i="125"/>
  <c r="B59" i="125"/>
  <c r="C58" i="125"/>
  <c r="A57" i="125"/>
  <c r="B57" i="125"/>
  <c r="A52" i="125"/>
  <c r="A53" i="125"/>
  <c r="A54" i="125"/>
  <c r="A55" i="125"/>
  <c r="A56" i="125"/>
  <c r="C53" i="125"/>
  <c r="C54" i="125"/>
  <c r="C55" i="125"/>
  <c r="C56" i="125"/>
  <c r="B54" i="125"/>
  <c r="B55" i="125"/>
  <c r="B56" i="125"/>
  <c r="B53" i="125"/>
  <c r="B52" i="125"/>
  <c r="C51" i="125"/>
  <c r="A50" i="125"/>
  <c r="B50" i="125"/>
  <c r="A47" i="125"/>
  <c r="A48" i="125"/>
  <c r="A49" i="125"/>
  <c r="C48" i="125"/>
  <c r="C49" i="125"/>
  <c r="B49" i="125"/>
  <c r="B48" i="125"/>
  <c r="B47" i="125"/>
  <c r="C46" i="125"/>
  <c r="A44" i="125"/>
  <c r="A45" i="125"/>
  <c r="B45" i="125"/>
  <c r="A38" i="125"/>
  <c r="B38" i="125"/>
  <c r="A36" i="125"/>
  <c r="B36" i="125"/>
  <c r="A34" i="125"/>
  <c r="A32" i="125"/>
  <c r="B32" i="125"/>
  <c r="A30" i="125"/>
  <c r="B30" i="125"/>
  <c r="A28" i="125"/>
  <c r="B28" i="125"/>
  <c r="A23" i="125"/>
  <c r="B23" i="125"/>
  <c r="C22" i="125"/>
  <c r="A21" i="125"/>
  <c r="B21" i="125"/>
  <c r="A20" i="125"/>
  <c r="B7" i="198" l="1"/>
  <c r="B86" i="193" l="1"/>
  <c r="B86" i="204"/>
  <c r="A87" i="193"/>
  <c r="A87" i="204"/>
  <c r="C88" i="193"/>
  <c r="C88" i="204"/>
  <c r="A94" i="193"/>
  <c r="A94" i="204"/>
  <c r="A95" i="193"/>
  <c r="A95" i="204"/>
  <c r="C94" i="193"/>
  <c r="C94" i="204"/>
  <c r="B88" i="193"/>
  <c r="B88" i="204"/>
  <c r="C87" i="193"/>
  <c r="C87" i="204"/>
  <c r="B94" i="193"/>
  <c r="B94" i="204"/>
  <c r="B96" i="193"/>
  <c r="B96" i="204"/>
  <c r="C96" i="193"/>
  <c r="C96" i="204"/>
  <c r="E88" i="193"/>
  <c r="F88" i="193" s="1"/>
  <c r="E88" i="204"/>
  <c r="F88" i="204" s="1"/>
  <c r="E95" i="193"/>
  <c r="F95" i="193" s="1"/>
  <c r="E95" i="204"/>
  <c r="F95" i="204" s="1"/>
  <c r="B87" i="193"/>
  <c r="B87" i="204"/>
  <c r="A93" i="193"/>
  <c r="A93" i="204"/>
  <c r="A96" i="193"/>
  <c r="A96" i="204"/>
  <c r="E87" i="193"/>
  <c r="F87" i="193" s="1"/>
  <c r="E87" i="204"/>
  <c r="F87" i="204" s="1"/>
  <c r="A86" i="193"/>
  <c r="A86" i="204"/>
  <c r="A88" i="193"/>
  <c r="A88" i="204"/>
  <c r="B93" i="193"/>
  <c r="B93" i="204"/>
  <c r="A114" i="125"/>
  <c r="B95" i="193"/>
  <c r="B95" i="204"/>
  <c r="C95" i="193"/>
  <c r="C95" i="204"/>
  <c r="E94" i="193"/>
  <c r="F94" i="193" s="1"/>
  <c r="E94" i="204"/>
  <c r="F94" i="204" s="1"/>
  <c r="E91" i="112"/>
  <c r="F91" i="112" s="1"/>
  <c r="E91" i="109"/>
  <c r="F91" i="109" s="1"/>
  <c r="B82" i="109"/>
  <c r="B82" i="112"/>
  <c r="B83" i="112"/>
  <c r="B83" i="109"/>
  <c r="A111" i="125"/>
  <c r="A90" i="112"/>
  <c r="A90" i="109"/>
  <c r="A115" i="125"/>
  <c r="A93" i="112"/>
  <c r="A93" i="109"/>
  <c r="E83" i="112"/>
  <c r="E83" i="109"/>
  <c r="F83" i="109" s="1"/>
  <c r="A81" i="109"/>
  <c r="A81" i="112"/>
  <c r="C82" i="109"/>
  <c r="C82" i="112"/>
  <c r="B92" i="109"/>
  <c r="B92" i="112"/>
  <c r="B81" i="112"/>
  <c r="B81" i="109"/>
  <c r="A83" i="112"/>
  <c r="A83" i="109"/>
  <c r="C86" i="185"/>
  <c r="C86" i="169"/>
  <c r="C84" i="112"/>
  <c r="C84" i="109"/>
  <c r="A112" i="125"/>
  <c r="A91" i="112"/>
  <c r="A91" i="109"/>
  <c r="A113" i="125"/>
  <c r="A92" i="112"/>
  <c r="A92" i="109"/>
  <c r="C92" i="185"/>
  <c r="C92" i="169"/>
  <c r="C91" i="109"/>
  <c r="C91" i="112"/>
  <c r="E82" i="112"/>
  <c r="F82" i="112" s="1"/>
  <c r="E82" i="109"/>
  <c r="A84" i="112"/>
  <c r="A84" i="109"/>
  <c r="B90" i="112"/>
  <c r="B90" i="109"/>
  <c r="C93" i="169"/>
  <c r="C93" i="185"/>
  <c r="C92" i="109"/>
  <c r="C92" i="112"/>
  <c r="A82" i="109"/>
  <c r="A82" i="112"/>
  <c r="B84" i="109"/>
  <c r="B84" i="112"/>
  <c r="C85" i="185"/>
  <c r="C85" i="169"/>
  <c r="C83" i="109"/>
  <c r="C83" i="112"/>
  <c r="B91" i="109"/>
  <c r="B91" i="112"/>
  <c r="B93" i="109"/>
  <c r="B93" i="112"/>
  <c r="C94" i="185"/>
  <c r="C94" i="169"/>
  <c r="C93" i="109"/>
  <c r="C93" i="112"/>
  <c r="E84" i="112"/>
  <c r="E84" i="109"/>
  <c r="F84" i="109" s="1"/>
  <c r="E92" i="112"/>
  <c r="E92" i="109"/>
  <c r="F92" i="109" s="1"/>
  <c r="A78" i="61"/>
  <c r="A85" i="62"/>
  <c r="E71" i="61"/>
  <c r="F71" i="61" s="1"/>
  <c r="E78" i="62"/>
  <c r="A69" i="61"/>
  <c r="A76" i="62"/>
  <c r="A72" i="61"/>
  <c r="A79" i="62"/>
  <c r="C70" i="61"/>
  <c r="C77" i="62"/>
  <c r="B78" i="61"/>
  <c r="B85" i="62"/>
  <c r="B80" i="61"/>
  <c r="B87" i="62"/>
  <c r="C89" i="187"/>
  <c r="C80" i="61"/>
  <c r="C87" i="62"/>
  <c r="E79" i="61"/>
  <c r="F79" i="61" s="1"/>
  <c r="E86" i="62"/>
  <c r="F86" i="62" s="1"/>
  <c r="B79" i="187"/>
  <c r="B70" i="61"/>
  <c r="B77" i="62"/>
  <c r="A81" i="61"/>
  <c r="A88" i="62"/>
  <c r="B69" i="61"/>
  <c r="B76" i="62"/>
  <c r="A71" i="61"/>
  <c r="A78" i="62"/>
  <c r="C81" i="187"/>
  <c r="C72" i="61"/>
  <c r="C79" i="62"/>
  <c r="A79" i="61"/>
  <c r="A86" i="62"/>
  <c r="A80" i="61"/>
  <c r="A87" i="62"/>
  <c r="C88" i="187"/>
  <c r="C79" i="61"/>
  <c r="C86" i="62"/>
  <c r="E70" i="61"/>
  <c r="F70" i="61" s="1"/>
  <c r="E77" i="62"/>
  <c r="F77" i="62" s="1"/>
  <c r="B71" i="61"/>
  <c r="B78" i="62"/>
  <c r="A79" i="187"/>
  <c r="A70" i="61"/>
  <c r="A77" i="62"/>
  <c r="B72" i="61"/>
  <c r="B79" i="62"/>
  <c r="C80" i="187"/>
  <c r="C71" i="61"/>
  <c r="C78" i="62"/>
  <c r="B79" i="61"/>
  <c r="B86" i="62"/>
  <c r="B81" i="61"/>
  <c r="B88" i="62"/>
  <c r="C90" i="187"/>
  <c r="C81" i="61"/>
  <c r="C88" i="62"/>
  <c r="E72" i="61"/>
  <c r="F72" i="61" s="1"/>
  <c r="E79" i="62"/>
  <c r="E80" i="61"/>
  <c r="F80" i="61" s="1"/>
  <c r="E87" i="62"/>
  <c r="F87" i="62" s="1"/>
  <c r="B80" i="187"/>
  <c r="B85" i="185"/>
  <c r="A87" i="187"/>
  <c r="A91" i="185"/>
  <c r="A100" i="91"/>
  <c r="A90" i="187"/>
  <c r="A94" i="185"/>
  <c r="E80" i="187"/>
  <c r="F80" i="187" s="1"/>
  <c r="E85" i="185"/>
  <c r="F85" i="185" s="1"/>
  <c r="A78" i="187"/>
  <c r="A84" i="185"/>
  <c r="A81" i="187"/>
  <c r="A86" i="185"/>
  <c r="C79" i="178"/>
  <c r="C79" i="187"/>
  <c r="B87" i="187"/>
  <c r="B91" i="185"/>
  <c r="B89" i="187"/>
  <c r="B93" i="185"/>
  <c r="E88" i="187"/>
  <c r="F88" i="187" s="1"/>
  <c r="E92" i="185"/>
  <c r="F92" i="185" s="1"/>
  <c r="B78" i="187"/>
  <c r="B84" i="185"/>
  <c r="A80" i="187"/>
  <c r="A85" i="185"/>
  <c r="A88" i="187"/>
  <c r="A92" i="185"/>
  <c r="A89" i="187"/>
  <c r="A93" i="185"/>
  <c r="E79" i="178"/>
  <c r="F79" i="178" s="1"/>
  <c r="E79" i="187"/>
  <c r="F79" i="187" s="1"/>
  <c r="B81" i="187"/>
  <c r="B86" i="185"/>
  <c r="B88" i="187"/>
  <c r="B92" i="185"/>
  <c r="B90" i="187"/>
  <c r="B94" i="185"/>
  <c r="E81" i="187"/>
  <c r="F81" i="187" s="1"/>
  <c r="E86" i="185"/>
  <c r="F86" i="185" s="1"/>
  <c r="E89" i="187"/>
  <c r="F89" i="187" s="1"/>
  <c r="E93" i="185"/>
  <c r="F93" i="185" s="1"/>
  <c r="B100" i="91"/>
  <c r="B115" i="125"/>
  <c r="C115" i="125"/>
  <c r="C100" i="91"/>
  <c r="A86" i="88"/>
  <c r="A81" i="178"/>
  <c r="A86" i="169"/>
  <c r="A84" i="179"/>
  <c r="A79" i="180"/>
  <c r="A71" i="183"/>
  <c r="A77" i="182"/>
  <c r="B77" i="183"/>
  <c r="B83" i="182"/>
  <c r="B87" i="178"/>
  <c r="B89" i="179"/>
  <c r="B84" i="180"/>
  <c r="B91" i="169"/>
  <c r="B91" i="179"/>
  <c r="B86" i="180"/>
  <c r="B79" i="183"/>
  <c r="B85" i="182"/>
  <c r="B89" i="178"/>
  <c r="B93" i="169"/>
  <c r="E88" i="178"/>
  <c r="F88" i="178" s="1"/>
  <c r="E92" i="169"/>
  <c r="F92" i="169" s="1"/>
  <c r="A87" i="178"/>
  <c r="A91" i="88"/>
  <c r="A91" i="169"/>
  <c r="A89" i="179"/>
  <c r="A77" i="183"/>
  <c r="A83" i="182"/>
  <c r="A84" i="180"/>
  <c r="A80" i="178"/>
  <c r="A85" i="88"/>
  <c r="A85" i="169"/>
  <c r="A83" i="179"/>
  <c r="A70" i="183"/>
  <c r="A76" i="182"/>
  <c r="A78" i="180"/>
  <c r="A88" i="178"/>
  <c r="A92" i="88"/>
  <c r="A92" i="169"/>
  <c r="A85" i="180"/>
  <c r="A84" i="182"/>
  <c r="A90" i="179"/>
  <c r="A78" i="183"/>
  <c r="C88" i="178"/>
  <c r="C92" i="88"/>
  <c r="B79" i="180"/>
  <c r="B71" i="183"/>
  <c r="B77" i="182"/>
  <c r="B84" i="179"/>
  <c r="B81" i="178"/>
  <c r="B86" i="169"/>
  <c r="B88" i="178"/>
  <c r="B85" i="180"/>
  <c r="B90" i="179"/>
  <c r="B78" i="183"/>
  <c r="B84" i="182"/>
  <c r="B92" i="169"/>
  <c r="C90" i="178"/>
  <c r="C94" i="88"/>
  <c r="E89" i="178"/>
  <c r="F89" i="178" s="1"/>
  <c r="E93" i="169"/>
  <c r="F93" i="169" s="1"/>
  <c r="B76" i="182"/>
  <c r="B78" i="180"/>
  <c r="B70" i="183"/>
  <c r="B83" i="179"/>
  <c r="B80" i="178"/>
  <c r="B85" i="169"/>
  <c r="A90" i="178"/>
  <c r="A94" i="88"/>
  <c r="A94" i="169"/>
  <c r="A80" i="183"/>
  <c r="A86" i="182"/>
  <c r="A87" i="180"/>
  <c r="A92" i="179"/>
  <c r="B69" i="183"/>
  <c r="B75" i="182"/>
  <c r="B79" i="178"/>
  <c r="A84" i="88"/>
  <c r="A78" i="178"/>
  <c r="A84" i="169"/>
  <c r="A77" i="180"/>
  <c r="A82" i="179"/>
  <c r="A68" i="183"/>
  <c r="A74" i="182"/>
  <c r="C89" i="178"/>
  <c r="C93" i="88"/>
  <c r="E80" i="178"/>
  <c r="F80" i="178" s="1"/>
  <c r="E85" i="169"/>
  <c r="F85" i="169" s="1"/>
  <c r="B82" i="179"/>
  <c r="B68" i="183"/>
  <c r="B74" i="182"/>
  <c r="B78" i="178"/>
  <c r="B77" i="180"/>
  <c r="B84" i="169"/>
  <c r="C86" i="88"/>
  <c r="C81" i="178"/>
  <c r="A89" i="178"/>
  <c r="A93" i="88"/>
  <c r="A93" i="169"/>
  <c r="A86" i="180"/>
  <c r="A91" i="179"/>
  <c r="A79" i="183"/>
  <c r="A85" i="182"/>
  <c r="A79" i="178"/>
  <c r="A69" i="183"/>
  <c r="A75" i="182"/>
  <c r="C85" i="88"/>
  <c r="C80" i="178"/>
  <c r="B80" i="183"/>
  <c r="B86" i="182"/>
  <c r="B92" i="179"/>
  <c r="B87" i="180"/>
  <c r="B90" i="178"/>
  <c r="B94" i="169"/>
  <c r="E81" i="178"/>
  <c r="F81" i="178" s="1"/>
  <c r="E86" i="169"/>
  <c r="F86" i="169" s="1"/>
  <c r="B85" i="88"/>
  <c r="E85" i="88"/>
  <c r="B91" i="88"/>
  <c r="B93" i="88"/>
  <c r="E92" i="88"/>
  <c r="B84" i="88"/>
  <c r="B86" i="88"/>
  <c r="B92" i="88"/>
  <c r="B94" i="88"/>
  <c r="E86" i="88"/>
  <c r="E93" i="88"/>
  <c r="B91" i="91"/>
  <c r="B90" i="91"/>
  <c r="A96" i="91"/>
  <c r="B99" i="91"/>
  <c r="E90" i="91"/>
  <c r="A89" i="91"/>
  <c r="A91" i="91"/>
  <c r="B96" i="91"/>
  <c r="A99" i="91"/>
  <c r="B98" i="91"/>
  <c r="C98" i="91"/>
  <c r="E97" i="91"/>
  <c r="C90" i="91"/>
  <c r="B97" i="91"/>
  <c r="E91" i="91"/>
  <c r="E98" i="91"/>
  <c r="C99" i="91"/>
  <c r="B89" i="91"/>
  <c r="A90" i="91"/>
  <c r="C91" i="91"/>
  <c r="A97" i="91"/>
  <c r="A98" i="91"/>
  <c r="C97" i="91"/>
  <c r="E99" i="91"/>
  <c r="F99" i="91" s="1"/>
  <c r="A106" i="125"/>
  <c r="C113" i="125"/>
  <c r="E112" i="125"/>
  <c r="B105" i="125"/>
  <c r="B114" i="125"/>
  <c r="C114" i="125"/>
  <c r="E105" i="125"/>
  <c r="F105" i="125" s="1"/>
  <c r="E113" i="125"/>
  <c r="A104" i="125"/>
  <c r="B113" i="125"/>
  <c r="B104" i="125"/>
  <c r="A105" i="125"/>
  <c r="C106" i="125"/>
  <c r="C112" i="125"/>
  <c r="B111" i="125"/>
  <c r="B106" i="125"/>
  <c r="C105" i="125"/>
  <c r="B112" i="125"/>
  <c r="E106" i="125"/>
  <c r="F106" i="125" s="1"/>
  <c r="E114" i="125"/>
  <c r="E104" i="193" l="1"/>
  <c r="F104" i="193" s="1"/>
  <c r="E104" i="204"/>
  <c r="F104" i="204" s="1"/>
  <c r="E103" i="193"/>
  <c r="F103" i="193" s="1"/>
  <c r="E103" i="204"/>
  <c r="F103" i="204" s="1"/>
  <c r="E101" i="112"/>
  <c r="E101" i="109"/>
  <c r="F101" i="109" s="1"/>
  <c r="E100" i="109"/>
  <c r="F100" i="109" s="1"/>
  <c r="E100" i="112"/>
  <c r="E88" i="61"/>
  <c r="E95" i="62"/>
  <c r="E89" i="61"/>
  <c r="E96" i="62"/>
  <c r="E98" i="187"/>
  <c r="F98" i="187" s="1"/>
  <c r="E102" i="185"/>
  <c r="F102" i="185" s="1"/>
  <c r="E97" i="187"/>
  <c r="F97" i="187" s="1"/>
  <c r="E101" i="185"/>
  <c r="F101" i="185" s="1"/>
  <c r="E124" i="125"/>
  <c r="F124" i="125" s="1"/>
  <c r="E109" i="91"/>
  <c r="E123" i="125"/>
  <c r="F123" i="125" s="1"/>
  <c r="E108" i="91"/>
  <c r="E98" i="178"/>
  <c r="F98" i="178" s="1"/>
  <c r="E102" i="169"/>
  <c r="F102" i="169" s="1"/>
  <c r="E97" i="178"/>
  <c r="F97" i="178" s="1"/>
  <c r="E101" i="169"/>
  <c r="F101" i="169" s="1"/>
  <c r="E102" i="88"/>
  <c r="E101" i="88"/>
  <c r="H97" i="46" l="1"/>
  <c r="J53" i="80"/>
  <c r="D53" i="80" s="1"/>
  <c r="H54" i="80"/>
  <c r="E54" i="80"/>
  <c r="E53" i="80"/>
  <c r="B53" i="80"/>
  <c r="B54" i="80"/>
  <c r="A53" i="80"/>
  <c r="A54" i="80"/>
  <c r="A52" i="80"/>
  <c r="B52" i="80"/>
  <c r="F24" i="80"/>
  <c r="E22" i="80"/>
  <c r="E18" i="80"/>
  <c r="D160" i="80"/>
  <c r="E41" i="80"/>
  <c r="E42" i="80"/>
  <c r="E28" i="80"/>
  <c r="A12" i="80"/>
  <c r="A10" i="80"/>
  <c r="B10" i="80"/>
  <c r="A9" i="80"/>
  <c r="A16" i="80"/>
  <c r="A27" i="80"/>
  <c r="B27" i="80"/>
  <c r="A25" i="80"/>
  <c r="B25" i="80"/>
  <c r="A23" i="80"/>
  <c r="B23" i="80"/>
  <c r="A21" i="80"/>
  <c r="B21" i="80"/>
  <c r="A19" i="80"/>
  <c r="B19" i="80"/>
  <c r="A17" i="80"/>
  <c r="B17" i="80"/>
  <c r="B12" i="80"/>
  <c r="E127" i="204" l="1"/>
  <c r="F127" i="204" s="1"/>
  <c r="E127" i="193"/>
  <c r="F127" i="193" s="1"/>
  <c r="E123" i="187"/>
  <c r="F123" i="187" s="1"/>
  <c r="E125" i="185"/>
  <c r="F125" i="185" s="1"/>
  <c r="E123" i="178"/>
  <c r="F123" i="178" s="1"/>
  <c r="E125" i="169"/>
  <c r="F125" i="169" s="1"/>
  <c r="F53" i="80"/>
  <c r="E152" i="47"/>
  <c r="E26" i="46" l="1"/>
  <c r="E26" i="47"/>
  <c r="A23" i="47"/>
  <c r="B23" i="47"/>
  <c r="A25" i="47"/>
  <c r="B25" i="47"/>
  <c r="A21" i="47"/>
  <c r="B21" i="47"/>
  <c r="M21" i="47"/>
  <c r="A19" i="47"/>
  <c r="B19" i="47"/>
  <c r="A17" i="47"/>
  <c r="B17" i="47"/>
  <c r="A15" i="47"/>
  <c r="B15" i="47"/>
  <c r="A10" i="47"/>
  <c r="B10" i="47"/>
  <c r="H69" i="46"/>
  <c r="E42" i="46"/>
  <c r="H11" i="46" l="1"/>
  <c r="J11" i="46" s="1"/>
  <c r="C11" i="46"/>
  <c r="A10" i="46"/>
  <c r="B10" i="46"/>
  <c r="A25" i="46"/>
  <c r="B25" i="46"/>
  <c r="A23" i="46"/>
  <c r="B23" i="46"/>
  <c r="A21" i="46"/>
  <c r="B21" i="46"/>
  <c r="A19" i="46"/>
  <c r="B19" i="46"/>
  <c r="A17" i="46"/>
  <c r="B17" i="46"/>
  <c r="A15" i="46"/>
  <c r="B15" i="46"/>
  <c r="A14" i="46"/>
  <c r="E140" i="47"/>
  <c r="E140" i="46"/>
  <c r="H69" i="47"/>
  <c r="H161" i="47"/>
  <c r="H161" i="46"/>
  <c r="D106" i="46"/>
  <c r="D106" i="47"/>
  <c r="A118" i="47" l="1"/>
  <c r="B115" i="47"/>
  <c r="B116" i="47"/>
  <c r="B117" i="47"/>
  <c r="B118" i="47"/>
  <c r="B114" i="47"/>
  <c r="A114" i="47"/>
  <c r="A115" i="47"/>
  <c r="A116" i="47"/>
  <c r="A117" i="47"/>
  <c r="A113" i="47"/>
  <c r="B113" i="47"/>
  <c r="A114" i="46"/>
  <c r="A115" i="46"/>
  <c r="A116" i="46"/>
  <c r="A117" i="46"/>
  <c r="A118" i="46"/>
  <c r="B115" i="46"/>
  <c r="B116" i="46"/>
  <c r="B117" i="46"/>
  <c r="B118" i="46"/>
  <c r="A113" i="46"/>
  <c r="B113" i="46"/>
  <c r="B114" i="46"/>
  <c r="J136" i="91" l="1"/>
  <c r="D137" i="91" s="1"/>
  <c r="J137" i="91"/>
  <c r="J160" i="91" l="1"/>
  <c r="J161" i="91"/>
  <c r="J162" i="91"/>
  <c r="J163" i="91"/>
  <c r="J164" i="91"/>
  <c r="J165" i="91"/>
  <c r="J166" i="91"/>
  <c r="F8" i="91"/>
  <c r="H167" i="91" s="1"/>
  <c r="A167" i="91"/>
  <c r="A166" i="91"/>
  <c r="I83" i="91"/>
  <c r="E30" i="91"/>
  <c r="F30" i="91" s="1"/>
  <c r="F28" i="91"/>
  <c r="A18" i="91"/>
  <c r="F37" i="125"/>
  <c r="E39" i="125"/>
  <c r="F39" i="125" s="1"/>
  <c r="F35" i="125"/>
  <c r="B34" i="125"/>
  <c r="F33" i="125"/>
  <c r="F31" i="125"/>
  <c r="F29" i="125"/>
  <c r="A27" i="125"/>
  <c r="E198" i="125"/>
  <c r="F40" i="125" l="1"/>
  <c r="H100" i="91"/>
  <c r="H76" i="91"/>
  <c r="J167" i="91"/>
  <c r="D167" i="91" s="1"/>
  <c r="I85" i="125"/>
  <c r="H85" i="125"/>
  <c r="B101" i="125"/>
  <c r="H98" i="125"/>
  <c r="B90" i="47" l="1"/>
  <c r="A90" i="47"/>
  <c r="B89" i="47"/>
  <c r="A89" i="47"/>
  <c r="B88" i="47"/>
  <c r="A88" i="47"/>
  <c r="D90" i="46"/>
  <c r="F90" i="46" s="1"/>
  <c r="D89" i="46"/>
  <c r="F89" i="46" s="1"/>
  <c r="A89" i="46"/>
  <c r="A90" i="46"/>
  <c r="B89" i="46"/>
  <c r="B90" i="46"/>
  <c r="B88" i="46"/>
  <c r="A88" i="46"/>
  <c r="E94" i="80"/>
  <c r="E93" i="80"/>
  <c r="B94" i="80"/>
  <c r="A94" i="80"/>
  <c r="B93" i="80"/>
  <c r="A93" i="80"/>
  <c r="B92" i="80"/>
  <c r="A92" i="80"/>
  <c r="A166" i="51" l="1"/>
  <c r="B166" i="51"/>
  <c r="A184" i="50"/>
  <c r="B184" i="50"/>
  <c r="B168" i="47"/>
  <c r="A168" i="47"/>
  <c r="A168" i="46"/>
  <c r="B168" i="46"/>
  <c r="E169" i="46" l="1"/>
  <c r="F169" i="46" s="1"/>
  <c r="E169" i="47"/>
  <c r="F169" i="47" s="1"/>
  <c r="E185" i="50"/>
  <c r="F185" i="50" s="1"/>
  <c r="E167" i="51"/>
  <c r="F167" i="51" s="1"/>
  <c r="E108" i="187" l="1"/>
  <c r="F108" i="187" s="1"/>
  <c r="E108" i="178" l="1"/>
  <c r="F108" i="178" s="1"/>
  <c r="E34" i="91" l="1"/>
  <c r="E32" i="91"/>
  <c r="I47" i="91"/>
  <c r="I48" i="91"/>
  <c r="I49" i="91"/>
  <c r="I50" i="91"/>
  <c r="I52" i="91"/>
  <c r="H54" i="91"/>
  <c r="I54" i="91"/>
  <c r="H56" i="91"/>
  <c r="H132" i="91" s="1"/>
  <c r="J132" i="91" s="1"/>
  <c r="J57" i="91"/>
  <c r="I61" i="91"/>
  <c r="J61" i="91" s="1"/>
  <c r="J63" i="91"/>
  <c r="J65" i="91"/>
  <c r="K65" i="91"/>
  <c r="J70" i="91"/>
  <c r="J71" i="91" s="1"/>
  <c r="I74" i="91"/>
  <c r="I76" i="91"/>
  <c r="H79" i="91"/>
  <c r="H87" i="91" s="1"/>
  <c r="J87" i="91" s="1"/>
  <c r="I79" i="91"/>
  <c r="I81" i="91"/>
  <c r="H83" i="91"/>
  <c r="H90" i="91"/>
  <c r="H91" i="91"/>
  <c r="M94" i="91"/>
  <c r="H98" i="91"/>
  <c r="L114" i="91"/>
  <c r="L115" i="91"/>
  <c r="L117" i="91"/>
  <c r="L118" i="91"/>
  <c r="L119" i="91"/>
  <c r="J123" i="91"/>
  <c r="K123" i="91"/>
  <c r="L126" i="91"/>
  <c r="L127" i="91" s="1"/>
  <c r="N127" i="91"/>
  <c r="J140" i="91"/>
  <c r="J142" i="91"/>
  <c r="L149" i="91"/>
  <c r="J159" i="91"/>
  <c r="J98" i="91" l="1"/>
  <c r="D98" i="91" s="1"/>
  <c r="K124" i="91"/>
  <c r="J97" i="91"/>
  <c r="D97" i="91" s="1"/>
  <c r="J76" i="91"/>
  <c r="J83" i="91"/>
  <c r="J56" i="91"/>
  <c r="H131" i="91" s="1"/>
  <c r="J131" i="91" s="1"/>
  <c r="J90" i="91"/>
  <c r="J91" i="91"/>
  <c r="J54" i="91"/>
  <c r="J79" i="91"/>
  <c r="J100" i="91"/>
  <c r="E152" i="46"/>
  <c r="D91" i="91" l="1"/>
  <c r="D100" i="91"/>
  <c r="D90" i="91"/>
  <c r="D102" i="91"/>
  <c r="F97" i="91"/>
  <c r="F98" i="91"/>
  <c r="D103" i="91"/>
  <c r="F91" i="91" l="1"/>
  <c r="D105" i="91"/>
  <c r="D108" i="91"/>
  <c r="F90" i="91"/>
  <c r="D93" i="91"/>
  <c r="G4" i="92" s="1"/>
  <c r="E11" i="92" s="1"/>
  <c r="D94" i="91"/>
  <c r="D109" i="91" s="1"/>
  <c r="F18" i="115"/>
  <c r="F17" i="115"/>
  <c r="F16" i="115"/>
  <c r="F12" i="115"/>
  <c r="F11" i="115"/>
  <c r="H135" i="61"/>
  <c r="J135" i="61" s="1"/>
  <c r="D135" i="61" s="1"/>
  <c r="E135" i="61"/>
  <c r="E130" i="61"/>
  <c r="H129" i="61"/>
  <c r="J129" i="61" s="1"/>
  <c r="D129" i="61" s="1"/>
  <c r="E129" i="61"/>
  <c r="L126" i="61"/>
  <c r="H124" i="61"/>
  <c r="J124" i="61" s="1"/>
  <c r="D124" i="61" s="1"/>
  <c r="E124" i="61"/>
  <c r="B124" i="61"/>
  <c r="B123" i="61"/>
  <c r="E122" i="61"/>
  <c r="B122" i="61"/>
  <c r="J121" i="61"/>
  <c r="D121" i="61" s="1"/>
  <c r="B121" i="61"/>
  <c r="B120" i="61"/>
  <c r="J119" i="61"/>
  <c r="E119" i="61"/>
  <c r="F119" i="61" s="1"/>
  <c r="J117" i="61"/>
  <c r="D117" i="61" s="1"/>
  <c r="B117" i="61"/>
  <c r="J116" i="61"/>
  <c r="D116" i="61" s="1"/>
  <c r="B116" i="61"/>
  <c r="J115" i="61"/>
  <c r="B115" i="61"/>
  <c r="J114" i="61"/>
  <c r="H122" i="61" s="1"/>
  <c r="E114" i="61"/>
  <c r="B114" i="61"/>
  <c r="B113" i="61"/>
  <c r="E112" i="61"/>
  <c r="E111" i="61"/>
  <c r="E109" i="61"/>
  <c r="F109" i="61" s="1"/>
  <c r="I107" i="61"/>
  <c r="E107" i="61"/>
  <c r="F107" i="61" s="1"/>
  <c r="E105" i="61"/>
  <c r="D105" i="61"/>
  <c r="K103" i="61"/>
  <c r="J103" i="61"/>
  <c r="E103" i="61"/>
  <c r="F103" i="61" s="1"/>
  <c r="E101" i="61"/>
  <c r="F101" i="61" s="1"/>
  <c r="L99" i="61"/>
  <c r="H99" i="61"/>
  <c r="J99" i="61" s="1"/>
  <c r="D99" i="61" s="1"/>
  <c r="E99" i="61"/>
  <c r="L98" i="61"/>
  <c r="L97" i="61"/>
  <c r="H97" i="61"/>
  <c r="J97" i="61" s="1"/>
  <c r="D97" i="61" s="1"/>
  <c r="E97" i="61"/>
  <c r="L95" i="61"/>
  <c r="L94" i="61"/>
  <c r="J94" i="61"/>
  <c r="I85" i="61"/>
  <c r="I84" i="61"/>
  <c r="E84" i="61"/>
  <c r="I83" i="61"/>
  <c r="H85" i="61"/>
  <c r="E83" i="61"/>
  <c r="I76" i="61"/>
  <c r="H76" i="61"/>
  <c r="E76" i="61"/>
  <c r="I75" i="61"/>
  <c r="H75" i="61"/>
  <c r="I67" i="61"/>
  <c r="E67" i="61"/>
  <c r="E65" i="61"/>
  <c r="I63" i="61"/>
  <c r="H63" i="61"/>
  <c r="E63" i="61"/>
  <c r="E61" i="61"/>
  <c r="H59" i="61"/>
  <c r="H58" i="61"/>
  <c r="H67" i="61" s="1"/>
  <c r="J56" i="61"/>
  <c r="D56" i="61" s="1"/>
  <c r="E56" i="61"/>
  <c r="J54" i="61"/>
  <c r="D54" i="61" s="1"/>
  <c r="E54" i="61"/>
  <c r="J52" i="61"/>
  <c r="D52" i="61" s="1"/>
  <c r="E52" i="61"/>
  <c r="H47" i="61"/>
  <c r="J47" i="61" s="1"/>
  <c r="E47" i="61"/>
  <c r="E45" i="61"/>
  <c r="E42" i="61"/>
  <c r="E41" i="61"/>
  <c r="E40" i="61"/>
  <c r="E38" i="61"/>
  <c r="F36" i="61"/>
  <c r="F29" i="61"/>
  <c r="I25" i="61"/>
  <c r="F19" i="61"/>
  <c r="F7" i="61"/>
  <c r="J42" i="61" s="1"/>
  <c r="D42" i="61" s="1"/>
  <c r="E138" i="91"/>
  <c r="E127" i="80"/>
  <c r="E131" i="187"/>
  <c r="F131" i="187" s="1"/>
  <c r="F17" i="29"/>
  <c r="F16" i="29"/>
  <c r="F15" i="29"/>
  <c r="F11" i="29"/>
  <c r="F10" i="29"/>
  <c r="F17" i="42"/>
  <c r="F16" i="42"/>
  <c r="F15" i="42"/>
  <c r="F11" i="42"/>
  <c r="F10" i="42"/>
  <c r="F18" i="64"/>
  <c r="F17" i="64"/>
  <c r="F16" i="64"/>
  <c r="F12" i="64"/>
  <c r="F11" i="64"/>
  <c r="E146" i="62"/>
  <c r="H144" i="62"/>
  <c r="J144" i="62" s="1"/>
  <c r="D144" i="62" s="1"/>
  <c r="E144" i="62"/>
  <c r="E139" i="62"/>
  <c r="H138" i="62"/>
  <c r="J138" i="62" s="1"/>
  <c r="D138" i="62" s="1"/>
  <c r="E138" i="62"/>
  <c r="L135" i="62"/>
  <c r="E133" i="62"/>
  <c r="E131" i="62"/>
  <c r="H128" i="62"/>
  <c r="J128" i="62" s="1"/>
  <c r="E128" i="62"/>
  <c r="F128" i="62" s="1"/>
  <c r="G128" i="62" s="1"/>
  <c r="E126" i="62"/>
  <c r="E124" i="62"/>
  <c r="E122" i="62"/>
  <c r="D120" i="62"/>
  <c r="E120" i="62"/>
  <c r="E119" i="62"/>
  <c r="E118" i="62"/>
  <c r="E116" i="62"/>
  <c r="F116" i="62" s="1"/>
  <c r="E114" i="62"/>
  <c r="F114" i="62" s="1"/>
  <c r="E112" i="62"/>
  <c r="D112" i="62"/>
  <c r="K110" i="62"/>
  <c r="J110" i="62"/>
  <c r="E110" i="62"/>
  <c r="F110" i="62" s="1"/>
  <c r="E108" i="62"/>
  <c r="F108" i="62" s="1"/>
  <c r="L106" i="62"/>
  <c r="E106" i="62"/>
  <c r="L105" i="62"/>
  <c r="L104" i="62"/>
  <c r="E104" i="62"/>
  <c r="L102" i="62"/>
  <c r="L101" i="62"/>
  <c r="J101" i="62"/>
  <c r="H92" i="62"/>
  <c r="E91" i="62"/>
  <c r="H90" i="62"/>
  <c r="E90" i="62"/>
  <c r="E83" i="62"/>
  <c r="E82" i="62"/>
  <c r="I74" i="62"/>
  <c r="E74" i="62"/>
  <c r="E72" i="62"/>
  <c r="I70" i="62"/>
  <c r="E70" i="62"/>
  <c r="I68" i="62"/>
  <c r="E68" i="62"/>
  <c r="E63" i="62"/>
  <c r="E61" i="62"/>
  <c r="E59" i="62"/>
  <c r="H54" i="62"/>
  <c r="J54" i="62" s="1"/>
  <c r="H118" i="62" s="1"/>
  <c r="E54" i="62"/>
  <c r="J52" i="62"/>
  <c r="D52" i="62" s="1"/>
  <c r="E52" i="62"/>
  <c r="E49" i="62"/>
  <c r="H47" i="62"/>
  <c r="J47" i="62" s="1"/>
  <c r="E45" i="62"/>
  <c r="F45" i="62" s="1"/>
  <c r="E43" i="62"/>
  <c r="F41" i="62"/>
  <c r="F34" i="62"/>
  <c r="I6" i="62"/>
  <c r="F6" i="62"/>
  <c r="F5" i="62"/>
  <c r="F18" i="108"/>
  <c r="F17" i="108"/>
  <c r="F16" i="108"/>
  <c r="F12" i="108"/>
  <c r="F11" i="108"/>
  <c r="G177" i="66"/>
  <c r="G175" i="66"/>
  <c r="I168" i="66"/>
  <c r="K168" i="66" s="1"/>
  <c r="E168" i="66" s="1"/>
  <c r="F168" i="66"/>
  <c r="F166" i="66"/>
  <c r="G166" i="66" s="1"/>
  <c r="F165" i="66"/>
  <c r="G165" i="66" s="1"/>
  <c r="I163" i="66"/>
  <c r="K163" i="66" s="1"/>
  <c r="F163" i="66"/>
  <c r="K161" i="66"/>
  <c r="E161" i="66" s="1"/>
  <c r="E163" i="66" s="1"/>
  <c r="F161" i="66"/>
  <c r="F159" i="66"/>
  <c r="G159" i="66" s="1"/>
  <c r="F158" i="66"/>
  <c r="F157" i="66"/>
  <c r="M154" i="66"/>
  <c r="M152" i="66"/>
  <c r="K152" i="66"/>
  <c r="E152" i="66" s="1"/>
  <c r="F152" i="66"/>
  <c r="K151" i="66"/>
  <c r="E151" i="66" s="1"/>
  <c r="F151" i="66"/>
  <c r="K149" i="66"/>
  <c r="E149" i="66" s="1"/>
  <c r="F149" i="66"/>
  <c r="F147" i="66"/>
  <c r="K145" i="66"/>
  <c r="E145" i="66" s="1"/>
  <c r="F145" i="66"/>
  <c r="F142" i="66"/>
  <c r="I138" i="66"/>
  <c r="K138" i="66" s="1"/>
  <c r="F138" i="66"/>
  <c r="G138" i="66" s="1"/>
  <c r="F135" i="66"/>
  <c r="F131" i="66"/>
  <c r="F130" i="66"/>
  <c r="I129" i="66"/>
  <c r="K129" i="66" s="1"/>
  <c r="E129" i="66" s="1"/>
  <c r="F129" i="66"/>
  <c r="I128" i="66"/>
  <c r="K128" i="66" s="1"/>
  <c r="E128" i="66" s="1"/>
  <c r="F128" i="66"/>
  <c r="F127" i="66"/>
  <c r="I125" i="66"/>
  <c r="K125" i="66" s="1"/>
  <c r="F125" i="66"/>
  <c r="G125" i="66" s="1"/>
  <c r="F124" i="66"/>
  <c r="G124" i="66" s="1"/>
  <c r="F123" i="66"/>
  <c r="G123" i="66" s="1"/>
  <c r="F122" i="66"/>
  <c r="G122" i="66" s="1"/>
  <c r="F121" i="66"/>
  <c r="G121" i="66" s="1"/>
  <c r="I119" i="66"/>
  <c r="E119" i="66" s="1"/>
  <c r="F119" i="66"/>
  <c r="F118" i="66"/>
  <c r="F117" i="66"/>
  <c r="M115" i="66"/>
  <c r="F115" i="66"/>
  <c r="G115" i="66" s="1"/>
  <c r="F113" i="66"/>
  <c r="G113" i="66" s="1"/>
  <c r="F111" i="66"/>
  <c r="G111" i="66" s="1"/>
  <c r="F110" i="66"/>
  <c r="E110" i="66"/>
  <c r="L108" i="66"/>
  <c r="K108" i="66"/>
  <c r="F108" i="66"/>
  <c r="G108" i="66" s="1"/>
  <c r="F106" i="66"/>
  <c r="G106" i="66" s="1"/>
  <c r="M104" i="66"/>
  <c r="F104" i="66"/>
  <c r="M103" i="66"/>
  <c r="M102" i="66"/>
  <c r="F102" i="66"/>
  <c r="M100" i="66"/>
  <c r="M99" i="66"/>
  <c r="J97" i="66"/>
  <c r="F97" i="66"/>
  <c r="J96" i="66"/>
  <c r="I96" i="66"/>
  <c r="F96" i="66"/>
  <c r="J95" i="66"/>
  <c r="F95" i="66"/>
  <c r="J93" i="66"/>
  <c r="F93" i="66"/>
  <c r="J92" i="66"/>
  <c r="F92" i="66"/>
  <c r="F90" i="66"/>
  <c r="F88" i="66"/>
  <c r="J86" i="66"/>
  <c r="F86" i="66"/>
  <c r="J84" i="66"/>
  <c r="F84" i="66"/>
  <c r="J82" i="66"/>
  <c r="J79" i="66"/>
  <c r="I79" i="66"/>
  <c r="F79" i="66"/>
  <c r="F77" i="66"/>
  <c r="F75" i="66"/>
  <c r="F73" i="66"/>
  <c r="F68" i="66"/>
  <c r="G68" i="66" s="1"/>
  <c r="F66" i="66"/>
  <c r="E66" i="66"/>
  <c r="F64" i="66"/>
  <c r="G64" i="66" s="1"/>
  <c r="I62" i="66"/>
  <c r="K62" i="66" s="1"/>
  <c r="E62" i="66" s="1"/>
  <c r="F62" i="66"/>
  <c r="I61" i="66"/>
  <c r="F61" i="66"/>
  <c r="F59" i="66"/>
  <c r="G59" i="66" s="1"/>
  <c r="F57" i="66"/>
  <c r="G57" i="66" s="1"/>
  <c r="J55" i="66"/>
  <c r="F55" i="66"/>
  <c r="J54" i="66"/>
  <c r="F54" i="66"/>
  <c r="J53" i="66"/>
  <c r="F53" i="66"/>
  <c r="J52" i="66"/>
  <c r="F52" i="66"/>
  <c r="F50" i="66"/>
  <c r="G50" i="66" s="1"/>
  <c r="F48" i="66"/>
  <c r="G46" i="66"/>
  <c r="G38" i="66"/>
  <c r="G36" i="66"/>
  <c r="F34" i="66"/>
  <c r="I32" i="66"/>
  <c r="K32" i="66" s="1"/>
  <c r="E32" i="66" s="1"/>
  <c r="F32" i="66"/>
  <c r="I31" i="66"/>
  <c r="K31" i="66" s="1"/>
  <c r="E31" i="66" s="1"/>
  <c r="F31" i="66"/>
  <c r="I30" i="66"/>
  <c r="K30" i="66" s="1"/>
  <c r="E30" i="66" s="1"/>
  <c r="F30" i="66"/>
  <c r="F29" i="66"/>
  <c r="I27" i="66"/>
  <c r="K27" i="66" s="1"/>
  <c r="G27" i="66"/>
  <c r="F25" i="66"/>
  <c r="G25" i="66" s="1"/>
  <c r="F20" i="66"/>
  <c r="I18" i="66"/>
  <c r="F18" i="66"/>
  <c r="G18" i="66" s="1"/>
  <c r="I13" i="66"/>
  <c r="I93" i="66" s="1"/>
  <c r="K10" i="66"/>
  <c r="G10" i="66"/>
  <c r="G9" i="66"/>
  <c r="M17" i="66" s="1"/>
  <c r="L7" i="66"/>
  <c r="G7" i="66"/>
  <c r="I135" i="66" s="1"/>
  <c r="K135" i="66" s="1"/>
  <c r="E135" i="66" s="1"/>
  <c r="G6" i="66"/>
  <c r="I134" i="66" s="1"/>
  <c r="K134" i="66" s="1"/>
  <c r="E134" i="66" s="1"/>
  <c r="G5" i="66"/>
  <c r="G4" i="66"/>
  <c r="I130" i="66" s="1"/>
  <c r="K130" i="66" s="1"/>
  <c r="E130" i="66" s="1"/>
  <c r="G3" i="66"/>
  <c r="F18" i="82"/>
  <c r="F17" i="82"/>
  <c r="F16" i="82"/>
  <c r="F12" i="82"/>
  <c r="F11" i="82"/>
  <c r="F18" i="152"/>
  <c r="F17" i="152"/>
  <c r="F16" i="152"/>
  <c r="F12" i="152"/>
  <c r="F11" i="152"/>
  <c r="F18" i="89"/>
  <c r="F17" i="89"/>
  <c r="F16" i="89"/>
  <c r="F12" i="89"/>
  <c r="F11" i="89"/>
  <c r="E192" i="88"/>
  <c r="J173" i="88"/>
  <c r="F163" i="88"/>
  <c r="K162" i="88"/>
  <c r="E161" i="88"/>
  <c r="J159" i="88"/>
  <c r="D159" i="88" s="1"/>
  <c r="E159" i="88"/>
  <c r="E157" i="88"/>
  <c r="F157" i="88" s="1"/>
  <c r="E156" i="88"/>
  <c r="F156" i="88" s="1"/>
  <c r="F154" i="88"/>
  <c r="E153" i="88"/>
  <c r="E147" i="88"/>
  <c r="B147" i="88"/>
  <c r="L146" i="88"/>
  <c r="B146" i="88"/>
  <c r="K145" i="88"/>
  <c r="B145" i="88"/>
  <c r="J144" i="88"/>
  <c r="E144" i="88"/>
  <c r="F144" i="88" s="1"/>
  <c r="E142" i="88"/>
  <c r="B142" i="88"/>
  <c r="B141" i="88"/>
  <c r="B140" i="88"/>
  <c r="B139" i="88"/>
  <c r="H138" i="88"/>
  <c r="J138" i="88" s="1"/>
  <c r="D138" i="88" s="1"/>
  <c r="B138" i="88"/>
  <c r="B137" i="88"/>
  <c r="B136" i="88"/>
  <c r="B134" i="88"/>
  <c r="E132" i="88"/>
  <c r="B132" i="88"/>
  <c r="E131" i="88"/>
  <c r="B131" i="88"/>
  <c r="E130" i="88"/>
  <c r="B130" i="88"/>
  <c r="B129" i="88"/>
  <c r="E128" i="88"/>
  <c r="F128" i="88" s="1"/>
  <c r="L127" i="88"/>
  <c r="H126" i="88"/>
  <c r="D126" i="88" s="1"/>
  <c r="E126" i="88"/>
  <c r="E125" i="88"/>
  <c r="E124" i="88"/>
  <c r="E122" i="88"/>
  <c r="F122" i="88" s="1"/>
  <c r="N120" i="88"/>
  <c r="E120" i="88"/>
  <c r="F120" i="88" s="1"/>
  <c r="L119" i="88"/>
  <c r="L120" i="88" s="1"/>
  <c r="E118" i="88"/>
  <c r="D118" i="88"/>
  <c r="K116" i="88"/>
  <c r="J116" i="88"/>
  <c r="E116" i="88"/>
  <c r="F116" i="88" s="1"/>
  <c r="E114" i="88"/>
  <c r="F114" i="88" s="1"/>
  <c r="L112" i="88"/>
  <c r="E112" i="88"/>
  <c r="L111" i="88"/>
  <c r="L110" i="88"/>
  <c r="J110" i="88"/>
  <c r="D110" i="88" s="1"/>
  <c r="E110" i="88"/>
  <c r="L108" i="88"/>
  <c r="L107" i="88"/>
  <c r="I80" i="88"/>
  <c r="E80" i="88"/>
  <c r="I78" i="88"/>
  <c r="E73" i="88"/>
  <c r="E71" i="88"/>
  <c r="E69" i="88"/>
  <c r="J64" i="88"/>
  <c r="D64" i="88" s="1"/>
  <c r="E64" i="88"/>
  <c r="I62" i="88"/>
  <c r="E62" i="88"/>
  <c r="H60" i="88"/>
  <c r="E60" i="88"/>
  <c r="I58" i="88"/>
  <c r="E58" i="88"/>
  <c r="H57" i="88"/>
  <c r="I56" i="88"/>
  <c r="E56" i="88"/>
  <c r="I54" i="88"/>
  <c r="I53" i="88"/>
  <c r="E53" i="88"/>
  <c r="I52" i="88"/>
  <c r="I51" i="88"/>
  <c r="E49" i="88"/>
  <c r="E47" i="88"/>
  <c r="F45" i="88"/>
  <c r="J36" i="88"/>
  <c r="N27" i="88"/>
  <c r="F17" i="88"/>
  <c r="F14" i="88"/>
  <c r="I12" i="88"/>
  <c r="F12" i="88"/>
  <c r="H142" i="88" s="1"/>
  <c r="J142" i="88" s="1"/>
  <c r="D142" i="88" s="1"/>
  <c r="J139" i="88"/>
  <c r="D139" i="88" s="1"/>
  <c r="H130" i="88"/>
  <c r="J130" i="88" s="1"/>
  <c r="F6" i="88"/>
  <c r="H131" i="88" s="1"/>
  <c r="J131" i="88" s="1"/>
  <c r="D131" i="88" s="1"/>
  <c r="J132" i="88"/>
  <c r="D132" i="88" s="1"/>
  <c r="H134" i="88"/>
  <c r="J134" i="88" s="1"/>
  <c r="D134" i="88" s="1"/>
  <c r="H135" i="88"/>
  <c r="F18" i="92"/>
  <c r="F17" i="92"/>
  <c r="F16" i="92"/>
  <c r="F12" i="92"/>
  <c r="F11" i="92"/>
  <c r="E197" i="91"/>
  <c r="J178" i="91"/>
  <c r="E165" i="91"/>
  <c r="F165" i="91" s="1"/>
  <c r="E163" i="91"/>
  <c r="D163" i="91"/>
  <c r="D159" i="91"/>
  <c r="E159" i="91"/>
  <c r="E157" i="91"/>
  <c r="F157" i="91" s="1"/>
  <c r="E156" i="91"/>
  <c r="F156" i="91" s="1"/>
  <c r="F154" i="91"/>
  <c r="E153" i="91"/>
  <c r="E152" i="91"/>
  <c r="E147" i="91"/>
  <c r="B147" i="91"/>
  <c r="A147" i="91"/>
  <c r="B146" i="91"/>
  <c r="A146" i="91"/>
  <c r="E145" i="91"/>
  <c r="E142" i="91"/>
  <c r="F142" i="91" s="1"/>
  <c r="D140" i="91"/>
  <c r="E140" i="91"/>
  <c r="E135" i="91"/>
  <c r="D133" i="91"/>
  <c r="E133" i="91"/>
  <c r="E132" i="91"/>
  <c r="E131" i="91"/>
  <c r="E129" i="91"/>
  <c r="F129" i="91" s="1"/>
  <c r="E127" i="91"/>
  <c r="F127" i="91" s="1"/>
  <c r="E125" i="91"/>
  <c r="E123" i="91"/>
  <c r="F123" i="91" s="1"/>
  <c r="E121" i="91"/>
  <c r="F121" i="91" s="1"/>
  <c r="E119" i="91"/>
  <c r="E117" i="91"/>
  <c r="G8" i="92"/>
  <c r="E18" i="92" s="1"/>
  <c r="E104" i="91"/>
  <c r="E103" i="91"/>
  <c r="G7" i="92"/>
  <c r="E16" i="92" s="1"/>
  <c r="E102" i="91"/>
  <c r="E94" i="91"/>
  <c r="E93" i="91"/>
  <c r="D87" i="91"/>
  <c r="E87" i="91"/>
  <c r="E85" i="91"/>
  <c r="D83" i="91"/>
  <c r="D85" i="91" s="1"/>
  <c r="E83" i="91"/>
  <c r="E81" i="91"/>
  <c r="E76" i="91"/>
  <c r="E74" i="91"/>
  <c r="E72" i="91"/>
  <c r="E70" i="91"/>
  <c r="D65" i="91"/>
  <c r="E65" i="91"/>
  <c r="E63" i="91"/>
  <c r="D63" i="91"/>
  <c r="D61" i="91"/>
  <c r="E61" i="91"/>
  <c r="E59" i="91"/>
  <c r="F59" i="91" s="1"/>
  <c r="E57" i="91"/>
  <c r="D57" i="91"/>
  <c r="D56" i="91"/>
  <c r="D132" i="91"/>
  <c r="E56" i="91"/>
  <c r="E54" i="91"/>
  <c r="E52" i="91"/>
  <c r="E49" i="91"/>
  <c r="E45" i="91"/>
  <c r="E43" i="91"/>
  <c r="F41" i="91"/>
  <c r="J26" i="91"/>
  <c r="F22" i="91"/>
  <c r="F20" i="91"/>
  <c r="N19" i="91"/>
  <c r="K5" i="91"/>
  <c r="F4" i="91"/>
  <c r="D32" i="91" s="1"/>
  <c r="F18" i="95"/>
  <c r="F17" i="95"/>
  <c r="F16" i="95"/>
  <c r="F12" i="95"/>
  <c r="F11" i="95"/>
  <c r="F208" i="94"/>
  <c r="F206" i="94"/>
  <c r="J199" i="94"/>
  <c r="E199" i="94"/>
  <c r="F199" i="94" s="1"/>
  <c r="J197" i="94"/>
  <c r="D197" i="94" s="1"/>
  <c r="E197" i="94"/>
  <c r="J195" i="94"/>
  <c r="D195" i="94" s="1"/>
  <c r="E195" i="94"/>
  <c r="H194" i="94"/>
  <c r="J194" i="94" s="1"/>
  <c r="D194" i="94" s="1"/>
  <c r="E194" i="94"/>
  <c r="J190" i="94"/>
  <c r="D190" i="94" s="1"/>
  <c r="H189" i="94"/>
  <c r="J189" i="94" s="1"/>
  <c r="E189" i="94"/>
  <c r="E186" i="94"/>
  <c r="E184" i="94"/>
  <c r="F184" i="94" s="1"/>
  <c r="J183" i="94"/>
  <c r="D183" i="94" s="1"/>
  <c r="E183" i="94"/>
  <c r="E182" i="94"/>
  <c r="E181" i="94"/>
  <c r="L178" i="94"/>
  <c r="L173" i="94"/>
  <c r="H173" i="94"/>
  <c r="J173" i="94" s="1"/>
  <c r="E173" i="94"/>
  <c r="F173" i="94" s="1"/>
  <c r="H172" i="94"/>
  <c r="J172" i="94" s="1"/>
  <c r="E172" i="94"/>
  <c r="F172" i="94" s="1"/>
  <c r="J170" i="94"/>
  <c r="D170" i="94" s="1"/>
  <c r="E170" i="94"/>
  <c r="E168" i="94"/>
  <c r="E166" i="94"/>
  <c r="J164" i="94"/>
  <c r="D164" i="94" s="1"/>
  <c r="E164" i="94"/>
  <c r="E161" i="94"/>
  <c r="H160" i="94"/>
  <c r="J160" i="94" s="1"/>
  <c r="D160" i="94" s="1"/>
  <c r="H157" i="94"/>
  <c r="J157" i="94" s="1"/>
  <c r="E157" i="94"/>
  <c r="F157" i="94" s="1"/>
  <c r="J154" i="94"/>
  <c r="D154" i="94" s="1"/>
  <c r="H151" i="94"/>
  <c r="J151" i="94" s="1"/>
  <c r="D151" i="94" s="1"/>
  <c r="H150" i="94"/>
  <c r="J150" i="94" s="1"/>
  <c r="D150" i="94" s="1"/>
  <c r="E150" i="94"/>
  <c r="H149" i="94"/>
  <c r="J149" i="94" s="1"/>
  <c r="D149" i="94" s="1"/>
  <c r="E149" i="94"/>
  <c r="H148" i="94"/>
  <c r="J148" i="94" s="1"/>
  <c r="D148" i="94" s="1"/>
  <c r="E148" i="94"/>
  <c r="H147" i="94"/>
  <c r="J147" i="94" s="1"/>
  <c r="D147" i="94" s="1"/>
  <c r="E147" i="94"/>
  <c r="H146" i="94"/>
  <c r="J146" i="94" s="1"/>
  <c r="D146" i="94" s="1"/>
  <c r="E146" i="94"/>
  <c r="H145" i="94"/>
  <c r="J145" i="94" s="1"/>
  <c r="D145" i="94" s="1"/>
  <c r="E145" i="94"/>
  <c r="H144" i="94"/>
  <c r="J144" i="94" s="1"/>
  <c r="D144" i="94" s="1"/>
  <c r="E144" i="94"/>
  <c r="E142" i="94"/>
  <c r="F142" i="94" s="1"/>
  <c r="E141" i="94"/>
  <c r="F141" i="94" s="1"/>
  <c r="E140" i="94"/>
  <c r="F140" i="94" s="1"/>
  <c r="E139" i="94"/>
  <c r="F139" i="94" s="1"/>
  <c r="E138" i="94"/>
  <c r="F138" i="94" s="1"/>
  <c r="E136" i="94"/>
  <c r="D136" i="94"/>
  <c r="E135" i="94"/>
  <c r="E134" i="94"/>
  <c r="I132" i="94"/>
  <c r="E132" i="94"/>
  <c r="I130" i="94"/>
  <c r="H130" i="94"/>
  <c r="E130" i="94"/>
  <c r="E128" i="94"/>
  <c r="F128" i="94" s="1"/>
  <c r="E127" i="94"/>
  <c r="K125" i="94"/>
  <c r="I125" i="94"/>
  <c r="E125" i="94"/>
  <c r="I123" i="94"/>
  <c r="E123" i="94"/>
  <c r="L121" i="94"/>
  <c r="E121" i="94"/>
  <c r="L120" i="94"/>
  <c r="L119" i="94"/>
  <c r="E119" i="94"/>
  <c r="L117" i="94"/>
  <c r="L116" i="94"/>
  <c r="J116" i="94"/>
  <c r="I114" i="94"/>
  <c r="E114" i="94"/>
  <c r="I113" i="94"/>
  <c r="E113" i="94"/>
  <c r="I112" i="94"/>
  <c r="E112" i="94"/>
  <c r="I110" i="94"/>
  <c r="E110" i="94"/>
  <c r="I109" i="94"/>
  <c r="E109" i="94"/>
  <c r="I107" i="94"/>
  <c r="E107" i="94"/>
  <c r="E105" i="94"/>
  <c r="I103" i="94"/>
  <c r="E103" i="94"/>
  <c r="I101" i="94"/>
  <c r="E101" i="94"/>
  <c r="J96" i="94"/>
  <c r="E94" i="94"/>
  <c r="E92" i="94"/>
  <c r="E88" i="94"/>
  <c r="E86" i="94"/>
  <c r="E84" i="94"/>
  <c r="J82" i="94"/>
  <c r="D82" i="94" s="1"/>
  <c r="E82" i="94"/>
  <c r="E80" i="94"/>
  <c r="I79" i="94"/>
  <c r="E79" i="94"/>
  <c r="E74" i="94"/>
  <c r="F74" i="94" s="1"/>
  <c r="E72" i="94"/>
  <c r="F72" i="94" s="1"/>
  <c r="J70" i="94"/>
  <c r="D70" i="94" s="1"/>
  <c r="E70" i="94"/>
  <c r="H68" i="94"/>
  <c r="J68" i="94" s="1"/>
  <c r="D68" i="94" s="1"/>
  <c r="E68" i="94"/>
  <c r="H67" i="94"/>
  <c r="J67" i="94" s="1"/>
  <c r="E67" i="94"/>
  <c r="H65" i="94"/>
  <c r="J65" i="94" s="1"/>
  <c r="D65" i="94" s="1"/>
  <c r="E65" i="94"/>
  <c r="H63" i="94"/>
  <c r="J63" i="94" s="1"/>
  <c r="D63" i="94" s="1"/>
  <c r="E63" i="94"/>
  <c r="E61" i="94"/>
  <c r="H60" i="94"/>
  <c r="J60" i="94" s="1"/>
  <c r="D60" i="94" s="1"/>
  <c r="E60" i="94"/>
  <c r="E59" i="94"/>
  <c r="E58" i="94"/>
  <c r="H56" i="94"/>
  <c r="D56" i="94" s="1"/>
  <c r="E56" i="94"/>
  <c r="E53" i="94"/>
  <c r="I47" i="94"/>
  <c r="F43" i="94"/>
  <c r="F41" i="94"/>
  <c r="I39" i="94"/>
  <c r="E39" i="94"/>
  <c r="E37" i="94"/>
  <c r="E36" i="94"/>
  <c r="E34" i="94"/>
  <c r="J33" i="94"/>
  <c r="H32" i="94"/>
  <c r="J32" i="94" s="1"/>
  <c r="F32" i="94"/>
  <c r="E30" i="94"/>
  <c r="F30" i="94" s="1"/>
  <c r="I29" i="94"/>
  <c r="I28" i="94"/>
  <c r="E25" i="94"/>
  <c r="H23" i="94"/>
  <c r="J23" i="94" s="1"/>
  <c r="E23" i="94" s="1"/>
  <c r="F23" i="94" s="1"/>
  <c r="F14" i="94"/>
  <c r="H110" i="94" s="1"/>
  <c r="F12" i="94"/>
  <c r="F11" i="94"/>
  <c r="H161" i="94" s="1"/>
  <c r="J161" i="94" s="1"/>
  <c r="D161" i="94" s="1"/>
  <c r="H5" i="94"/>
  <c r="F18" i="129"/>
  <c r="F17" i="129"/>
  <c r="F16" i="129"/>
  <c r="F12" i="129"/>
  <c r="F11" i="129"/>
  <c r="F18" i="127"/>
  <c r="F17" i="127"/>
  <c r="F16" i="127"/>
  <c r="F12" i="127"/>
  <c r="F11" i="127"/>
  <c r="J198" i="125"/>
  <c r="D198" i="125" s="1"/>
  <c r="J196" i="125"/>
  <c r="D196" i="125" s="1"/>
  <c r="E196" i="125"/>
  <c r="J194" i="125"/>
  <c r="D194" i="125" s="1"/>
  <c r="E194" i="125"/>
  <c r="H193" i="125"/>
  <c r="J193" i="125" s="1"/>
  <c r="D193" i="125" s="1"/>
  <c r="E193" i="125"/>
  <c r="H191" i="125"/>
  <c r="J191" i="125" s="1"/>
  <c r="E191" i="125"/>
  <c r="H190" i="125"/>
  <c r="J190" i="125" s="1"/>
  <c r="D190" i="125" s="1"/>
  <c r="E190" i="125"/>
  <c r="F188" i="125"/>
  <c r="J187" i="125"/>
  <c r="D187" i="125" s="1"/>
  <c r="E187" i="125"/>
  <c r="E186" i="125"/>
  <c r="J185" i="125"/>
  <c r="D185" i="125" s="1"/>
  <c r="E185" i="125"/>
  <c r="L182" i="125"/>
  <c r="L178" i="125"/>
  <c r="H178" i="125"/>
  <c r="J178" i="125" s="1"/>
  <c r="E178" i="125"/>
  <c r="F178" i="125" s="1"/>
  <c r="H177" i="125"/>
  <c r="J177" i="125" s="1"/>
  <c r="E177" i="125"/>
  <c r="F177" i="125" s="1"/>
  <c r="J175" i="125"/>
  <c r="D175" i="125" s="1"/>
  <c r="E175" i="125"/>
  <c r="J173" i="125"/>
  <c r="D173" i="125" s="1"/>
  <c r="E173" i="125"/>
  <c r="B173" i="125"/>
  <c r="A173" i="125"/>
  <c r="B172" i="125"/>
  <c r="A172" i="125"/>
  <c r="H171" i="125"/>
  <c r="J171" i="125" s="1"/>
  <c r="D171" i="125" s="1"/>
  <c r="E171" i="125"/>
  <c r="J169" i="125"/>
  <c r="D169" i="125" s="1"/>
  <c r="E169" i="125"/>
  <c r="E167" i="125"/>
  <c r="H164" i="125"/>
  <c r="J164" i="125" s="1"/>
  <c r="E164" i="125"/>
  <c r="F164" i="125" s="1"/>
  <c r="H162" i="125"/>
  <c r="J162" i="125" s="1"/>
  <c r="D162" i="125" s="1"/>
  <c r="B162" i="125"/>
  <c r="A162" i="125"/>
  <c r="J161" i="125"/>
  <c r="D161" i="125" s="1"/>
  <c r="B161" i="125"/>
  <c r="A161" i="125"/>
  <c r="B160" i="125"/>
  <c r="A160" i="125"/>
  <c r="H159" i="125"/>
  <c r="J159" i="125" s="1"/>
  <c r="B159" i="125"/>
  <c r="A159" i="125"/>
  <c r="B158" i="125"/>
  <c r="A158" i="125"/>
  <c r="J157" i="125"/>
  <c r="D157" i="125" s="1"/>
  <c r="E157" i="125"/>
  <c r="B157" i="125"/>
  <c r="A157" i="125"/>
  <c r="J156" i="125"/>
  <c r="D156" i="125" s="1"/>
  <c r="E156" i="125"/>
  <c r="B156" i="125"/>
  <c r="A156" i="125"/>
  <c r="J155" i="125"/>
  <c r="D155" i="125" s="1"/>
  <c r="E155" i="125"/>
  <c r="B155" i="125"/>
  <c r="A155" i="125"/>
  <c r="H154" i="125"/>
  <c r="J154" i="125" s="1"/>
  <c r="D154" i="125" s="1"/>
  <c r="E154" i="125"/>
  <c r="B154" i="125"/>
  <c r="A154" i="125"/>
  <c r="J153" i="125"/>
  <c r="D153" i="125" s="1"/>
  <c r="E153" i="125"/>
  <c r="B153" i="125"/>
  <c r="A153" i="125"/>
  <c r="J151" i="125"/>
  <c r="D151" i="125" s="1"/>
  <c r="H167" i="125" s="1"/>
  <c r="E151" i="125"/>
  <c r="B151" i="125"/>
  <c r="A151" i="125"/>
  <c r="E149" i="125"/>
  <c r="D149" i="125"/>
  <c r="E148" i="125"/>
  <c r="E147" i="125"/>
  <c r="J145" i="125"/>
  <c r="D140" i="125" s="1"/>
  <c r="E145" i="125"/>
  <c r="J143" i="125"/>
  <c r="E143" i="125"/>
  <c r="E141" i="125"/>
  <c r="F141" i="125" s="1"/>
  <c r="E140" i="125"/>
  <c r="K138" i="125"/>
  <c r="J138" i="125"/>
  <c r="E138" i="125"/>
  <c r="J136" i="125"/>
  <c r="D136" i="125" s="1"/>
  <c r="E136" i="125"/>
  <c r="L134" i="125"/>
  <c r="E134" i="125"/>
  <c r="L133" i="125"/>
  <c r="L132" i="125"/>
  <c r="H134" i="125"/>
  <c r="J134" i="125" s="1"/>
  <c r="D134" i="125" s="1"/>
  <c r="E132" i="125"/>
  <c r="L130" i="125"/>
  <c r="L129" i="125"/>
  <c r="J129" i="125"/>
  <c r="E119" i="125"/>
  <c r="H113" i="125"/>
  <c r="E118" i="125"/>
  <c r="J112" i="125"/>
  <c r="D112" i="125" s="1"/>
  <c r="E117" i="125"/>
  <c r="H109" i="125"/>
  <c r="E109" i="125"/>
  <c r="E108" i="125"/>
  <c r="E102" i="125"/>
  <c r="E100" i="125"/>
  <c r="I98" i="125"/>
  <c r="J98" i="125" s="1"/>
  <c r="D98" i="125" s="1"/>
  <c r="D100" i="125" s="1"/>
  <c r="E98" i="125"/>
  <c r="I96" i="125"/>
  <c r="E96" i="125"/>
  <c r="J91" i="125"/>
  <c r="H89" i="125"/>
  <c r="J89" i="125" s="1"/>
  <c r="D89" i="125" s="1"/>
  <c r="E89" i="125"/>
  <c r="J87" i="125"/>
  <c r="D87" i="125" s="1"/>
  <c r="E87" i="125"/>
  <c r="J85" i="125"/>
  <c r="D85" i="125" s="1"/>
  <c r="D83" i="125"/>
  <c r="E83" i="125"/>
  <c r="E81" i="125"/>
  <c r="E79" i="125"/>
  <c r="J77" i="125"/>
  <c r="D77" i="125" s="1"/>
  <c r="E77" i="125"/>
  <c r="J75" i="125"/>
  <c r="D75" i="125" s="1"/>
  <c r="E75" i="125"/>
  <c r="I74" i="125"/>
  <c r="E74" i="125"/>
  <c r="E69" i="125"/>
  <c r="F69" i="125" s="1"/>
  <c r="E67" i="125"/>
  <c r="F67" i="125" s="1"/>
  <c r="J65" i="125"/>
  <c r="D65" i="125" s="1"/>
  <c r="E65" i="125"/>
  <c r="H63" i="125"/>
  <c r="J63" i="125" s="1"/>
  <c r="D63" i="125" s="1"/>
  <c r="E63" i="125"/>
  <c r="H62" i="125"/>
  <c r="J62" i="125" s="1"/>
  <c r="E62" i="125"/>
  <c r="J60" i="125"/>
  <c r="D60" i="125" s="1"/>
  <c r="E60" i="125"/>
  <c r="J58" i="125"/>
  <c r="D58" i="125" s="1"/>
  <c r="E58" i="125"/>
  <c r="F56" i="125"/>
  <c r="E55" i="125"/>
  <c r="F54" i="125"/>
  <c r="F53" i="125"/>
  <c r="H51" i="125"/>
  <c r="D51" i="125" s="1"/>
  <c r="E51" i="125"/>
  <c r="J49" i="125"/>
  <c r="D49" i="125" s="1"/>
  <c r="D79" i="125"/>
  <c r="E48" i="125"/>
  <c r="E46" i="125"/>
  <c r="I43" i="125"/>
  <c r="I35" i="125"/>
  <c r="J32" i="125"/>
  <c r="I28" i="125"/>
  <c r="I27" i="125"/>
  <c r="H5" i="125"/>
  <c r="F18" i="102"/>
  <c r="F17" i="102"/>
  <c r="F16" i="102"/>
  <c r="F12" i="102"/>
  <c r="F11" i="102"/>
  <c r="G215" i="101"/>
  <c r="G213" i="101"/>
  <c r="F206" i="101"/>
  <c r="E206" i="101"/>
  <c r="K204" i="101"/>
  <c r="E204" i="101" s="1"/>
  <c r="F204" i="101"/>
  <c r="K202" i="101"/>
  <c r="E202" i="101" s="1"/>
  <c r="F202" i="101"/>
  <c r="I201" i="101"/>
  <c r="K201" i="101" s="1"/>
  <c r="E201" i="101" s="1"/>
  <c r="F201" i="101"/>
  <c r="K198" i="101"/>
  <c r="E198" i="101" s="1"/>
  <c r="K197" i="101"/>
  <c r="E197" i="101" s="1"/>
  <c r="F196" i="101"/>
  <c r="F191" i="101"/>
  <c r="F189" i="101"/>
  <c r="G189" i="101" s="1"/>
  <c r="K188" i="101"/>
  <c r="E188" i="101" s="1"/>
  <c r="F188" i="101"/>
  <c r="F187" i="101"/>
  <c r="F186" i="101"/>
  <c r="M183" i="101"/>
  <c r="I180" i="101"/>
  <c r="E180" i="101" s="1"/>
  <c r="M178" i="101"/>
  <c r="I178" i="101"/>
  <c r="K178" i="101" s="1"/>
  <c r="F178" i="101"/>
  <c r="G178" i="101" s="1"/>
  <c r="I177" i="101"/>
  <c r="K177" i="101" s="1"/>
  <c r="F177" i="101"/>
  <c r="G177" i="101" s="1"/>
  <c r="I175" i="101"/>
  <c r="K175" i="101" s="1"/>
  <c r="E175" i="101" s="1"/>
  <c r="F175" i="101"/>
  <c r="I174" i="101"/>
  <c r="K174" i="101" s="1"/>
  <c r="E174" i="101" s="1"/>
  <c r="F174" i="101"/>
  <c r="I173" i="101"/>
  <c r="K173" i="101" s="1"/>
  <c r="E173" i="101" s="1"/>
  <c r="F173" i="101"/>
  <c r="I172" i="101"/>
  <c r="F172" i="101"/>
  <c r="F170" i="101"/>
  <c r="F168" i="101"/>
  <c r="F167" i="101"/>
  <c r="K165" i="101"/>
  <c r="E165" i="101" s="1"/>
  <c r="F165" i="101"/>
  <c r="F162" i="101"/>
  <c r="K158" i="101"/>
  <c r="E158" i="101" s="1"/>
  <c r="F158" i="101"/>
  <c r="I155" i="101"/>
  <c r="K155" i="101" s="1"/>
  <c r="E155" i="101" s="1"/>
  <c r="F155" i="101"/>
  <c r="I154" i="101"/>
  <c r="K154" i="101" s="1"/>
  <c r="E154" i="101" s="1"/>
  <c r="F154" i="101"/>
  <c r="I151" i="101"/>
  <c r="K151" i="101" s="1"/>
  <c r="E151" i="101" s="1"/>
  <c r="F151" i="101"/>
  <c r="F150" i="101"/>
  <c r="I149" i="101"/>
  <c r="K149" i="101" s="1"/>
  <c r="E149" i="101" s="1"/>
  <c r="F149" i="101"/>
  <c r="F148" i="101"/>
  <c r="I147" i="101"/>
  <c r="K147" i="101" s="1"/>
  <c r="E147" i="101" s="1"/>
  <c r="F147" i="101"/>
  <c r="I146" i="101"/>
  <c r="K146" i="101" s="1"/>
  <c r="E146" i="101" s="1"/>
  <c r="F146" i="101"/>
  <c r="I145" i="101"/>
  <c r="K145" i="101" s="1"/>
  <c r="E145" i="101" s="1"/>
  <c r="F145" i="101"/>
  <c r="I144" i="101"/>
  <c r="K144" i="101" s="1"/>
  <c r="E144" i="101" s="1"/>
  <c r="F144" i="101"/>
  <c r="I143" i="101"/>
  <c r="K143" i="101" s="1"/>
  <c r="E143" i="101" s="1"/>
  <c r="F143" i="101"/>
  <c r="F141" i="101"/>
  <c r="G141" i="101" s="1"/>
  <c r="F140" i="101"/>
  <c r="G140" i="101" s="1"/>
  <c r="F139" i="101"/>
  <c r="G139" i="101" s="1"/>
  <c r="F138" i="101"/>
  <c r="G138" i="101" s="1"/>
  <c r="F137" i="101"/>
  <c r="G137" i="101" s="1"/>
  <c r="F135" i="101"/>
  <c r="E135" i="101"/>
  <c r="F134" i="101"/>
  <c r="F133" i="101"/>
  <c r="K131" i="101"/>
  <c r="E131" i="101" s="1"/>
  <c r="E126" i="101" s="1"/>
  <c r="F131" i="101"/>
  <c r="I129" i="101"/>
  <c r="K129" i="101" s="1"/>
  <c r="E129" i="101" s="1"/>
  <c r="F129" i="101"/>
  <c r="F127" i="101"/>
  <c r="G127" i="101" s="1"/>
  <c r="F126" i="101"/>
  <c r="L124" i="101"/>
  <c r="J124" i="101"/>
  <c r="K124" i="101" s="1"/>
  <c r="F124" i="101"/>
  <c r="J122" i="101"/>
  <c r="I122" i="101"/>
  <c r="F122" i="101"/>
  <c r="M120" i="101"/>
  <c r="F120" i="101"/>
  <c r="M119" i="101"/>
  <c r="M118" i="101"/>
  <c r="F118" i="101"/>
  <c r="M116" i="101"/>
  <c r="I116" i="101"/>
  <c r="M115" i="101"/>
  <c r="K115" i="101"/>
  <c r="I115" i="101"/>
  <c r="J113" i="101"/>
  <c r="F113" i="101"/>
  <c r="J112" i="101"/>
  <c r="F112" i="101"/>
  <c r="J111" i="101"/>
  <c r="F111" i="101"/>
  <c r="J109" i="101"/>
  <c r="I109" i="101"/>
  <c r="F109" i="101"/>
  <c r="J108" i="101"/>
  <c r="F108" i="101"/>
  <c r="J106" i="101"/>
  <c r="F106" i="101"/>
  <c r="F104" i="101"/>
  <c r="J102" i="101"/>
  <c r="F102" i="101"/>
  <c r="F100" i="101"/>
  <c r="F95" i="101"/>
  <c r="F93" i="101"/>
  <c r="F89" i="101"/>
  <c r="F87" i="101"/>
  <c r="F85" i="101"/>
  <c r="K83" i="101"/>
  <c r="E83" i="101" s="1"/>
  <c r="F83" i="101"/>
  <c r="F81" i="101"/>
  <c r="F80" i="101"/>
  <c r="I76" i="101"/>
  <c r="J77" i="101" s="1"/>
  <c r="K76" i="101" s="1"/>
  <c r="F75" i="101"/>
  <c r="G75" i="101" s="1"/>
  <c r="J73" i="101"/>
  <c r="F73" i="101"/>
  <c r="K71" i="101"/>
  <c r="E71" i="101" s="1"/>
  <c r="F71" i="101"/>
  <c r="I69" i="101"/>
  <c r="K69" i="101" s="1"/>
  <c r="E69" i="101" s="1"/>
  <c r="F69" i="101"/>
  <c r="K68" i="101"/>
  <c r="F68" i="101"/>
  <c r="I66" i="101"/>
  <c r="K66" i="101" s="1"/>
  <c r="E66" i="101" s="1"/>
  <c r="F66" i="101"/>
  <c r="I64" i="101"/>
  <c r="F64" i="101"/>
  <c r="F62" i="101"/>
  <c r="F61" i="101"/>
  <c r="F60" i="101"/>
  <c r="F59" i="101"/>
  <c r="F57" i="101"/>
  <c r="F54" i="101"/>
  <c r="J48" i="101"/>
  <c r="G44" i="101"/>
  <c r="G42" i="101"/>
  <c r="J40" i="101"/>
  <c r="F40" i="101"/>
  <c r="F38" i="101"/>
  <c r="F37" i="101"/>
  <c r="F35" i="101"/>
  <c r="K34" i="101"/>
  <c r="I33" i="101"/>
  <c r="K33" i="101" s="1"/>
  <c r="G33" i="101"/>
  <c r="F31" i="101"/>
  <c r="G31" i="101" s="1"/>
  <c r="L29" i="101"/>
  <c r="F26" i="101"/>
  <c r="I24" i="101"/>
  <c r="K24" i="101" s="1"/>
  <c r="F24" i="101" s="1"/>
  <c r="G24" i="101" s="1"/>
  <c r="L19" i="101"/>
  <c r="G19" i="101" s="1"/>
  <c r="G17" i="101"/>
  <c r="I112" i="101" s="1"/>
  <c r="K112" i="101" s="1"/>
  <c r="E112" i="101" s="1"/>
  <c r="G6" i="102" s="1"/>
  <c r="E17" i="102" s="1"/>
  <c r="G12" i="101"/>
  <c r="I54" i="101" s="1"/>
  <c r="K54" i="101" s="1"/>
  <c r="E54" i="101" s="1"/>
  <c r="G5" i="101"/>
  <c r="I148" i="101" s="1"/>
  <c r="K148" i="101" s="1"/>
  <c r="E148" i="101" s="1"/>
  <c r="J4" i="101"/>
  <c r="G3" i="101"/>
  <c r="F18" i="121"/>
  <c r="F17" i="121"/>
  <c r="F16" i="121"/>
  <c r="F12" i="121"/>
  <c r="F11" i="121"/>
  <c r="F18" i="123"/>
  <c r="F17" i="123"/>
  <c r="F16" i="123"/>
  <c r="F12" i="123"/>
  <c r="F11" i="123"/>
  <c r="G6" i="123"/>
  <c r="E17" i="123" s="1"/>
  <c r="G5" i="123"/>
  <c r="E12" i="123" s="1"/>
  <c r="E11" i="123"/>
  <c r="F18" i="117"/>
  <c r="F17" i="117"/>
  <c r="F16" i="117"/>
  <c r="F12" i="117"/>
  <c r="F11" i="117"/>
  <c r="E159" i="112"/>
  <c r="J157" i="112"/>
  <c r="D157" i="112" s="1"/>
  <c r="E157" i="112"/>
  <c r="J155" i="112"/>
  <c r="D155" i="112" s="1"/>
  <c r="E155" i="112"/>
  <c r="J154" i="112"/>
  <c r="D154" i="112" s="1"/>
  <c r="E154" i="112"/>
  <c r="J153" i="112"/>
  <c r="H152" i="112"/>
  <c r="J152" i="112" s="1"/>
  <c r="H150" i="112"/>
  <c r="J150" i="112" s="1"/>
  <c r="D150" i="112" s="1"/>
  <c r="D152" i="112" s="1"/>
  <c r="E150" i="112"/>
  <c r="E148" i="112"/>
  <c r="E147" i="112"/>
  <c r="H142" i="112"/>
  <c r="J142" i="112" s="1"/>
  <c r="D142" i="112" s="1"/>
  <c r="E142" i="112"/>
  <c r="E140" i="112"/>
  <c r="E138" i="112"/>
  <c r="J135" i="112"/>
  <c r="E135" i="112"/>
  <c r="F135" i="112" s="1"/>
  <c r="G135" i="112" s="1"/>
  <c r="H129" i="112"/>
  <c r="J129" i="112" s="1"/>
  <c r="D129" i="112" s="1"/>
  <c r="E129" i="112"/>
  <c r="E128" i="112"/>
  <c r="E127" i="112"/>
  <c r="D125" i="112"/>
  <c r="E125" i="112"/>
  <c r="E124" i="112"/>
  <c r="E123" i="112"/>
  <c r="E121" i="112"/>
  <c r="F121" i="112" s="1"/>
  <c r="I119" i="112"/>
  <c r="E119" i="112"/>
  <c r="F119" i="112" s="1"/>
  <c r="E117" i="112"/>
  <c r="D117" i="112"/>
  <c r="K115" i="112"/>
  <c r="J115" i="112"/>
  <c r="E115" i="112"/>
  <c r="F115" i="112" s="1"/>
  <c r="E113" i="112"/>
  <c r="F113" i="112" s="1"/>
  <c r="E111" i="112"/>
  <c r="E109" i="112"/>
  <c r="J106" i="112"/>
  <c r="I79" i="112"/>
  <c r="E79" i="112"/>
  <c r="E77" i="112"/>
  <c r="I75" i="112"/>
  <c r="E75" i="112"/>
  <c r="I73" i="112"/>
  <c r="E73" i="112"/>
  <c r="E66" i="112"/>
  <c r="E64" i="112"/>
  <c r="E62" i="112"/>
  <c r="J57" i="112"/>
  <c r="D57" i="112" s="1"/>
  <c r="E57" i="112"/>
  <c r="E56" i="112"/>
  <c r="E54" i="112"/>
  <c r="E51" i="112"/>
  <c r="I47" i="112"/>
  <c r="E47" i="112"/>
  <c r="E45" i="112"/>
  <c r="F43" i="112"/>
  <c r="F36" i="112"/>
  <c r="J32" i="112"/>
  <c r="K31" i="112"/>
  <c r="F26" i="112"/>
  <c r="F12" i="112"/>
  <c r="F11" i="112"/>
  <c r="F10" i="112"/>
  <c r="F9" i="112"/>
  <c r="K7" i="112"/>
  <c r="F6" i="112"/>
  <c r="F5" i="112"/>
  <c r="F4" i="112"/>
  <c r="F18" i="114"/>
  <c r="F17" i="114"/>
  <c r="F16" i="114"/>
  <c r="F12" i="114"/>
  <c r="F11" i="114"/>
  <c r="E157" i="109"/>
  <c r="H155" i="109"/>
  <c r="J155" i="109" s="1"/>
  <c r="D155" i="109" s="1"/>
  <c r="E155" i="109"/>
  <c r="E148" i="109"/>
  <c r="E146" i="109"/>
  <c r="F146" i="109" s="1"/>
  <c r="E145" i="109"/>
  <c r="E144" i="109"/>
  <c r="L141" i="109"/>
  <c r="J139" i="109"/>
  <c r="H137" i="109"/>
  <c r="J137" i="109" s="1"/>
  <c r="D137" i="109" s="1"/>
  <c r="E137" i="109"/>
  <c r="E135" i="109"/>
  <c r="J132" i="109"/>
  <c r="E132" i="109"/>
  <c r="F132" i="109" s="1"/>
  <c r="E128" i="109"/>
  <c r="J127" i="109"/>
  <c r="E127" i="109"/>
  <c r="E124" i="109"/>
  <c r="E123" i="109"/>
  <c r="E121" i="109"/>
  <c r="F121" i="109" s="1"/>
  <c r="I119" i="109"/>
  <c r="E119" i="109"/>
  <c r="F119" i="109" s="1"/>
  <c r="E117" i="109"/>
  <c r="D117" i="109"/>
  <c r="K115" i="109"/>
  <c r="J115" i="109"/>
  <c r="E115" i="109"/>
  <c r="F115" i="109" s="1"/>
  <c r="E113" i="109"/>
  <c r="F113" i="109" s="1"/>
  <c r="L111" i="109"/>
  <c r="E111" i="109"/>
  <c r="L110" i="109"/>
  <c r="L109" i="109"/>
  <c r="E109" i="109"/>
  <c r="L107" i="109"/>
  <c r="L106" i="109"/>
  <c r="J106" i="109"/>
  <c r="I79" i="109"/>
  <c r="E79" i="109"/>
  <c r="E77" i="109"/>
  <c r="E75" i="109"/>
  <c r="I73" i="109"/>
  <c r="E73" i="109"/>
  <c r="E66" i="109"/>
  <c r="E64" i="109"/>
  <c r="E62" i="109"/>
  <c r="J57" i="109"/>
  <c r="E57" i="109"/>
  <c r="H55" i="109"/>
  <c r="J55" i="109" s="1"/>
  <c r="H123" i="109" s="1"/>
  <c r="E55" i="109"/>
  <c r="J54" i="109"/>
  <c r="J51" i="109"/>
  <c r="D51" i="109" s="1"/>
  <c r="E51" i="109"/>
  <c r="J50" i="109"/>
  <c r="J49" i="109"/>
  <c r="D49" i="109" s="1"/>
  <c r="D57" i="109" s="1"/>
  <c r="E49" i="109"/>
  <c r="J48" i="109"/>
  <c r="E46" i="109"/>
  <c r="J43" i="109"/>
  <c r="I42" i="109"/>
  <c r="E42" i="109"/>
  <c r="J41" i="109"/>
  <c r="E40" i="109"/>
  <c r="F38" i="109"/>
  <c r="F31" i="109"/>
  <c r="I27" i="109"/>
  <c r="F21" i="109"/>
  <c r="H14" i="109"/>
  <c r="I9" i="109"/>
  <c r="H71" i="109" s="1"/>
  <c r="H73" i="109" s="1"/>
  <c r="F8" i="109"/>
  <c r="H97" i="109"/>
  <c r="J97" i="109" s="1"/>
  <c r="F18" i="110"/>
  <c r="F17" i="110"/>
  <c r="F16" i="110"/>
  <c r="F12" i="110"/>
  <c r="F11" i="110"/>
  <c r="E20" i="149"/>
  <c r="F19" i="149"/>
  <c r="F18" i="149"/>
  <c r="F17" i="149"/>
  <c r="F13" i="149"/>
  <c r="F12" i="149"/>
  <c r="G9" i="149"/>
  <c r="F19" i="147"/>
  <c r="F18" i="147"/>
  <c r="F17" i="147"/>
  <c r="F13" i="147"/>
  <c r="F12" i="147"/>
  <c r="F176" i="51"/>
  <c r="F174" i="51"/>
  <c r="E165" i="51"/>
  <c r="F165" i="51" s="1"/>
  <c r="L163" i="51"/>
  <c r="E163" i="51"/>
  <c r="J159" i="51"/>
  <c r="D159" i="51" s="1"/>
  <c r="E159" i="51"/>
  <c r="E157" i="51"/>
  <c r="F157" i="51" s="1"/>
  <c r="E156" i="51"/>
  <c r="F156" i="51" s="1"/>
  <c r="J154" i="51"/>
  <c r="E154" i="51"/>
  <c r="J152" i="51"/>
  <c r="D152" i="51" s="1"/>
  <c r="D154" i="51" s="1"/>
  <c r="E152" i="51"/>
  <c r="E150" i="51"/>
  <c r="E149" i="51"/>
  <c r="E148" i="51"/>
  <c r="J147" i="51"/>
  <c r="D147" i="51" s="1"/>
  <c r="D148" i="51" s="1"/>
  <c r="E147" i="51"/>
  <c r="L144" i="51"/>
  <c r="L142" i="51"/>
  <c r="J142" i="51"/>
  <c r="D142" i="51" s="1"/>
  <c r="E142" i="51"/>
  <c r="J141" i="51"/>
  <c r="D141" i="51" s="1"/>
  <c r="E141" i="51"/>
  <c r="J139" i="51"/>
  <c r="D139" i="51" s="1"/>
  <c r="E139" i="51"/>
  <c r="H137" i="51"/>
  <c r="J137" i="51" s="1"/>
  <c r="D137" i="51" s="1"/>
  <c r="E137" i="51"/>
  <c r="B137" i="51"/>
  <c r="A137" i="51"/>
  <c r="B136" i="51"/>
  <c r="A136" i="51"/>
  <c r="J135" i="51"/>
  <c r="D135" i="51" s="1"/>
  <c r="E135" i="51"/>
  <c r="E132" i="51"/>
  <c r="B132" i="51"/>
  <c r="A132" i="51"/>
  <c r="B131" i="51"/>
  <c r="A131" i="51"/>
  <c r="B130" i="51"/>
  <c r="A130" i="51"/>
  <c r="H128" i="51"/>
  <c r="J128" i="51" s="1"/>
  <c r="E128" i="51"/>
  <c r="F128" i="51" s="1"/>
  <c r="H125" i="51"/>
  <c r="J125" i="51" s="1"/>
  <c r="E125" i="51"/>
  <c r="F125" i="51" s="1"/>
  <c r="E123" i="51"/>
  <c r="B123" i="51"/>
  <c r="A123" i="51"/>
  <c r="H122" i="51"/>
  <c r="J122" i="51" s="1"/>
  <c r="D122" i="51" s="1"/>
  <c r="B122" i="51"/>
  <c r="A122" i="51"/>
  <c r="B121" i="51"/>
  <c r="A121" i="51"/>
  <c r="H120" i="51"/>
  <c r="E120" i="51"/>
  <c r="B120" i="51"/>
  <c r="A120" i="51"/>
  <c r="B119" i="51"/>
  <c r="A119" i="51"/>
  <c r="J118" i="51"/>
  <c r="E118" i="51"/>
  <c r="F118" i="51" s="1"/>
  <c r="E117" i="51"/>
  <c r="F117" i="51" s="1"/>
  <c r="E116" i="51"/>
  <c r="F116" i="51" s="1"/>
  <c r="E115" i="51"/>
  <c r="F115" i="51" s="1"/>
  <c r="E114" i="51"/>
  <c r="F114" i="51" s="1"/>
  <c r="E112" i="51"/>
  <c r="F112" i="51" s="1"/>
  <c r="E111" i="51"/>
  <c r="F111" i="51" s="1"/>
  <c r="E110" i="51"/>
  <c r="F110" i="51" s="1"/>
  <c r="E108" i="51"/>
  <c r="F108" i="51" s="1"/>
  <c r="E106" i="51"/>
  <c r="F106" i="51" s="1"/>
  <c r="E104" i="51"/>
  <c r="F104" i="51" s="1"/>
  <c r="E103" i="51"/>
  <c r="D103" i="51"/>
  <c r="E101" i="51"/>
  <c r="F101" i="51" s="1"/>
  <c r="E99" i="51"/>
  <c r="F99" i="51" s="1"/>
  <c r="E97" i="51"/>
  <c r="E95" i="51"/>
  <c r="I90" i="51"/>
  <c r="J90" i="51" s="1"/>
  <c r="D90" i="51" s="1"/>
  <c r="E90" i="51"/>
  <c r="I89" i="51"/>
  <c r="J89" i="51" s="1"/>
  <c r="D89" i="51" s="1"/>
  <c r="E89" i="51"/>
  <c r="I88" i="51"/>
  <c r="J88" i="51" s="1"/>
  <c r="D88" i="51" s="1"/>
  <c r="E88" i="51"/>
  <c r="I86" i="51"/>
  <c r="J86" i="51" s="1"/>
  <c r="D86" i="51" s="1"/>
  <c r="E86" i="51"/>
  <c r="I85" i="51"/>
  <c r="J85" i="51" s="1"/>
  <c r="D85" i="51" s="1"/>
  <c r="E85" i="51"/>
  <c r="I83" i="51"/>
  <c r="E83" i="51"/>
  <c r="F83" i="51" s="1"/>
  <c r="E81" i="51"/>
  <c r="I79" i="51"/>
  <c r="J79" i="51" s="1"/>
  <c r="D79" i="51" s="1"/>
  <c r="D81" i="51" s="1"/>
  <c r="E79" i="51"/>
  <c r="I77" i="51"/>
  <c r="J77" i="51" s="1"/>
  <c r="D77" i="51" s="1"/>
  <c r="E77" i="51"/>
  <c r="H72" i="51"/>
  <c r="J72" i="51" s="1"/>
  <c r="D72" i="51" s="1"/>
  <c r="E72" i="51"/>
  <c r="I70" i="51"/>
  <c r="J70" i="51" s="1"/>
  <c r="E70" i="51"/>
  <c r="F70" i="51" s="1"/>
  <c r="I68" i="51"/>
  <c r="J68" i="51" s="1"/>
  <c r="E68" i="51"/>
  <c r="F68" i="51" s="1"/>
  <c r="E66" i="51"/>
  <c r="D66" i="51"/>
  <c r="I64" i="51"/>
  <c r="J64" i="51" s="1"/>
  <c r="J65" i="51" s="1"/>
  <c r="E64" i="51"/>
  <c r="F64" i="51" s="1"/>
  <c r="E59" i="51"/>
  <c r="F59" i="51" s="1"/>
  <c r="E57" i="51"/>
  <c r="F57" i="51" s="1"/>
  <c r="E55" i="51"/>
  <c r="F55" i="51" s="1"/>
  <c r="E53" i="51"/>
  <c r="F53" i="51" s="1"/>
  <c r="H52" i="51"/>
  <c r="J52" i="51" s="1"/>
  <c r="D52" i="51" s="1"/>
  <c r="E52" i="51"/>
  <c r="E50" i="51"/>
  <c r="F50" i="51" s="1"/>
  <c r="E48" i="51"/>
  <c r="F48" i="51" s="1"/>
  <c r="H45" i="51"/>
  <c r="J45" i="51" s="1"/>
  <c r="D45" i="51" s="1"/>
  <c r="E45" i="51"/>
  <c r="H43" i="51"/>
  <c r="J43" i="51" s="1"/>
  <c r="H41" i="51"/>
  <c r="J41" i="51" s="1"/>
  <c r="D41" i="51" s="1"/>
  <c r="E41" i="51"/>
  <c r="H39" i="51"/>
  <c r="J39" i="51" s="1"/>
  <c r="D39" i="51" s="1"/>
  <c r="E39" i="51"/>
  <c r="F37" i="51"/>
  <c r="F29" i="51"/>
  <c r="F27" i="51"/>
  <c r="E25" i="51"/>
  <c r="F25" i="51" s="1"/>
  <c r="E23" i="51"/>
  <c r="F23" i="51" s="1"/>
  <c r="E22" i="51"/>
  <c r="F22" i="51" s="1"/>
  <c r="E21" i="51"/>
  <c r="F21" i="51" s="1"/>
  <c r="H19" i="51"/>
  <c r="J19" i="51" s="1"/>
  <c r="F19" i="51"/>
  <c r="E17" i="51"/>
  <c r="F17" i="51" s="1"/>
  <c r="H12" i="51"/>
  <c r="J12" i="51" s="1"/>
  <c r="E12" i="51"/>
  <c r="F5" i="51"/>
  <c r="F4" i="51"/>
  <c r="F194" i="50"/>
  <c r="F192" i="50"/>
  <c r="H183" i="50"/>
  <c r="J183" i="50" s="1"/>
  <c r="E183" i="50"/>
  <c r="E179" i="50"/>
  <c r="F179" i="50" s="1"/>
  <c r="K177" i="50"/>
  <c r="G177" i="50" s="1"/>
  <c r="I177" i="50" s="1"/>
  <c r="D177" i="50" s="1"/>
  <c r="E177" i="50"/>
  <c r="J173" i="50"/>
  <c r="D173" i="50" s="1"/>
  <c r="E173" i="50"/>
  <c r="E171" i="50"/>
  <c r="F171" i="50" s="1"/>
  <c r="E170" i="50"/>
  <c r="F170" i="50" s="1"/>
  <c r="J168" i="50"/>
  <c r="E168" i="50"/>
  <c r="J166" i="50"/>
  <c r="D166" i="50" s="1"/>
  <c r="D168" i="50" s="1"/>
  <c r="E166" i="50"/>
  <c r="E164" i="50"/>
  <c r="F164" i="50" s="1"/>
  <c r="E163" i="50"/>
  <c r="E162" i="50"/>
  <c r="E161" i="50"/>
  <c r="L158" i="50"/>
  <c r="L156" i="50"/>
  <c r="J156" i="50"/>
  <c r="D156" i="50" s="1"/>
  <c r="E156" i="50"/>
  <c r="J155" i="50"/>
  <c r="D155" i="50" s="1"/>
  <c r="E155" i="50"/>
  <c r="J153" i="50"/>
  <c r="D153" i="50" s="1"/>
  <c r="E153" i="50"/>
  <c r="E151" i="50"/>
  <c r="B151" i="50"/>
  <c r="A151" i="50"/>
  <c r="B150" i="50"/>
  <c r="A150" i="50"/>
  <c r="J149" i="50"/>
  <c r="D149" i="50" s="1"/>
  <c r="E149" i="50"/>
  <c r="E146" i="50"/>
  <c r="B146" i="50"/>
  <c r="A146" i="50"/>
  <c r="B145" i="50"/>
  <c r="A145" i="50"/>
  <c r="B144" i="50"/>
  <c r="H142" i="50"/>
  <c r="J142" i="50" s="1"/>
  <c r="E142" i="50"/>
  <c r="F142" i="50" s="1"/>
  <c r="H139" i="50"/>
  <c r="J139" i="50" s="1"/>
  <c r="E139" i="50"/>
  <c r="F139" i="50" s="1"/>
  <c r="E136" i="50"/>
  <c r="B136" i="50"/>
  <c r="A136" i="50"/>
  <c r="H135" i="50"/>
  <c r="J135" i="50" s="1"/>
  <c r="D135" i="50" s="1"/>
  <c r="E135" i="50"/>
  <c r="B135" i="50"/>
  <c r="A135" i="50"/>
  <c r="B134" i="50"/>
  <c r="A134" i="50"/>
  <c r="E133" i="50"/>
  <c r="B133" i="50"/>
  <c r="A133" i="50"/>
  <c r="J132" i="50"/>
  <c r="D132" i="50" s="1"/>
  <c r="E132" i="50"/>
  <c r="B132" i="50"/>
  <c r="A132" i="50"/>
  <c r="E131" i="50"/>
  <c r="B131" i="50"/>
  <c r="A131" i="50"/>
  <c r="B130" i="50"/>
  <c r="A130" i="50"/>
  <c r="E129" i="50"/>
  <c r="F129" i="50" s="1"/>
  <c r="E128" i="50"/>
  <c r="F128" i="50" s="1"/>
  <c r="E127" i="50"/>
  <c r="F127" i="50" s="1"/>
  <c r="E126" i="50"/>
  <c r="F126" i="50" s="1"/>
  <c r="E124" i="50"/>
  <c r="F124" i="50" s="1"/>
  <c r="E123" i="50"/>
  <c r="F123" i="50" s="1"/>
  <c r="E122" i="50"/>
  <c r="F122" i="50" s="1"/>
  <c r="E120" i="50"/>
  <c r="F120" i="50" s="1"/>
  <c r="E118" i="50"/>
  <c r="F118" i="50" s="1"/>
  <c r="E116" i="50"/>
  <c r="F116" i="50" s="1"/>
  <c r="E115" i="50"/>
  <c r="D115" i="50"/>
  <c r="E113" i="50"/>
  <c r="F113" i="50" s="1"/>
  <c r="E111" i="50"/>
  <c r="F111" i="50" s="1"/>
  <c r="E109" i="50"/>
  <c r="E107" i="50"/>
  <c r="I105" i="50"/>
  <c r="I102" i="50"/>
  <c r="E101" i="50"/>
  <c r="I100" i="50"/>
  <c r="E100" i="50"/>
  <c r="I99" i="50"/>
  <c r="E99" i="50"/>
  <c r="N98" i="50"/>
  <c r="N100" i="50" s="1"/>
  <c r="E96" i="50"/>
  <c r="E95" i="50"/>
  <c r="E94" i="50"/>
  <c r="I91" i="50"/>
  <c r="E91" i="50"/>
  <c r="I90" i="50"/>
  <c r="E90" i="50"/>
  <c r="E88" i="50"/>
  <c r="E87" i="50"/>
  <c r="E84" i="50"/>
  <c r="E82" i="50"/>
  <c r="I80" i="50"/>
  <c r="E80" i="50"/>
  <c r="I78" i="50"/>
  <c r="E78" i="50"/>
  <c r="I77" i="50"/>
  <c r="J73" i="50"/>
  <c r="E73" i="50"/>
  <c r="F73" i="50" s="1"/>
  <c r="I71" i="50"/>
  <c r="J71" i="50" s="1"/>
  <c r="E71" i="50"/>
  <c r="F71" i="50" s="1"/>
  <c r="I69" i="50"/>
  <c r="E69" i="50"/>
  <c r="E67" i="50"/>
  <c r="I65" i="50"/>
  <c r="E65" i="50"/>
  <c r="I60" i="50"/>
  <c r="H60" i="50"/>
  <c r="E60" i="50"/>
  <c r="E58" i="50"/>
  <c r="F58" i="50" s="1"/>
  <c r="E56" i="50"/>
  <c r="F56" i="50" s="1"/>
  <c r="E54" i="50"/>
  <c r="F54" i="50" s="1"/>
  <c r="H53" i="50"/>
  <c r="J53" i="50" s="1"/>
  <c r="D53" i="50" s="1"/>
  <c r="E53" i="50"/>
  <c r="E51" i="50"/>
  <c r="F51" i="50" s="1"/>
  <c r="E49" i="50"/>
  <c r="F49" i="50" s="1"/>
  <c r="H46" i="50"/>
  <c r="J46" i="50" s="1"/>
  <c r="D46" i="50" s="1"/>
  <c r="E46" i="50"/>
  <c r="H44" i="50"/>
  <c r="J44" i="50" s="1"/>
  <c r="H42" i="50"/>
  <c r="J42" i="50" s="1"/>
  <c r="D42" i="50" s="1"/>
  <c r="E42" i="50"/>
  <c r="E40" i="50"/>
  <c r="F38" i="50"/>
  <c r="F30" i="50"/>
  <c r="F28" i="50"/>
  <c r="E26" i="50"/>
  <c r="F26" i="50" s="1"/>
  <c r="E24" i="50"/>
  <c r="F24" i="50" s="1"/>
  <c r="E23" i="50"/>
  <c r="F23" i="50" s="1"/>
  <c r="E22" i="50"/>
  <c r="F22" i="50" s="1"/>
  <c r="H20" i="50"/>
  <c r="J20" i="50" s="1"/>
  <c r="F20" i="50"/>
  <c r="E18" i="50"/>
  <c r="F18" i="50" s="1"/>
  <c r="H13" i="50"/>
  <c r="J13" i="50" s="1"/>
  <c r="E13" i="50"/>
  <c r="F5" i="50"/>
  <c r="H4" i="50"/>
  <c r="H102" i="50" s="1"/>
  <c r="F4" i="50"/>
  <c r="F178" i="47"/>
  <c r="F176" i="47"/>
  <c r="E167" i="47"/>
  <c r="F167" i="47" s="1"/>
  <c r="L165" i="47"/>
  <c r="E165" i="47"/>
  <c r="J161" i="47"/>
  <c r="D161" i="47" s="1"/>
  <c r="E161" i="47"/>
  <c r="E159" i="47"/>
  <c r="F159" i="47" s="1"/>
  <c r="E158" i="47"/>
  <c r="F158" i="47" s="1"/>
  <c r="J156" i="47"/>
  <c r="E156" i="47"/>
  <c r="J154" i="47"/>
  <c r="D154" i="47" s="1"/>
  <c r="E154" i="47"/>
  <c r="E151" i="47"/>
  <c r="D151" i="47"/>
  <c r="J150" i="47"/>
  <c r="E150" i="47"/>
  <c r="F150" i="47" s="1"/>
  <c r="L147" i="47"/>
  <c r="L145" i="47"/>
  <c r="J145" i="47"/>
  <c r="D145" i="47" s="1"/>
  <c r="E145" i="47"/>
  <c r="J144" i="47"/>
  <c r="D144" i="47" s="1"/>
  <c r="E144" i="47"/>
  <c r="J142" i="47"/>
  <c r="D142" i="47" s="1"/>
  <c r="E142" i="47"/>
  <c r="B140" i="47"/>
  <c r="A140" i="47"/>
  <c r="B139" i="47"/>
  <c r="A139" i="47"/>
  <c r="J138" i="47"/>
  <c r="D138" i="47" s="1"/>
  <c r="E138" i="47"/>
  <c r="E135" i="47"/>
  <c r="B135" i="47"/>
  <c r="A135" i="47"/>
  <c r="B134" i="47"/>
  <c r="A134" i="47"/>
  <c r="B133" i="47"/>
  <c r="A133" i="47"/>
  <c r="E131" i="47"/>
  <c r="F131" i="47" s="1"/>
  <c r="E128" i="47"/>
  <c r="F128" i="47" s="1"/>
  <c r="E125" i="47"/>
  <c r="B125" i="47"/>
  <c r="A125" i="47"/>
  <c r="H124" i="47"/>
  <c r="J124" i="47" s="1"/>
  <c r="D124" i="47" s="1"/>
  <c r="E124" i="47"/>
  <c r="B124" i="47"/>
  <c r="A124" i="47"/>
  <c r="B123" i="47"/>
  <c r="A123" i="47"/>
  <c r="H121" i="47"/>
  <c r="H135" i="47" s="1"/>
  <c r="J135" i="47" s="1"/>
  <c r="D135" i="47" s="1"/>
  <c r="E121" i="47"/>
  <c r="B121" i="47"/>
  <c r="A121" i="47"/>
  <c r="B120" i="47"/>
  <c r="A120" i="47"/>
  <c r="J118" i="47"/>
  <c r="E118" i="47"/>
  <c r="F118" i="47" s="1"/>
  <c r="E117" i="47"/>
  <c r="F117" i="47" s="1"/>
  <c r="E116" i="47"/>
  <c r="F116" i="47" s="1"/>
  <c r="E115" i="47"/>
  <c r="F115" i="47" s="1"/>
  <c r="E114" i="47"/>
  <c r="F114" i="47" s="1"/>
  <c r="E112" i="47"/>
  <c r="F112" i="47" s="1"/>
  <c r="E111" i="47"/>
  <c r="F111" i="47" s="1"/>
  <c r="E110" i="47"/>
  <c r="F110" i="47" s="1"/>
  <c r="E108" i="47"/>
  <c r="F108" i="47" s="1"/>
  <c r="E106" i="47"/>
  <c r="F106" i="47" s="1"/>
  <c r="E104" i="47"/>
  <c r="F104" i="47" s="1"/>
  <c r="E103" i="47"/>
  <c r="D103" i="47"/>
  <c r="E101" i="47"/>
  <c r="F101" i="47" s="1"/>
  <c r="E99" i="47"/>
  <c r="F99" i="47" s="1"/>
  <c r="E97" i="47"/>
  <c r="E95" i="47"/>
  <c r="I92" i="47"/>
  <c r="I87" i="47"/>
  <c r="J87" i="47" s="1"/>
  <c r="D87" i="47" s="1"/>
  <c r="E87" i="47"/>
  <c r="I86" i="47"/>
  <c r="J86" i="47" s="1"/>
  <c r="D86" i="47" s="1"/>
  <c r="E86" i="47"/>
  <c r="I85" i="47"/>
  <c r="J85" i="47" s="1"/>
  <c r="D85" i="47" s="1"/>
  <c r="E85" i="47"/>
  <c r="I83" i="47"/>
  <c r="J83" i="47" s="1"/>
  <c r="D83" i="47" s="1"/>
  <c r="E83" i="47"/>
  <c r="I82" i="47"/>
  <c r="J82" i="47" s="1"/>
  <c r="D82" i="47" s="1"/>
  <c r="E82" i="47"/>
  <c r="I80" i="47"/>
  <c r="E80" i="47"/>
  <c r="F80" i="47" s="1"/>
  <c r="E78" i="47"/>
  <c r="I76" i="47"/>
  <c r="J76" i="47" s="1"/>
  <c r="D76" i="47" s="1"/>
  <c r="E76" i="47"/>
  <c r="I74" i="47"/>
  <c r="J74" i="47" s="1"/>
  <c r="D74" i="47" s="1"/>
  <c r="E74" i="47"/>
  <c r="J69" i="47"/>
  <c r="D69" i="47" s="1"/>
  <c r="E69" i="47"/>
  <c r="I67" i="47"/>
  <c r="J67" i="47" s="1"/>
  <c r="E67" i="47"/>
  <c r="F67" i="47" s="1"/>
  <c r="I65" i="47"/>
  <c r="J65" i="47" s="1"/>
  <c r="E65" i="47"/>
  <c r="F65" i="47" s="1"/>
  <c r="E63" i="47"/>
  <c r="D63" i="47"/>
  <c r="I61" i="47"/>
  <c r="J61" i="47" s="1"/>
  <c r="J62" i="47" s="1"/>
  <c r="E61" i="47"/>
  <c r="F61" i="47" s="1"/>
  <c r="E56" i="47"/>
  <c r="E54" i="47"/>
  <c r="F54" i="47" s="1"/>
  <c r="E52" i="47"/>
  <c r="F52" i="47" s="1"/>
  <c r="E50" i="47"/>
  <c r="F50" i="47" s="1"/>
  <c r="E49" i="47"/>
  <c r="E47" i="47"/>
  <c r="F47" i="47" s="1"/>
  <c r="E45" i="47"/>
  <c r="F45" i="47" s="1"/>
  <c r="E42" i="47"/>
  <c r="E38" i="47"/>
  <c r="E36" i="47"/>
  <c r="F34" i="47"/>
  <c r="K30" i="47"/>
  <c r="F26" i="47"/>
  <c r="F22" i="47"/>
  <c r="F20" i="47"/>
  <c r="F16" i="47"/>
  <c r="F4" i="47"/>
  <c r="H125" i="47" s="1"/>
  <c r="F178" i="46"/>
  <c r="F176" i="46"/>
  <c r="J174" i="46"/>
  <c r="E167" i="46"/>
  <c r="F167" i="46" s="1"/>
  <c r="E165" i="46"/>
  <c r="J161" i="46"/>
  <c r="D161" i="46" s="1"/>
  <c r="E161" i="46"/>
  <c r="J160" i="46"/>
  <c r="E159" i="46"/>
  <c r="F159" i="46" s="1"/>
  <c r="J158" i="46"/>
  <c r="D154" i="46" s="1"/>
  <c r="E158" i="46"/>
  <c r="F158" i="46" s="1"/>
  <c r="E156" i="46"/>
  <c r="E154" i="46"/>
  <c r="L151" i="46"/>
  <c r="E151" i="46"/>
  <c r="E150" i="46"/>
  <c r="L149" i="46"/>
  <c r="J149" i="46"/>
  <c r="D145" i="46" s="1"/>
  <c r="J148" i="46"/>
  <c r="D144" i="46" s="1"/>
  <c r="J146" i="46"/>
  <c r="D142" i="46" s="1"/>
  <c r="E145" i="46"/>
  <c r="E144" i="46"/>
  <c r="J142" i="46"/>
  <c r="D138" i="46" s="1"/>
  <c r="E142" i="46"/>
  <c r="H140" i="46"/>
  <c r="J140" i="46" s="1"/>
  <c r="D140" i="46" s="1"/>
  <c r="B140" i="46"/>
  <c r="A140" i="46"/>
  <c r="B139" i="46"/>
  <c r="A139" i="46"/>
  <c r="J138" i="46"/>
  <c r="D134" i="46" s="1"/>
  <c r="E138" i="46"/>
  <c r="E135" i="46"/>
  <c r="B135" i="46"/>
  <c r="A135" i="46"/>
  <c r="B134" i="46"/>
  <c r="A134" i="46"/>
  <c r="B133" i="46"/>
  <c r="A133" i="46"/>
  <c r="H132" i="46"/>
  <c r="J132" i="46" s="1"/>
  <c r="E131" i="46"/>
  <c r="F131" i="46" s="1"/>
  <c r="E128" i="46"/>
  <c r="F128" i="46" s="1"/>
  <c r="E123" i="46"/>
  <c r="B123" i="46"/>
  <c r="A123" i="46"/>
  <c r="H122" i="46"/>
  <c r="J122" i="46" s="1"/>
  <c r="D122" i="46" s="1"/>
  <c r="E122" i="46"/>
  <c r="B122" i="46"/>
  <c r="A122" i="46"/>
  <c r="N121" i="46"/>
  <c r="N122" i="46" s="1"/>
  <c r="H121" i="46"/>
  <c r="J121" i="46" s="1"/>
  <c r="D121" i="46" s="1"/>
  <c r="E121" i="46"/>
  <c r="B121" i="46"/>
  <c r="A121" i="46"/>
  <c r="B120" i="46"/>
  <c r="A120" i="46"/>
  <c r="J118" i="46"/>
  <c r="E118" i="46"/>
  <c r="F118" i="46" s="1"/>
  <c r="E117" i="46"/>
  <c r="F117" i="46" s="1"/>
  <c r="E116" i="46"/>
  <c r="F116" i="46" s="1"/>
  <c r="E115" i="46"/>
  <c r="F115" i="46" s="1"/>
  <c r="E114" i="46"/>
  <c r="F114" i="46" s="1"/>
  <c r="E112" i="46"/>
  <c r="F112" i="46" s="1"/>
  <c r="E111" i="46"/>
  <c r="F111" i="46" s="1"/>
  <c r="E110" i="46"/>
  <c r="F110" i="46" s="1"/>
  <c r="E108" i="46"/>
  <c r="F108" i="46" s="1"/>
  <c r="E106" i="46"/>
  <c r="F106" i="46" s="1"/>
  <c r="E104" i="46"/>
  <c r="F104" i="46" s="1"/>
  <c r="E103" i="46"/>
  <c r="D103" i="46"/>
  <c r="E101" i="46"/>
  <c r="F101" i="46" s="1"/>
  <c r="H99" i="46"/>
  <c r="E99" i="46"/>
  <c r="F99" i="46" s="1"/>
  <c r="J97" i="46"/>
  <c r="D97" i="46" s="1"/>
  <c r="E97" i="46"/>
  <c r="E95" i="46"/>
  <c r="I87" i="46"/>
  <c r="J87" i="46" s="1"/>
  <c r="D87" i="46" s="1"/>
  <c r="E87" i="46"/>
  <c r="I86" i="46"/>
  <c r="J86" i="46" s="1"/>
  <c r="D86" i="46" s="1"/>
  <c r="E86" i="46"/>
  <c r="I85" i="46"/>
  <c r="J85" i="46" s="1"/>
  <c r="D85" i="46" s="1"/>
  <c r="E85" i="46"/>
  <c r="I83" i="46"/>
  <c r="J83" i="46" s="1"/>
  <c r="D83" i="46" s="1"/>
  <c r="E83" i="46"/>
  <c r="I82" i="46"/>
  <c r="J82" i="46" s="1"/>
  <c r="D82" i="46" s="1"/>
  <c r="E82" i="46"/>
  <c r="I80" i="46"/>
  <c r="E80" i="46"/>
  <c r="F80" i="46" s="1"/>
  <c r="E78" i="46"/>
  <c r="I76" i="46"/>
  <c r="J76" i="46" s="1"/>
  <c r="D76" i="46" s="1"/>
  <c r="E76" i="46"/>
  <c r="I74" i="46"/>
  <c r="J74" i="46" s="1"/>
  <c r="D74" i="46" s="1"/>
  <c r="E74" i="46"/>
  <c r="J69" i="46"/>
  <c r="D69" i="46" s="1"/>
  <c r="E69" i="46"/>
  <c r="I67" i="46"/>
  <c r="J67" i="46" s="1"/>
  <c r="E67" i="46"/>
  <c r="F67" i="46" s="1"/>
  <c r="I65" i="46"/>
  <c r="J65" i="46" s="1"/>
  <c r="E65" i="46"/>
  <c r="F65" i="46" s="1"/>
  <c r="E63" i="46"/>
  <c r="D63" i="46"/>
  <c r="I61" i="46"/>
  <c r="J61" i="46" s="1"/>
  <c r="J62" i="46" s="1"/>
  <c r="E61" i="46"/>
  <c r="F61" i="46" s="1"/>
  <c r="E56" i="46"/>
  <c r="F56" i="46" s="1"/>
  <c r="E54" i="46"/>
  <c r="F54" i="46" s="1"/>
  <c r="E52" i="46"/>
  <c r="F52" i="46" s="1"/>
  <c r="E50" i="46"/>
  <c r="F50" i="46" s="1"/>
  <c r="H49" i="46"/>
  <c r="J49" i="46" s="1"/>
  <c r="D49" i="46" s="1"/>
  <c r="E49" i="46"/>
  <c r="E47" i="46"/>
  <c r="F47" i="46" s="1"/>
  <c r="E45" i="46"/>
  <c r="F45" i="46" s="1"/>
  <c r="I43" i="46"/>
  <c r="I42" i="46"/>
  <c r="H42" i="46"/>
  <c r="I41" i="46"/>
  <c r="I40" i="46"/>
  <c r="H40" i="46"/>
  <c r="H41" i="46" s="1"/>
  <c r="H38" i="46"/>
  <c r="H154" i="46" s="1"/>
  <c r="J154" i="46" s="1"/>
  <c r="D150" i="46" s="1"/>
  <c r="E38" i="46"/>
  <c r="H36" i="46"/>
  <c r="J36" i="46" s="1"/>
  <c r="D36" i="46" s="1"/>
  <c r="E36" i="46"/>
  <c r="F26" i="46"/>
  <c r="F22" i="46"/>
  <c r="F20" i="46"/>
  <c r="N19" i="46"/>
  <c r="F16" i="46"/>
  <c r="F4" i="46"/>
  <c r="H123" i="46" s="1"/>
  <c r="F19" i="107"/>
  <c r="F18" i="107"/>
  <c r="F17" i="107"/>
  <c r="F13" i="107"/>
  <c r="F12" i="107"/>
  <c r="E200" i="80"/>
  <c r="J181" i="80"/>
  <c r="F172" i="80"/>
  <c r="F170" i="80"/>
  <c r="J163" i="80"/>
  <c r="D163" i="80" s="1"/>
  <c r="E163" i="80"/>
  <c r="E161" i="80"/>
  <c r="F161" i="80" s="1"/>
  <c r="E160" i="80"/>
  <c r="F160" i="80" s="1"/>
  <c r="J158" i="80"/>
  <c r="E158" i="80"/>
  <c r="J156" i="80"/>
  <c r="D156" i="80" s="1"/>
  <c r="D158" i="80" s="1"/>
  <c r="E156" i="80"/>
  <c r="E154" i="80"/>
  <c r="F154" i="80" s="1"/>
  <c r="E153" i="80"/>
  <c r="J152" i="80"/>
  <c r="D152" i="80" s="1"/>
  <c r="D153" i="80" s="1"/>
  <c r="E152" i="80"/>
  <c r="L149" i="80"/>
  <c r="L147" i="80"/>
  <c r="J147" i="80"/>
  <c r="D147" i="80" s="1"/>
  <c r="E147" i="80"/>
  <c r="J146" i="80"/>
  <c r="D146" i="80" s="1"/>
  <c r="E146" i="80"/>
  <c r="J144" i="80"/>
  <c r="D144" i="80" s="1"/>
  <c r="E144" i="80"/>
  <c r="E142" i="80"/>
  <c r="B142" i="80"/>
  <c r="A142" i="80"/>
  <c r="J140" i="80"/>
  <c r="D140" i="80" s="1"/>
  <c r="E140" i="80"/>
  <c r="J137" i="80"/>
  <c r="D137" i="80" s="1"/>
  <c r="E137" i="80"/>
  <c r="B137" i="80"/>
  <c r="A137" i="80"/>
  <c r="B136" i="80"/>
  <c r="A136" i="80"/>
  <c r="J133" i="80"/>
  <c r="E133" i="80"/>
  <c r="F133" i="80" s="1"/>
  <c r="H130" i="80"/>
  <c r="J130" i="80" s="1"/>
  <c r="D130" i="80" s="1"/>
  <c r="E130" i="80"/>
  <c r="B130" i="80"/>
  <c r="A130" i="80"/>
  <c r="B129" i="80"/>
  <c r="A129" i="80"/>
  <c r="B127" i="80"/>
  <c r="A127" i="80"/>
  <c r="B126" i="80"/>
  <c r="A126" i="80"/>
  <c r="H125" i="80"/>
  <c r="E125" i="80"/>
  <c r="B125" i="80"/>
  <c r="A125" i="80"/>
  <c r="B124" i="80"/>
  <c r="A124" i="80"/>
  <c r="H123" i="80"/>
  <c r="J123" i="80" s="1"/>
  <c r="E123" i="80"/>
  <c r="F123" i="80" s="1"/>
  <c r="E122" i="80"/>
  <c r="F122" i="80" s="1"/>
  <c r="E121" i="80"/>
  <c r="F121" i="80" s="1"/>
  <c r="E120" i="80"/>
  <c r="F120" i="80" s="1"/>
  <c r="E119" i="80"/>
  <c r="F119" i="80" s="1"/>
  <c r="H117" i="80"/>
  <c r="D117" i="80" s="1"/>
  <c r="E117" i="80"/>
  <c r="E116" i="80"/>
  <c r="E115" i="80"/>
  <c r="E113" i="80"/>
  <c r="F113" i="80" s="1"/>
  <c r="N111" i="80"/>
  <c r="E111" i="80"/>
  <c r="F111" i="80" s="1"/>
  <c r="L110" i="80"/>
  <c r="L111" i="80" s="1"/>
  <c r="E109" i="80"/>
  <c r="F109" i="80" s="1"/>
  <c r="E108" i="80"/>
  <c r="D108" i="80"/>
  <c r="K106" i="80"/>
  <c r="J106" i="80"/>
  <c r="E106" i="80"/>
  <c r="F106" i="80" s="1"/>
  <c r="E104" i="80"/>
  <c r="F104" i="80" s="1"/>
  <c r="L102" i="80"/>
  <c r="E102" i="80"/>
  <c r="L101" i="80"/>
  <c r="L100" i="80"/>
  <c r="E100" i="80"/>
  <c r="L98" i="80"/>
  <c r="L97" i="80"/>
  <c r="I91" i="80"/>
  <c r="J91" i="80" s="1"/>
  <c r="D91" i="80" s="1"/>
  <c r="E91" i="80"/>
  <c r="I90" i="80"/>
  <c r="J90" i="80" s="1"/>
  <c r="D90" i="80" s="1"/>
  <c r="E90" i="80"/>
  <c r="I89" i="80"/>
  <c r="J89" i="80" s="1"/>
  <c r="D89" i="80" s="1"/>
  <c r="E89" i="80"/>
  <c r="I87" i="80"/>
  <c r="J87" i="80" s="1"/>
  <c r="D87" i="80" s="1"/>
  <c r="E87" i="80"/>
  <c r="I86" i="80"/>
  <c r="J86" i="80" s="1"/>
  <c r="D86" i="80" s="1"/>
  <c r="E86" i="80"/>
  <c r="H84" i="80"/>
  <c r="J84" i="80" s="1"/>
  <c r="D84" i="80" s="1"/>
  <c r="E84" i="80"/>
  <c r="E82" i="80"/>
  <c r="I80" i="80"/>
  <c r="J80" i="80" s="1"/>
  <c r="D80" i="80" s="1"/>
  <c r="D82" i="80" s="1"/>
  <c r="E80" i="80"/>
  <c r="I78" i="80"/>
  <c r="J78" i="80" s="1"/>
  <c r="D78" i="80" s="1"/>
  <c r="D93" i="80" s="1"/>
  <c r="E78" i="80"/>
  <c r="I76" i="80"/>
  <c r="J76" i="80" s="1"/>
  <c r="I73" i="80"/>
  <c r="J73" i="80" s="1"/>
  <c r="E73" i="80"/>
  <c r="I71" i="80"/>
  <c r="J71" i="80" s="1"/>
  <c r="E71" i="80"/>
  <c r="E69" i="80"/>
  <c r="I67" i="80"/>
  <c r="J67" i="80" s="1"/>
  <c r="E67" i="80"/>
  <c r="J62" i="80"/>
  <c r="D62" i="80" s="1"/>
  <c r="E62" i="80"/>
  <c r="H60" i="80"/>
  <c r="J60" i="80" s="1"/>
  <c r="D60" i="80" s="1"/>
  <c r="E60" i="80"/>
  <c r="E58" i="80"/>
  <c r="F58" i="80" s="1"/>
  <c r="E56" i="80"/>
  <c r="F56" i="80" s="1"/>
  <c r="J54" i="80"/>
  <c r="D54" i="80" s="1"/>
  <c r="J51" i="80"/>
  <c r="D51" i="80" s="1"/>
  <c r="E51" i="80"/>
  <c r="H50" i="80"/>
  <c r="J50" i="80" s="1"/>
  <c r="D50" i="80" s="1"/>
  <c r="E50" i="80"/>
  <c r="E48" i="80"/>
  <c r="F48" i="80" s="1"/>
  <c r="E46" i="80"/>
  <c r="F46" i="80" s="1"/>
  <c r="I43" i="80"/>
  <c r="H43" i="80"/>
  <c r="E43" i="80"/>
  <c r="J39" i="80"/>
  <c r="D39" i="80" s="1"/>
  <c r="E39" i="80"/>
  <c r="E37" i="80"/>
  <c r="F35" i="80"/>
  <c r="F28" i="80"/>
  <c r="H26" i="80"/>
  <c r="J26" i="80" s="1"/>
  <c r="J24" i="80"/>
  <c r="J23" i="80"/>
  <c r="J22" i="80"/>
  <c r="H20" i="80"/>
  <c r="J20" i="80" s="1"/>
  <c r="F20" i="80"/>
  <c r="F18" i="80"/>
  <c r="N17" i="80"/>
  <c r="J12" i="80"/>
  <c r="K6" i="80"/>
  <c r="F4" i="80"/>
  <c r="F6" i="80" s="1"/>
  <c r="H37" i="80" s="1"/>
  <c r="J37" i="80" s="1"/>
  <c r="D37" i="80" s="1"/>
  <c r="E17" i="40"/>
  <c r="F19" i="144"/>
  <c r="F18" i="144"/>
  <c r="F17" i="144"/>
  <c r="F13" i="144"/>
  <c r="F12" i="144"/>
  <c r="G8" i="144"/>
  <c r="E19" i="144" s="1"/>
  <c r="G178" i="66" l="1"/>
  <c r="H163" i="50"/>
  <c r="H161" i="50"/>
  <c r="J161" i="50" s="1"/>
  <c r="D161" i="50" s="1"/>
  <c r="F161" i="50" s="1"/>
  <c r="H132" i="51"/>
  <c r="J132" i="51" s="1"/>
  <c r="D132" i="51" s="1"/>
  <c r="F132" i="51" s="1"/>
  <c r="H133" i="112"/>
  <c r="J133" i="112" s="1"/>
  <c r="D133" i="112" s="1"/>
  <c r="J128" i="112"/>
  <c r="D128" i="112" s="1"/>
  <c r="F128" i="112" s="1"/>
  <c r="H128" i="112"/>
  <c r="H166" i="125"/>
  <c r="J166" i="125" s="1"/>
  <c r="D166" i="125" s="1"/>
  <c r="H66" i="112"/>
  <c r="J66" i="112" s="1"/>
  <c r="D66" i="112" s="1"/>
  <c r="F66" i="112" s="1"/>
  <c r="H93" i="112"/>
  <c r="J93" i="112" s="1"/>
  <c r="D93" i="112" s="1"/>
  <c r="D97" i="112" s="1"/>
  <c r="H92" i="112"/>
  <c r="J92" i="112" s="1"/>
  <c r="D92" i="112" s="1"/>
  <c r="H133" i="50"/>
  <c r="J133" i="50" s="1"/>
  <c r="D133" i="50" s="1"/>
  <c r="F133" i="50" s="1"/>
  <c r="H62" i="112"/>
  <c r="H64" i="112" s="1"/>
  <c r="J64" i="112" s="1"/>
  <c r="H11" i="112"/>
  <c r="H163" i="112" s="1"/>
  <c r="J163" i="112" s="1"/>
  <c r="D163" i="112" s="1"/>
  <c r="H140" i="112"/>
  <c r="J140" i="112" s="1"/>
  <c r="D140" i="112" s="1"/>
  <c r="F140" i="112" s="1"/>
  <c r="H70" i="112"/>
  <c r="H51" i="112"/>
  <c r="H71" i="112"/>
  <c r="H137" i="112"/>
  <c r="H132" i="112"/>
  <c r="H84" i="112"/>
  <c r="H72" i="112"/>
  <c r="H83" i="112"/>
  <c r="H45" i="112"/>
  <c r="E100" i="204"/>
  <c r="F100" i="204" s="1"/>
  <c r="E100" i="193"/>
  <c r="F100" i="193" s="1"/>
  <c r="E122" i="51"/>
  <c r="F122" i="51" s="1"/>
  <c r="E140" i="204"/>
  <c r="F140" i="204" s="1"/>
  <c r="E133" i="112"/>
  <c r="E140" i="193"/>
  <c r="F140" i="193" s="1"/>
  <c r="E149" i="204"/>
  <c r="F149" i="204" s="1"/>
  <c r="E149" i="193"/>
  <c r="F149" i="193" s="1"/>
  <c r="E138" i="204"/>
  <c r="F138" i="204" s="1"/>
  <c r="E138" i="193"/>
  <c r="F138" i="193" s="1"/>
  <c r="F193" i="101"/>
  <c r="E148" i="62"/>
  <c r="F148" i="62" s="1"/>
  <c r="E137" i="61"/>
  <c r="F137" i="61" s="1"/>
  <c r="E159" i="109"/>
  <c r="F159" i="109" s="1"/>
  <c r="E163" i="112"/>
  <c r="D159" i="112"/>
  <c r="F31" i="50"/>
  <c r="F30" i="51"/>
  <c r="G4" i="42"/>
  <c r="E10" i="42" s="1"/>
  <c r="G10" i="42" s="1"/>
  <c r="H148" i="125"/>
  <c r="H147" i="125"/>
  <c r="J147" i="125" s="1"/>
  <c r="D147" i="125" s="1"/>
  <c r="F198" i="125"/>
  <c r="F46" i="125"/>
  <c r="F154" i="125"/>
  <c r="F155" i="125"/>
  <c r="F153" i="125"/>
  <c r="J167" i="125"/>
  <c r="D167" i="125" s="1"/>
  <c r="F167" i="125" s="1"/>
  <c r="D152" i="91"/>
  <c r="F85" i="125"/>
  <c r="D191" i="125"/>
  <c r="B12" i="198"/>
  <c r="H124" i="62"/>
  <c r="H131" i="62" s="1"/>
  <c r="J131" i="62" s="1"/>
  <c r="D131" i="62" s="1"/>
  <c r="H134" i="109"/>
  <c r="J134" i="109" s="1"/>
  <c r="D134" i="109" s="1"/>
  <c r="H61" i="62"/>
  <c r="J61" i="62" s="1"/>
  <c r="D61" i="62" s="1"/>
  <c r="H66" i="62"/>
  <c r="H59" i="62"/>
  <c r="J59" i="62" s="1"/>
  <c r="D59" i="62" s="1"/>
  <c r="H43" i="62"/>
  <c r="J43" i="62" s="1"/>
  <c r="D43" i="62" s="1"/>
  <c r="F43" i="62" s="1"/>
  <c r="H104" i="62"/>
  <c r="H106" i="62" s="1"/>
  <c r="J106" i="62" s="1"/>
  <c r="D106" i="62" s="1"/>
  <c r="H65" i="62"/>
  <c r="H74" i="62" s="1"/>
  <c r="H63" i="62"/>
  <c r="J63" i="62" s="1"/>
  <c r="H78" i="62"/>
  <c r="J78" i="62" s="1"/>
  <c r="J122" i="62"/>
  <c r="D122" i="62" s="1"/>
  <c r="J14" i="109"/>
  <c r="E14" i="109" s="1"/>
  <c r="F14" i="109" s="1"/>
  <c r="G16" i="109"/>
  <c r="E16" i="109" s="1"/>
  <c r="H128" i="109"/>
  <c r="J128" i="109" s="1"/>
  <c r="D128" i="109" s="1"/>
  <c r="F9" i="109"/>
  <c r="H109" i="109"/>
  <c r="H111" i="109" s="1"/>
  <c r="F14" i="112"/>
  <c r="F209" i="94"/>
  <c r="E97" i="112"/>
  <c r="E97" i="109"/>
  <c r="F97" i="109" s="1"/>
  <c r="E117" i="189"/>
  <c r="F117" i="189" s="1"/>
  <c r="F119" i="189" s="1"/>
  <c r="F120" i="189" s="1"/>
  <c r="C11" i="194" s="1"/>
  <c r="E137" i="187"/>
  <c r="F137" i="187" s="1"/>
  <c r="E146" i="185"/>
  <c r="F146" i="185" s="1"/>
  <c r="L125" i="101"/>
  <c r="K93" i="66"/>
  <c r="E93" i="66" s="1"/>
  <c r="G5" i="108" s="1"/>
  <c r="E12" i="108" s="1"/>
  <c r="G12" i="108" s="1"/>
  <c r="G161" i="66"/>
  <c r="E129" i="187"/>
  <c r="F129" i="187" s="1"/>
  <c r="E136" i="185"/>
  <c r="F136" i="185" s="1"/>
  <c r="J55" i="125"/>
  <c r="D55" i="125" s="1"/>
  <c r="F117" i="109"/>
  <c r="F155" i="112"/>
  <c r="E85" i="61"/>
  <c r="E92" i="62"/>
  <c r="E94" i="187"/>
  <c r="F94" i="187" s="1"/>
  <c r="E98" i="185"/>
  <c r="F98" i="185" s="1"/>
  <c r="E105" i="91"/>
  <c r="F105" i="91" s="1"/>
  <c r="E120" i="125"/>
  <c r="F120" i="125" s="1"/>
  <c r="K104" i="61"/>
  <c r="G5" i="29"/>
  <c r="E16" i="29"/>
  <c r="G16" i="29" s="1"/>
  <c r="G6" i="82"/>
  <c r="E17" i="82" s="1"/>
  <c r="G17" i="82" s="1"/>
  <c r="F108" i="91"/>
  <c r="D111" i="91"/>
  <c r="F111" i="91" s="1"/>
  <c r="F109" i="91"/>
  <c r="D112" i="91"/>
  <c r="F112" i="91" s="1"/>
  <c r="G5" i="92"/>
  <c r="E12" i="92" s="1"/>
  <c r="G12" i="92" s="1"/>
  <c r="D117" i="125"/>
  <c r="G7" i="127" s="1"/>
  <c r="E16" i="127" s="1"/>
  <c r="G16" i="127" s="1"/>
  <c r="F112" i="125"/>
  <c r="F103" i="51"/>
  <c r="F125" i="112"/>
  <c r="K122" i="101"/>
  <c r="E122" i="101" s="1"/>
  <c r="J84" i="61"/>
  <c r="G8" i="115" s="1"/>
  <c r="E18" i="115" s="1"/>
  <c r="G18" i="115" s="1"/>
  <c r="K68" i="51"/>
  <c r="K109" i="101"/>
  <c r="E109" i="101" s="1"/>
  <c r="G5" i="102" s="1"/>
  <c r="E12" i="102" s="1"/>
  <c r="G12" i="102" s="1"/>
  <c r="L109" i="66"/>
  <c r="G216" i="101"/>
  <c r="J75" i="61"/>
  <c r="G4" i="115" s="1"/>
  <c r="E11" i="115" s="1"/>
  <c r="G11" i="115" s="1"/>
  <c r="E137" i="88"/>
  <c r="E136" i="169"/>
  <c r="F136" i="169" s="1"/>
  <c r="E134" i="109"/>
  <c r="E137" i="178"/>
  <c r="F137" i="178" s="1"/>
  <c r="E145" i="169"/>
  <c r="F145" i="169" s="1"/>
  <c r="E137" i="91"/>
  <c r="E129" i="178"/>
  <c r="F129" i="178" s="1"/>
  <c r="E94" i="178"/>
  <c r="F94" i="178" s="1"/>
  <c r="E98" i="169"/>
  <c r="F98" i="169" s="1"/>
  <c r="E98" i="88"/>
  <c r="E131" i="178"/>
  <c r="F131" i="178" s="1"/>
  <c r="H24" i="88"/>
  <c r="H47" i="88" s="1"/>
  <c r="G6" i="152"/>
  <c r="E17" i="152" s="1"/>
  <c r="G17" i="152" s="1"/>
  <c r="G4" i="152"/>
  <c r="E11" i="152" s="1"/>
  <c r="G11" i="152" s="1"/>
  <c r="H112" i="88"/>
  <c r="J112" i="88" s="1"/>
  <c r="D112" i="88" s="1"/>
  <c r="F112" i="88" s="1"/>
  <c r="H14" i="88"/>
  <c r="H92" i="88"/>
  <c r="J92" i="88" s="1"/>
  <c r="D92" i="88" s="1"/>
  <c r="H94" i="88"/>
  <c r="J94" i="88" s="1"/>
  <c r="D94" i="88" s="1"/>
  <c r="J14" i="88"/>
  <c r="H153" i="88"/>
  <c r="J153" i="88" s="1"/>
  <c r="D153" i="88" s="1"/>
  <c r="H93" i="88"/>
  <c r="J93" i="88" s="1"/>
  <c r="D93" i="88" s="1"/>
  <c r="H17" i="88"/>
  <c r="J17" i="88"/>
  <c r="D130" i="88"/>
  <c r="F130" i="88" s="1"/>
  <c r="J58" i="88"/>
  <c r="D58" i="88" s="1"/>
  <c r="F58" i="88" s="1"/>
  <c r="J62" i="88"/>
  <c r="D62" i="88" s="1"/>
  <c r="F62" i="88" s="1"/>
  <c r="H165" i="46"/>
  <c r="J165" i="46" s="1"/>
  <c r="D165" i="46" s="1"/>
  <c r="I97" i="101"/>
  <c r="I106" i="101" s="1"/>
  <c r="K106" i="101" s="1"/>
  <c r="E106" i="101" s="1"/>
  <c r="G106" i="101" s="1"/>
  <c r="G206" i="101"/>
  <c r="F17" i="94"/>
  <c r="H39" i="94" s="1"/>
  <c r="J39" i="94" s="1"/>
  <c r="D39" i="94" s="1"/>
  <c r="F39" i="94" s="1"/>
  <c r="F136" i="94"/>
  <c r="J91" i="62"/>
  <c r="K111" i="62"/>
  <c r="E167" i="91"/>
  <c r="F167" i="91" s="1"/>
  <c r="H100" i="94"/>
  <c r="J120" i="51"/>
  <c r="D120" i="51" s="1"/>
  <c r="F120" i="51" s="1"/>
  <c r="H62" i="109"/>
  <c r="I191" i="101"/>
  <c r="K191" i="101" s="1"/>
  <c r="E191" i="101" s="1"/>
  <c r="G191" i="101" s="1"/>
  <c r="G149" i="66"/>
  <c r="F177" i="51"/>
  <c r="I102" i="101"/>
  <c r="K102" i="101" s="1"/>
  <c r="E102" i="101" s="1"/>
  <c r="E104" i="101" s="1"/>
  <c r="G5" i="152"/>
  <c r="E12" i="152" s="1"/>
  <c r="G12" i="152" s="1"/>
  <c r="G66" i="66"/>
  <c r="J92" i="62"/>
  <c r="J63" i="61"/>
  <c r="D63" i="61" s="1"/>
  <c r="D65" i="61" s="1"/>
  <c r="F65" i="61" s="1"/>
  <c r="J67" i="61"/>
  <c r="D67" i="61" s="1"/>
  <c r="F67" i="61" s="1"/>
  <c r="E102" i="50"/>
  <c r="E181" i="50"/>
  <c r="E161" i="125"/>
  <c r="F161" i="125" s="1"/>
  <c r="J130" i="94"/>
  <c r="D130" i="94" s="1"/>
  <c r="F8" i="112"/>
  <c r="K172" i="101"/>
  <c r="E172" i="101" s="1"/>
  <c r="G172" i="101" s="1"/>
  <c r="F60" i="94"/>
  <c r="F195" i="94"/>
  <c r="F126" i="88"/>
  <c r="J90" i="62"/>
  <c r="H16" i="109"/>
  <c r="J16" i="109" s="1"/>
  <c r="J129" i="109"/>
  <c r="D129" i="109" s="1"/>
  <c r="H125" i="88"/>
  <c r="J125" i="88" s="1"/>
  <c r="D125" i="88" s="1"/>
  <c r="F125" i="88" s="1"/>
  <c r="J60" i="88"/>
  <c r="K116" i="109"/>
  <c r="K116" i="112"/>
  <c r="I161" i="101"/>
  <c r="K161" i="101" s="1"/>
  <c r="E161" i="101" s="1"/>
  <c r="F63" i="94"/>
  <c r="H70" i="62"/>
  <c r="J70" i="62" s="1"/>
  <c r="D70" i="62" s="1"/>
  <c r="D72" i="62" s="1"/>
  <c r="F72" i="62" s="1"/>
  <c r="G4" i="29"/>
  <c r="J76" i="61"/>
  <c r="G5" i="115" s="1"/>
  <c r="E12" i="115" s="1"/>
  <c r="G12" i="115" s="1"/>
  <c r="J83" i="61"/>
  <c r="G7" i="115" s="1"/>
  <c r="E16" i="115" s="1"/>
  <c r="G16" i="115" s="1"/>
  <c r="F129" i="61"/>
  <c r="F99" i="61"/>
  <c r="H123" i="51"/>
  <c r="J123" i="51" s="1"/>
  <c r="D123" i="51" s="1"/>
  <c r="F123" i="51" s="1"/>
  <c r="H47" i="112"/>
  <c r="J47" i="112" s="1"/>
  <c r="D47" i="112" s="1"/>
  <c r="F47" i="112" s="1"/>
  <c r="G54" i="101"/>
  <c r="I108" i="101"/>
  <c r="K108" i="101" s="1"/>
  <c r="E108" i="101" s="1"/>
  <c r="G4" i="102" s="1"/>
  <c r="E11" i="102" s="1"/>
  <c r="G11" i="102" s="1"/>
  <c r="G158" i="101"/>
  <c r="H53" i="94"/>
  <c r="H79" i="94" s="1"/>
  <c r="J79" i="94" s="1"/>
  <c r="D79" i="94" s="1"/>
  <c r="F79" i="94" s="1"/>
  <c r="F65" i="94"/>
  <c r="F70" i="94"/>
  <c r="H109" i="94"/>
  <c r="J109" i="94" s="1"/>
  <c r="D109" i="94" s="1"/>
  <c r="G4" i="95" s="1"/>
  <c r="E11" i="95" s="1"/>
  <c r="G11" i="95" s="1"/>
  <c r="F197" i="94"/>
  <c r="F118" i="88"/>
  <c r="F161" i="88"/>
  <c r="I73" i="66"/>
  <c r="K73" i="66" s="1"/>
  <c r="K79" i="66"/>
  <c r="E79" i="66" s="1"/>
  <c r="G110" i="66"/>
  <c r="G119" i="66"/>
  <c r="F120" i="62"/>
  <c r="F20" i="149"/>
  <c r="G20" i="149" s="1"/>
  <c r="J43" i="80"/>
  <c r="D43" i="80" s="1"/>
  <c r="F43" i="80" s="1"/>
  <c r="F154" i="112"/>
  <c r="G126" i="101"/>
  <c r="J110" i="94"/>
  <c r="D110" i="94" s="1"/>
  <c r="G5" i="95" s="1"/>
  <c r="E12" i="95" s="1"/>
  <c r="G12" i="95" s="1"/>
  <c r="J140" i="88"/>
  <c r="D140" i="88" s="1"/>
  <c r="K117" i="88"/>
  <c r="F159" i="88"/>
  <c r="F105" i="61"/>
  <c r="F130" i="61"/>
  <c r="J102" i="125"/>
  <c r="D102" i="125" s="1"/>
  <c r="G5" i="117"/>
  <c r="E12" i="117" s="1"/>
  <c r="G12" i="117" s="1"/>
  <c r="F159" i="112"/>
  <c r="F20" i="144"/>
  <c r="G18" i="92"/>
  <c r="F20" i="107"/>
  <c r="G4" i="117"/>
  <c r="E11" i="117" s="1"/>
  <c r="G11" i="117" s="1"/>
  <c r="G8" i="117"/>
  <c r="E18" i="117" s="1"/>
  <c r="G18" i="117" s="1"/>
  <c r="G8" i="123"/>
  <c r="E18" i="123" s="1"/>
  <c r="G18" i="123" s="1"/>
  <c r="E129" i="109"/>
  <c r="H100" i="80"/>
  <c r="J100" i="80" s="1"/>
  <c r="D100" i="80" s="1"/>
  <c r="F100" i="80" s="1"/>
  <c r="F173" i="80"/>
  <c r="F54" i="80"/>
  <c r="F39" i="80"/>
  <c r="F22" i="80"/>
  <c r="E26" i="80" s="1"/>
  <c r="F26" i="80" s="1"/>
  <c r="K107" i="80"/>
  <c r="H116" i="80"/>
  <c r="J116" i="80" s="1"/>
  <c r="D116" i="80" s="1"/>
  <c r="H165" i="47"/>
  <c r="J165" i="47" s="1"/>
  <c r="D165" i="47" s="1"/>
  <c r="F165" i="47" s="1"/>
  <c r="E117" i="61"/>
  <c r="E151" i="94"/>
  <c r="F151" i="94" s="1"/>
  <c r="F63" i="47"/>
  <c r="F179" i="47"/>
  <c r="J38" i="46"/>
  <c r="D38" i="46" s="1"/>
  <c r="J42" i="46"/>
  <c r="D42" i="46" s="1"/>
  <c r="H95" i="46"/>
  <c r="J95" i="46" s="1"/>
  <c r="D95" i="46" s="1"/>
  <c r="H43" i="46"/>
  <c r="J43" i="46" s="1"/>
  <c r="F43" i="46" s="1"/>
  <c r="J41" i="46"/>
  <c r="G4" i="46"/>
  <c r="J40" i="46"/>
  <c r="F40" i="46" s="1"/>
  <c r="F63" i="46"/>
  <c r="F103" i="46"/>
  <c r="F179" i="46"/>
  <c r="H44" i="80"/>
  <c r="J44" i="80" s="1"/>
  <c r="J42" i="80"/>
  <c r="D42" i="80" s="1"/>
  <c r="F42" i="80" s="1"/>
  <c r="D94" i="80"/>
  <c r="F94" i="80" s="1"/>
  <c r="F93" i="80"/>
  <c r="K65" i="46"/>
  <c r="D78" i="46"/>
  <c r="F78" i="46" s="1"/>
  <c r="G7" i="117"/>
  <c r="E16" i="117" s="1"/>
  <c r="G16" i="117" s="1"/>
  <c r="G6" i="117"/>
  <c r="E17" i="117" s="1"/>
  <c r="G17" i="117" s="1"/>
  <c r="H115" i="80"/>
  <c r="J115" i="80" s="1"/>
  <c r="D115" i="80" s="1"/>
  <c r="F115" i="80" s="1"/>
  <c r="D73" i="80"/>
  <c r="D151" i="46"/>
  <c r="D149" i="51"/>
  <c r="F149" i="51" s="1"/>
  <c r="D150" i="51"/>
  <c r="F150" i="51" s="1"/>
  <c r="D127" i="109"/>
  <c r="D67" i="80"/>
  <c r="D69" i="80" s="1"/>
  <c r="F69" i="80" s="1"/>
  <c r="J68" i="80"/>
  <c r="K71" i="80" s="1"/>
  <c r="D71" i="80" s="1"/>
  <c r="F71" i="80" s="1"/>
  <c r="J123" i="46"/>
  <c r="D123" i="46" s="1"/>
  <c r="H135" i="46"/>
  <c r="J135" i="46" s="1"/>
  <c r="D135" i="46" s="1"/>
  <c r="D156" i="46"/>
  <c r="H124" i="109"/>
  <c r="J124" i="109" s="1"/>
  <c r="D124" i="109" s="1"/>
  <c r="J123" i="109"/>
  <c r="D123" i="109" s="1"/>
  <c r="D55" i="109"/>
  <c r="F36" i="46"/>
  <c r="F12" i="51"/>
  <c r="F147" i="51"/>
  <c r="J137" i="112"/>
  <c r="D137" i="112" s="1"/>
  <c r="H95" i="112"/>
  <c r="J84" i="112"/>
  <c r="G148" i="101"/>
  <c r="J41" i="80"/>
  <c r="D41" i="80" s="1"/>
  <c r="F41" i="80" s="1"/>
  <c r="F44" i="80"/>
  <c r="F60" i="80"/>
  <c r="F62" i="80"/>
  <c r="F153" i="80"/>
  <c r="F49" i="46"/>
  <c r="F72" i="51"/>
  <c r="F77" i="51"/>
  <c r="F79" i="51"/>
  <c r="F81" i="51"/>
  <c r="F85" i="51"/>
  <c r="F86" i="51"/>
  <c r="F88" i="51"/>
  <c r="F89" i="51"/>
  <c r="F90" i="51"/>
  <c r="F20" i="147"/>
  <c r="F49" i="109"/>
  <c r="F51" i="109"/>
  <c r="F57" i="109"/>
  <c r="H66" i="109"/>
  <c r="J66" i="109" s="1"/>
  <c r="H95" i="109"/>
  <c r="D139" i="109"/>
  <c r="F155" i="109"/>
  <c r="G144" i="101"/>
  <c r="F154" i="46"/>
  <c r="H44" i="51"/>
  <c r="H163" i="51"/>
  <c r="J163" i="51" s="1"/>
  <c r="D163" i="51" s="1"/>
  <c r="J87" i="109"/>
  <c r="G4" i="110" s="1"/>
  <c r="E11" i="110" s="1"/>
  <c r="G11" i="110" s="1"/>
  <c r="H21" i="112"/>
  <c r="J21" i="112" s="1"/>
  <c r="J45" i="112"/>
  <c r="D45" i="112" s="1"/>
  <c r="F45" i="112" s="1"/>
  <c r="F152" i="112"/>
  <c r="F78" i="80"/>
  <c r="F80" i="80"/>
  <c r="F82" i="80"/>
  <c r="F108" i="80"/>
  <c r="F116" i="80"/>
  <c r="F117" i="80"/>
  <c r="J125" i="80"/>
  <c r="D125" i="80" s="1"/>
  <c r="F152" i="80"/>
  <c r="F69" i="46"/>
  <c r="F74" i="46"/>
  <c r="F76" i="46"/>
  <c r="F82" i="46"/>
  <c r="F83" i="46"/>
  <c r="F85" i="46"/>
  <c r="F86" i="46"/>
  <c r="F87" i="46"/>
  <c r="F97" i="46"/>
  <c r="F150" i="46"/>
  <c r="F39" i="51"/>
  <c r="F41" i="51"/>
  <c r="F43" i="51"/>
  <c r="F45" i="51"/>
  <c r="H95" i="51"/>
  <c r="F148" i="51"/>
  <c r="H148" i="109"/>
  <c r="J148" i="109" s="1"/>
  <c r="D148" i="109" s="1"/>
  <c r="H150" i="109"/>
  <c r="J150" i="109" s="1"/>
  <c r="F57" i="112"/>
  <c r="I167" i="101"/>
  <c r="K167" i="101" s="1"/>
  <c r="E167" i="101" s="1"/>
  <c r="I93" i="101"/>
  <c r="I91" i="101"/>
  <c r="K91" i="101" s="1"/>
  <c r="E91" i="101" s="1"/>
  <c r="G91" i="101" s="1"/>
  <c r="I81" i="101"/>
  <c r="K81" i="101" s="1"/>
  <c r="E81" i="101" s="1"/>
  <c r="G81" i="101" s="1"/>
  <c r="I26" i="101"/>
  <c r="I55" i="101"/>
  <c r="K55" i="101" s="1"/>
  <c r="E55" i="101" s="1"/>
  <c r="I73" i="101"/>
  <c r="K73" i="101" s="1"/>
  <c r="E73" i="101" s="1"/>
  <c r="G73" i="101" s="1"/>
  <c r="K64" i="101"/>
  <c r="E64" i="101" s="1"/>
  <c r="G64" i="101" s="1"/>
  <c r="F165" i="46"/>
  <c r="F158" i="80"/>
  <c r="F38" i="46"/>
  <c r="F161" i="46"/>
  <c r="F154" i="51"/>
  <c r="H68" i="112"/>
  <c r="J68" i="112" s="1"/>
  <c r="D68" i="112" s="1"/>
  <c r="F68" i="112" s="1"/>
  <c r="J132" i="112"/>
  <c r="D132" i="112" s="1"/>
  <c r="H13" i="80"/>
  <c r="J13" i="80" s="1"/>
  <c r="F50" i="80"/>
  <c r="F51" i="80"/>
  <c r="F84" i="80"/>
  <c r="F86" i="80"/>
  <c r="F87" i="80"/>
  <c r="F89" i="80"/>
  <c r="F90" i="80"/>
  <c r="F91" i="80"/>
  <c r="H127" i="80"/>
  <c r="H142" i="80"/>
  <c r="J142" i="80" s="1"/>
  <c r="F156" i="80"/>
  <c r="F163" i="80"/>
  <c r="F41" i="46"/>
  <c r="E97" i="50"/>
  <c r="F52" i="51"/>
  <c r="F66" i="51"/>
  <c r="F73" i="51" s="1"/>
  <c r="F152" i="51"/>
  <c r="F159" i="51"/>
  <c r="H75" i="109"/>
  <c r="J75" i="109" s="1"/>
  <c r="D75" i="109" s="1"/>
  <c r="D77" i="109" s="1"/>
  <c r="F77" i="109" s="1"/>
  <c r="H88" i="109"/>
  <c r="J88" i="109" s="1"/>
  <c r="G5" i="110" s="1"/>
  <c r="E12" i="110" s="1"/>
  <c r="G12" i="110" s="1"/>
  <c r="H54" i="112"/>
  <c r="J54" i="112" s="1"/>
  <c r="D54" i="112" s="1"/>
  <c r="F54" i="112" s="1"/>
  <c r="H75" i="112"/>
  <c r="J75" i="112" s="1"/>
  <c r="D75" i="112" s="1"/>
  <c r="D77" i="112" s="1"/>
  <c r="F77" i="112" s="1"/>
  <c r="J83" i="112"/>
  <c r="D83" i="112" s="1"/>
  <c r="F129" i="112"/>
  <c r="H181" i="94"/>
  <c r="J181" i="94" s="1"/>
  <c r="D181" i="94" s="1"/>
  <c r="D182" i="94" s="1"/>
  <c r="F182" i="94" s="1"/>
  <c r="H103" i="94"/>
  <c r="J103" i="94" s="1"/>
  <c r="D103" i="94" s="1"/>
  <c r="D105" i="94" s="1"/>
  <c r="H168" i="94"/>
  <c r="J168" i="94" s="1"/>
  <c r="D168" i="94" s="1"/>
  <c r="F168" i="94" s="1"/>
  <c r="H166" i="94"/>
  <c r="J166" i="94" s="1"/>
  <c r="D166" i="94" s="1"/>
  <c r="F166" i="94" s="1"/>
  <c r="H54" i="94"/>
  <c r="J54" i="94" s="1"/>
  <c r="D54" i="94" s="1"/>
  <c r="H112" i="94"/>
  <c r="H88" i="94"/>
  <c r="J88" i="94" s="1"/>
  <c r="D88" i="94" s="1"/>
  <c r="F88" i="94" s="1"/>
  <c r="H80" i="94"/>
  <c r="J80" i="94" s="1"/>
  <c r="D80" i="94" s="1"/>
  <c r="F80" i="94" s="1"/>
  <c r="H92" i="94"/>
  <c r="H86" i="94"/>
  <c r="H51" i="94"/>
  <c r="E51" i="94" s="1"/>
  <c r="F51" i="94" s="1"/>
  <c r="H90" i="94"/>
  <c r="J90" i="94" s="1"/>
  <c r="D90" i="94" s="1"/>
  <c r="F90" i="94" s="1"/>
  <c r="H113" i="94"/>
  <c r="J113" i="94" s="1"/>
  <c r="D113" i="94" s="1"/>
  <c r="G6" i="95" s="1"/>
  <c r="E17" i="95" s="1"/>
  <c r="G17" i="95" s="1"/>
  <c r="I98" i="101"/>
  <c r="E68" i="101"/>
  <c r="G68" i="101" s="1"/>
  <c r="I134" i="101"/>
  <c r="K134" i="101" s="1"/>
  <c r="E134" i="101" s="1"/>
  <c r="G134" i="101" s="1"/>
  <c r="I133" i="101"/>
  <c r="K133" i="101" s="1"/>
  <c r="E133" i="101" s="1"/>
  <c r="G146" i="101"/>
  <c r="G149" i="101"/>
  <c r="G154" i="101"/>
  <c r="J56" i="88"/>
  <c r="D56" i="88" s="1"/>
  <c r="F56" i="88" s="1"/>
  <c r="I118" i="66"/>
  <c r="K118" i="66" s="1"/>
  <c r="E118" i="66" s="1"/>
  <c r="G118" i="66" s="1"/>
  <c r="K61" i="66"/>
  <c r="I77" i="66"/>
  <c r="K77" i="66" s="1"/>
  <c r="F117" i="112"/>
  <c r="F157" i="112"/>
  <c r="I150" i="101"/>
  <c r="K150" i="101" s="1"/>
  <c r="E150" i="101" s="1"/>
  <c r="G150" i="101" s="1"/>
  <c r="I170" i="101"/>
  <c r="K170" i="101" s="1"/>
  <c r="E170" i="101" s="1"/>
  <c r="G170" i="101" s="1"/>
  <c r="I196" i="101"/>
  <c r="K196" i="101" s="1"/>
  <c r="E196" i="101" s="1"/>
  <c r="G196" i="101" s="1"/>
  <c r="I193" i="101"/>
  <c r="K193" i="101" s="1"/>
  <c r="E193" i="101" s="1"/>
  <c r="I168" i="101"/>
  <c r="K168" i="101" s="1"/>
  <c r="E168" i="101" s="1"/>
  <c r="G168" i="101" s="1"/>
  <c r="I89" i="101"/>
  <c r="K89" i="101" s="1"/>
  <c r="E89" i="101" s="1"/>
  <c r="G89" i="101" s="1"/>
  <c r="I87" i="101"/>
  <c r="G102" i="101"/>
  <c r="G104" i="101"/>
  <c r="G122" i="101"/>
  <c r="E124" i="101"/>
  <c r="G124" i="101" s="1"/>
  <c r="G145" i="101"/>
  <c r="G151" i="101"/>
  <c r="I186" i="101"/>
  <c r="K186" i="101" s="1"/>
  <c r="E186" i="101" s="1"/>
  <c r="E187" i="101" s="1"/>
  <c r="G187" i="101" s="1"/>
  <c r="G17" i="102"/>
  <c r="J53" i="94"/>
  <c r="D53" i="94" s="1"/>
  <c r="F53" i="94" s="1"/>
  <c r="H135" i="94"/>
  <c r="J135" i="94" s="1"/>
  <c r="D135" i="94" s="1"/>
  <c r="F135" i="94" s="1"/>
  <c r="H134" i="94"/>
  <c r="J134" i="94" s="1"/>
  <c r="D134" i="94" s="1"/>
  <c r="F134" i="94" s="1"/>
  <c r="D67" i="94"/>
  <c r="F67" i="94" s="1"/>
  <c r="F146" i="94"/>
  <c r="F149" i="94"/>
  <c r="G11" i="123"/>
  <c r="G143" i="101"/>
  <c r="G147" i="101"/>
  <c r="G155" i="101"/>
  <c r="G204" i="101"/>
  <c r="F161" i="94"/>
  <c r="J135" i="88"/>
  <c r="D135" i="88" s="1"/>
  <c r="F135" i="88" s="1"/>
  <c r="G12" i="123"/>
  <c r="G17" i="123"/>
  <c r="G66" i="101"/>
  <c r="I80" i="101"/>
  <c r="K80" i="101" s="1"/>
  <c r="E80" i="101" s="1"/>
  <c r="G80" i="101" s="1"/>
  <c r="I111" i="101"/>
  <c r="G112" i="101"/>
  <c r="I118" i="101"/>
  <c r="G129" i="101"/>
  <c r="G131" i="101"/>
  <c r="G165" i="101"/>
  <c r="H125" i="94"/>
  <c r="J125" i="94" s="1"/>
  <c r="H123" i="94"/>
  <c r="J123" i="94" s="1"/>
  <c r="D123" i="94" s="1"/>
  <c r="F123" i="94" s="1"/>
  <c r="H191" i="94"/>
  <c r="J191" i="94" s="1"/>
  <c r="D191" i="94" s="1"/>
  <c r="H132" i="94"/>
  <c r="J132" i="94" s="1"/>
  <c r="D132" i="94" s="1"/>
  <c r="D127" i="94" s="1"/>
  <c r="F127" i="94" s="1"/>
  <c r="F183" i="94"/>
  <c r="H186" i="94"/>
  <c r="J186" i="94" s="1"/>
  <c r="D186" i="94" s="1"/>
  <c r="D189" i="94" s="1"/>
  <c r="F189" i="94" s="1"/>
  <c r="I52" i="101"/>
  <c r="F52" i="101" s="1"/>
  <c r="G52" i="101" s="1"/>
  <c r="G69" i="101"/>
  <c r="G71" i="101"/>
  <c r="G83" i="101"/>
  <c r="G133" i="101"/>
  <c r="G135" i="101"/>
  <c r="G167" i="101"/>
  <c r="G173" i="101"/>
  <c r="G174" i="101"/>
  <c r="G175" i="101"/>
  <c r="G188" i="101"/>
  <c r="G201" i="101"/>
  <c r="G202" i="101"/>
  <c r="H25" i="94"/>
  <c r="F68" i="94"/>
  <c r="H119" i="94"/>
  <c r="F145" i="94"/>
  <c r="F150" i="94"/>
  <c r="F194" i="94"/>
  <c r="F82" i="94"/>
  <c r="H99" i="94"/>
  <c r="F147" i="94"/>
  <c r="F164" i="94"/>
  <c r="G5" i="89"/>
  <c r="E12" i="89" s="1"/>
  <c r="G12" i="89" s="1"/>
  <c r="F134" i="88"/>
  <c r="F56" i="94"/>
  <c r="H98" i="94"/>
  <c r="F105" i="94"/>
  <c r="F144" i="94"/>
  <c r="F148" i="94"/>
  <c r="F110" i="88"/>
  <c r="F131" i="88"/>
  <c r="I86" i="66"/>
  <c r="K86" i="66" s="1"/>
  <c r="E86" i="66" s="1"/>
  <c r="E88" i="66" s="1"/>
  <c r="G88" i="66" s="1"/>
  <c r="G13" i="66"/>
  <c r="G8" i="66"/>
  <c r="I127" i="66" s="1"/>
  <c r="I84" i="66"/>
  <c r="K84" i="66" s="1"/>
  <c r="E84" i="66" s="1"/>
  <c r="G84" i="66" s="1"/>
  <c r="G6" i="89"/>
  <c r="E17" i="89" s="1"/>
  <c r="G17" i="89" s="1"/>
  <c r="F132" i="88"/>
  <c r="I147" i="66"/>
  <c r="K147" i="66" s="1"/>
  <c r="E147" i="66" s="1"/>
  <c r="G147" i="66" s="1"/>
  <c r="I131" i="66"/>
  <c r="K131" i="66" s="1"/>
  <c r="E131" i="66" s="1"/>
  <c r="G131" i="66" s="1"/>
  <c r="I157" i="66"/>
  <c r="K157" i="66" s="1"/>
  <c r="E157" i="66" s="1"/>
  <c r="E158" i="66" s="1"/>
  <c r="G158" i="66" s="1"/>
  <c r="G93" i="66"/>
  <c r="I95" i="66"/>
  <c r="K96" i="66"/>
  <c r="E96" i="66" s="1"/>
  <c r="G6" i="108" s="1"/>
  <c r="E17" i="108" s="1"/>
  <c r="G17" i="108" s="1"/>
  <c r="I141" i="66"/>
  <c r="K141" i="66" s="1"/>
  <c r="E141" i="66" s="1"/>
  <c r="F130" i="94"/>
  <c r="F170" i="94"/>
  <c r="F64" i="88"/>
  <c r="H69" i="88"/>
  <c r="G62" i="66"/>
  <c r="I82" i="66"/>
  <c r="I92" i="66"/>
  <c r="K92" i="66" s="1"/>
  <c r="E92" i="66" s="1"/>
  <c r="G4" i="108" s="1"/>
  <c r="E11" i="108" s="1"/>
  <c r="G11" i="108" s="1"/>
  <c r="G152" i="66"/>
  <c r="G30" i="66"/>
  <c r="G31" i="66"/>
  <c r="G32" i="66"/>
  <c r="G135" i="66"/>
  <c r="G151" i="66"/>
  <c r="G168" i="66"/>
  <c r="F47" i="62"/>
  <c r="F52" i="62"/>
  <c r="H79" i="62"/>
  <c r="J79" i="62" s="1"/>
  <c r="G128" i="66"/>
  <c r="G129" i="66"/>
  <c r="G130" i="66"/>
  <c r="H133" i="62"/>
  <c r="J133" i="62" s="1"/>
  <c r="D133" i="62" s="1"/>
  <c r="F133" i="62" s="1"/>
  <c r="J126" i="62"/>
  <c r="D126" i="62" s="1"/>
  <c r="H48" i="62"/>
  <c r="H119" i="62"/>
  <c r="J119" i="62" s="1"/>
  <c r="D119" i="62" s="1"/>
  <c r="J118" i="62"/>
  <c r="D118" i="62" s="1"/>
  <c r="G145" i="66"/>
  <c r="G163" i="66"/>
  <c r="F11" i="62"/>
  <c r="D49" i="62" s="1"/>
  <c r="D54" i="62"/>
  <c r="F112" i="62"/>
  <c r="J146" i="62"/>
  <c r="D146" i="62" s="1"/>
  <c r="F146" i="62" s="1"/>
  <c r="G6" i="42"/>
  <c r="E200" i="125"/>
  <c r="H112" i="61"/>
  <c r="J112" i="61" s="1"/>
  <c r="D112" i="61" s="1"/>
  <c r="F112" i="61" s="1"/>
  <c r="H111" i="61"/>
  <c r="J111" i="61" s="1"/>
  <c r="D111" i="61" s="1"/>
  <c r="F111" i="61" s="1"/>
  <c r="F138" i="62"/>
  <c r="F139" i="62"/>
  <c r="J122" i="61"/>
  <c r="D122" i="61" s="1"/>
  <c r="F122" i="61" s="1"/>
  <c r="D114" i="61"/>
  <c r="F144" i="62"/>
  <c r="D47" i="61"/>
  <c r="L55" i="61"/>
  <c r="J85" i="61"/>
  <c r="F42" i="61"/>
  <c r="F52" i="61"/>
  <c r="F54" i="61"/>
  <c r="F56" i="61"/>
  <c r="H61" i="61"/>
  <c r="J61" i="61" s="1"/>
  <c r="D61" i="61" s="1"/>
  <c r="F61" i="61" s="1"/>
  <c r="F97" i="61"/>
  <c r="F135" i="61"/>
  <c r="H25" i="61"/>
  <c r="J25" i="61" s="1"/>
  <c r="F25" i="61" s="1"/>
  <c r="H38" i="61"/>
  <c r="H40" i="61"/>
  <c r="F3" i="91"/>
  <c r="F104" i="91"/>
  <c r="G4" i="121"/>
  <c r="E11" i="121" s="1"/>
  <c r="G11" i="121" s="1"/>
  <c r="G8" i="121"/>
  <c r="E18" i="121" s="1"/>
  <c r="G18" i="121" s="1"/>
  <c r="G6" i="121"/>
  <c r="E17" i="121" s="1"/>
  <c r="G17" i="121" s="1"/>
  <c r="G5" i="121"/>
  <c r="E12" i="121" s="1"/>
  <c r="G12" i="121" s="1"/>
  <c r="J114" i="125"/>
  <c r="H53" i="125"/>
  <c r="J53" i="125" s="1"/>
  <c r="D200" i="125"/>
  <c r="J109" i="125"/>
  <c r="G5" i="127" s="1"/>
  <c r="E12" i="127" s="1"/>
  <c r="G12" i="127" s="1"/>
  <c r="J108" i="125"/>
  <c r="G4" i="127" s="1"/>
  <c r="E11" i="127" s="1"/>
  <c r="G11" i="127" s="1"/>
  <c r="J48" i="125"/>
  <c r="D48" i="125" s="1"/>
  <c r="J132" i="125"/>
  <c r="D132" i="125" s="1"/>
  <c r="F149" i="125"/>
  <c r="J33" i="125"/>
  <c r="J74" i="125"/>
  <c r="D74" i="125" s="1"/>
  <c r="J96" i="125"/>
  <c r="J113" i="125"/>
  <c r="J148" i="125"/>
  <c r="D148" i="125" s="1"/>
  <c r="D62" i="125"/>
  <c r="K139" i="125"/>
  <c r="F138" i="125"/>
  <c r="F134" i="125"/>
  <c r="D159" i="125"/>
  <c r="F136" i="125"/>
  <c r="F151" i="125"/>
  <c r="F156" i="125"/>
  <c r="F190" i="125"/>
  <c r="F196" i="125"/>
  <c r="H35" i="125"/>
  <c r="J35" i="125" s="1"/>
  <c r="F77" i="125"/>
  <c r="F143" i="125"/>
  <c r="F145" i="125"/>
  <c r="F193" i="125"/>
  <c r="F194" i="125"/>
  <c r="F51" i="125"/>
  <c r="F58" i="125"/>
  <c r="F60" i="125"/>
  <c r="F63" i="125"/>
  <c r="F65" i="125"/>
  <c r="F140" i="125"/>
  <c r="F157" i="125"/>
  <c r="F186" i="125"/>
  <c r="F185" i="125"/>
  <c r="F187" i="125"/>
  <c r="F87" i="125"/>
  <c r="F89" i="125"/>
  <c r="F83" i="125"/>
  <c r="F79" i="125"/>
  <c r="F81" i="125"/>
  <c r="F75" i="125"/>
  <c r="F98" i="125"/>
  <c r="F100" i="125"/>
  <c r="G7" i="121"/>
  <c r="E16" i="121" s="1"/>
  <c r="G16" i="121" s="1"/>
  <c r="G6" i="129"/>
  <c r="E17" i="129" s="1"/>
  <c r="G17" i="129" s="1"/>
  <c r="G8" i="129"/>
  <c r="E18" i="129" s="1"/>
  <c r="G18" i="129" s="1"/>
  <c r="G4" i="129"/>
  <c r="E11" i="129" s="1"/>
  <c r="G11" i="129" s="1"/>
  <c r="G5" i="129"/>
  <c r="E12" i="129" s="1"/>
  <c r="G12" i="129" s="1"/>
  <c r="G7" i="129"/>
  <c r="E16" i="129" s="1"/>
  <c r="G16" i="129" s="1"/>
  <c r="G19" i="144"/>
  <c r="F37" i="80"/>
  <c r="H181" i="50"/>
  <c r="J181" i="50" s="1"/>
  <c r="D181" i="50" s="1"/>
  <c r="H65" i="50"/>
  <c r="J65" i="50" s="1"/>
  <c r="D65" i="50" s="1"/>
  <c r="D67" i="50" s="1"/>
  <c r="F67" i="50" s="1"/>
  <c r="J102" i="50"/>
  <c r="D101" i="50" s="1"/>
  <c r="G8" i="147" s="1"/>
  <c r="E19" i="147" s="1"/>
  <c r="G19" i="147" s="1"/>
  <c r="J60" i="50"/>
  <c r="D60" i="50" s="1"/>
  <c r="F60" i="50" s="1"/>
  <c r="F195" i="50"/>
  <c r="F7" i="50"/>
  <c r="H90" i="50"/>
  <c r="J90" i="50" s="1"/>
  <c r="D90" i="50" s="1"/>
  <c r="D87" i="50" s="1"/>
  <c r="F87" i="50" s="1"/>
  <c r="H91" i="50"/>
  <c r="J91" i="50" s="1"/>
  <c r="D91" i="50" s="1"/>
  <c r="D88" i="50" s="1"/>
  <c r="F88" i="50" s="1"/>
  <c r="H99" i="50"/>
  <c r="J99" i="50" s="1"/>
  <c r="D99" i="50" s="1"/>
  <c r="D94" i="50" s="1"/>
  <c r="F94" i="50" s="1"/>
  <c r="H151" i="50"/>
  <c r="J151" i="50" s="1"/>
  <c r="D151" i="50" s="1"/>
  <c r="F151" i="50" s="1"/>
  <c r="D102" i="50"/>
  <c r="F168" i="50"/>
  <c r="F42" i="50"/>
  <c r="H77" i="50"/>
  <c r="F115" i="50"/>
  <c r="F13" i="50"/>
  <c r="H40" i="50"/>
  <c r="J40" i="50" s="1"/>
  <c r="D40" i="50" s="1"/>
  <c r="F40" i="50" s="1"/>
  <c r="H45" i="50"/>
  <c r="J45" i="50" s="1"/>
  <c r="F45" i="50" s="1"/>
  <c r="H47" i="50"/>
  <c r="J47" i="50" s="1"/>
  <c r="F47" i="50" s="1"/>
  <c r="H78" i="50"/>
  <c r="J78" i="50" s="1"/>
  <c r="D78" i="50" s="1"/>
  <c r="F78" i="50" s="1"/>
  <c r="F162" i="50"/>
  <c r="F135" i="50"/>
  <c r="F44" i="50"/>
  <c r="F46" i="50"/>
  <c r="J163" i="50"/>
  <c r="D163" i="50" s="1"/>
  <c r="F163" i="50" s="1"/>
  <c r="F166" i="50"/>
  <c r="F173" i="50"/>
  <c r="F53" i="50"/>
  <c r="H80" i="50"/>
  <c r="J80" i="50" s="1"/>
  <c r="D80" i="50" s="1"/>
  <c r="D82" i="50" s="1"/>
  <c r="F82" i="50" s="1"/>
  <c r="F132" i="50"/>
  <c r="H136" i="50"/>
  <c r="J136" i="50" s="1"/>
  <c r="D136" i="50" s="1"/>
  <c r="F136" i="50" s="1"/>
  <c r="F183" i="50"/>
  <c r="H134" i="47"/>
  <c r="J134" i="47" s="1"/>
  <c r="D134" i="47" s="1"/>
  <c r="J125" i="47"/>
  <c r="D125" i="47" s="1"/>
  <c r="K65" i="47"/>
  <c r="D78" i="47"/>
  <c r="F78" i="47" s="1"/>
  <c r="D156" i="47"/>
  <c r="F5" i="47"/>
  <c r="F103" i="47"/>
  <c r="J121" i="47"/>
  <c r="D121" i="47" s="1"/>
  <c r="F69" i="47"/>
  <c r="F154" i="47"/>
  <c r="F161" i="47"/>
  <c r="H95" i="47"/>
  <c r="H97" i="47" s="1"/>
  <c r="F151" i="47"/>
  <c r="F6" i="47"/>
  <c r="F74" i="47"/>
  <c r="F76" i="47"/>
  <c r="F82" i="47"/>
  <c r="F83" i="47"/>
  <c r="F85" i="47"/>
  <c r="F86" i="47"/>
  <c r="F87" i="47"/>
  <c r="F163" i="51"/>
  <c r="F177" i="50"/>
  <c r="F169" i="125"/>
  <c r="F124" i="61"/>
  <c r="E131" i="51"/>
  <c r="F137" i="51"/>
  <c r="F121" i="46"/>
  <c r="F135" i="47"/>
  <c r="F138" i="47"/>
  <c r="G7" i="152"/>
  <c r="E16" i="152" s="1"/>
  <c r="G16" i="152" s="1"/>
  <c r="G8" i="152"/>
  <c r="E18" i="152" s="1"/>
  <c r="G18" i="152" s="1"/>
  <c r="F146" i="80"/>
  <c r="F153" i="50"/>
  <c r="F145" i="47"/>
  <c r="F141" i="51"/>
  <c r="E162" i="125"/>
  <c r="F162" i="125" s="1"/>
  <c r="F171" i="125"/>
  <c r="F135" i="51"/>
  <c r="F124" i="47"/>
  <c r="E132" i="112"/>
  <c r="E154" i="94"/>
  <c r="F154" i="94" s="1"/>
  <c r="G11" i="92"/>
  <c r="G16" i="92"/>
  <c r="F139" i="51"/>
  <c r="F144" i="47"/>
  <c r="F137" i="109"/>
  <c r="F130" i="80"/>
  <c r="F140" i="80"/>
  <c r="F142" i="47"/>
  <c r="F149" i="50"/>
  <c r="F141" i="66"/>
  <c r="E146" i="88"/>
  <c r="E144" i="91"/>
  <c r="E160" i="94"/>
  <c r="F160" i="94" s="1"/>
  <c r="E136" i="80"/>
  <c r="E134" i="46"/>
  <c r="F134" i="46" s="1"/>
  <c r="F140" i="46"/>
  <c r="E137" i="112"/>
  <c r="F134" i="66"/>
  <c r="G134" i="66" s="1"/>
  <c r="F197" i="101"/>
  <c r="G197" i="101" s="1"/>
  <c r="E190" i="94"/>
  <c r="F190" i="94" s="1"/>
  <c r="F138" i="46"/>
  <c r="F145" i="46"/>
  <c r="E134" i="47"/>
  <c r="F155" i="50"/>
  <c r="F142" i="51"/>
  <c r="F161" i="101"/>
  <c r="G161" i="101" s="1"/>
  <c r="E54" i="94"/>
  <c r="E116" i="61"/>
  <c r="E191" i="94"/>
  <c r="F191" i="94" s="1"/>
  <c r="F198" i="101"/>
  <c r="G198" i="101" s="1"/>
  <c r="E175" i="94"/>
  <c r="F175" i="94" s="1"/>
  <c r="F180" i="101"/>
  <c r="G180" i="101" s="1"/>
  <c r="F144" i="80"/>
  <c r="F156" i="50"/>
  <c r="E130" i="62"/>
  <c r="F137" i="80"/>
  <c r="F147" i="80"/>
  <c r="F122" i="46"/>
  <c r="E145" i="50"/>
  <c r="F142" i="112"/>
  <c r="G142" i="112" s="1"/>
  <c r="E159" i="125"/>
  <c r="E166" i="125"/>
  <c r="F173" i="125"/>
  <c r="E121" i="61"/>
  <c r="F121" i="61" s="1"/>
  <c r="F142" i="88"/>
  <c r="F144" i="46"/>
  <c r="F142" i="46"/>
  <c r="F152" i="47"/>
  <c r="F150" i="112"/>
  <c r="F175" i="125"/>
  <c r="F125" i="91"/>
  <c r="H138" i="91"/>
  <c r="H147" i="91" s="1"/>
  <c r="H152" i="91"/>
  <c r="J152" i="91" s="1"/>
  <c r="F159" i="91"/>
  <c r="F26" i="91"/>
  <c r="F57" i="91"/>
  <c r="F163" i="91"/>
  <c r="D70" i="91"/>
  <c r="D72" i="91" s="1"/>
  <c r="J74" i="91" s="1"/>
  <c r="K74" i="91" s="1"/>
  <c r="D74" i="91" s="1"/>
  <c r="F140" i="91"/>
  <c r="D131" i="91"/>
  <c r="F131" i="91" s="1"/>
  <c r="D54" i="91"/>
  <c r="F54" i="91" s="1"/>
  <c r="F103" i="91"/>
  <c r="D76" i="91"/>
  <c r="F132" i="91"/>
  <c r="F85" i="91"/>
  <c r="F61" i="91"/>
  <c r="F63" i="91"/>
  <c r="F87" i="91"/>
  <c r="F93" i="91"/>
  <c r="F56" i="91"/>
  <c r="F65" i="91"/>
  <c r="F102" i="91"/>
  <c r="F133" i="91"/>
  <c r="F83" i="91"/>
  <c r="F94" i="91"/>
  <c r="F152" i="46"/>
  <c r="G6" i="107"/>
  <c r="E18" i="107" s="1"/>
  <c r="G18" i="107" s="1"/>
  <c r="E20" i="107"/>
  <c r="G9" i="107"/>
  <c r="E49" i="125"/>
  <c r="F49" i="125" s="1"/>
  <c r="F55" i="101"/>
  <c r="G4" i="144"/>
  <c r="F36" i="101"/>
  <c r="E35" i="94"/>
  <c r="H58" i="94" l="1"/>
  <c r="G55" i="101"/>
  <c r="H131" i="50"/>
  <c r="D100" i="112"/>
  <c r="D87" i="112"/>
  <c r="F87" i="112" s="1"/>
  <c r="F83" i="112"/>
  <c r="D84" i="112"/>
  <c r="J127" i="112"/>
  <c r="D127" i="112" s="1"/>
  <c r="F127" i="112" s="1"/>
  <c r="G129" i="112" s="1"/>
  <c r="H127" i="112"/>
  <c r="H147" i="88"/>
  <c r="F166" i="125"/>
  <c r="J95" i="51"/>
  <c r="D95" i="51" s="1"/>
  <c r="F95" i="51" s="1"/>
  <c r="H97" i="51"/>
  <c r="J97" i="51" s="1"/>
  <c r="D97" i="51" s="1"/>
  <c r="F97" i="51" s="1"/>
  <c r="F163" i="112"/>
  <c r="H109" i="112"/>
  <c r="G111" i="112" s="1"/>
  <c r="J111" i="112" s="1"/>
  <c r="D96" i="112"/>
  <c r="F92" i="112"/>
  <c r="H73" i="112"/>
  <c r="H79" i="112"/>
  <c r="H131" i="51"/>
  <c r="J131" i="51" s="1"/>
  <c r="D131" i="51" s="1"/>
  <c r="F131" i="51" s="1"/>
  <c r="G193" i="101"/>
  <c r="H145" i="50"/>
  <c r="J145" i="50" s="1"/>
  <c r="D145" i="50" s="1"/>
  <c r="F145" i="50" s="1"/>
  <c r="F133" i="112"/>
  <c r="E141" i="204"/>
  <c r="F141" i="204" s="1"/>
  <c r="E141" i="193"/>
  <c r="F141" i="193" s="1"/>
  <c r="F149" i="62"/>
  <c r="E96" i="193"/>
  <c r="F96" i="193" s="1"/>
  <c r="F108" i="193" s="1"/>
  <c r="E96" i="204"/>
  <c r="F96" i="204" s="1"/>
  <c r="F108" i="204" s="1"/>
  <c r="F61" i="50"/>
  <c r="F137" i="91"/>
  <c r="F138" i="61"/>
  <c r="F143" i="51"/>
  <c r="F114" i="61"/>
  <c r="G114" i="61" s="1"/>
  <c r="F60" i="51"/>
  <c r="F91" i="51"/>
  <c r="F168" i="51"/>
  <c r="F62" i="125"/>
  <c r="F55" i="125"/>
  <c r="F147" i="125"/>
  <c r="F148" i="125"/>
  <c r="F102" i="125"/>
  <c r="F191" i="125"/>
  <c r="F132" i="125"/>
  <c r="F74" i="125"/>
  <c r="F48" i="125"/>
  <c r="G7" i="123"/>
  <c r="E16" i="123" s="1"/>
  <c r="G16" i="123" s="1"/>
  <c r="G19" i="123" s="1"/>
  <c r="D150" i="109"/>
  <c r="F150" i="109" s="1"/>
  <c r="F128" i="109"/>
  <c r="F139" i="109"/>
  <c r="G139" i="109" s="1"/>
  <c r="F123" i="109"/>
  <c r="F124" i="109"/>
  <c r="G122" i="61"/>
  <c r="F116" i="61"/>
  <c r="F117" i="61"/>
  <c r="F85" i="61"/>
  <c r="F49" i="62"/>
  <c r="F126" i="62"/>
  <c r="G126" i="62" s="1"/>
  <c r="G6" i="64"/>
  <c r="E17" i="64" s="1"/>
  <c r="G17" i="64" s="1"/>
  <c r="F122" i="62"/>
  <c r="F106" i="62"/>
  <c r="F118" i="62"/>
  <c r="F119" i="62"/>
  <c r="G7" i="64"/>
  <c r="E16" i="64" s="1"/>
  <c r="G16" i="64" s="1"/>
  <c r="F59" i="62"/>
  <c r="G8" i="64"/>
  <c r="E18" i="64" s="1"/>
  <c r="G18" i="64" s="1"/>
  <c r="F131" i="62"/>
  <c r="J109" i="109"/>
  <c r="D109" i="109" s="1"/>
  <c r="J104" i="62"/>
  <c r="D104" i="62" s="1"/>
  <c r="J62" i="109"/>
  <c r="F62" i="109" s="1"/>
  <c r="H64" i="109"/>
  <c r="J64" i="109" s="1"/>
  <c r="F64" i="109" s="1"/>
  <c r="F127" i="109"/>
  <c r="H135" i="109"/>
  <c r="J135" i="109" s="1"/>
  <c r="D135" i="109" s="1"/>
  <c r="F134" i="109"/>
  <c r="D78" i="62"/>
  <c r="H68" i="62"/>
  <c r="J68" i="62" s="1"/>
  <c r="D68" i="62" s="1"/>
  <c r="F68" i="62" s="1"/>
  <c r="J74" i="62"/>
  <c r="D74" i="62" s="1"/>
  <c r="F74" i="62" s="1"/>
  <c r="D79" i="62"/>
  <c r="F92" i="62"/>
  <c r="G4" i="114"/>
  <c r="E11" i="114" s="1"/>
  <c r="G11" i="114" s="1"/>
  <c r="F16" i="109"/>
  <c r="F17" i="109" s="1"/>
  <c r="D96" i="125"/>
  <c r="I162" i="101"/>
  <c r="K162" i="101" s="1"/>
  <c r="E162" i="101" s="1"/>
  <c r="G162" i="101" s="1"/>
  <c r="F103" i="94"/>
  <c r="E93" i="109"/>
  <c r="F93" i="109" s="1"/>
  <c r="E93" i="112"/>
  <c r="F93" i="112" s="1"/>
  <c r="F132" i="112"/>
  <c r="G133" i="112" s="1"/>
  <c r="E138" i="185"/>
  <c r="F138" i="185" s="1"/>
  <c r="E81" i="61"/>
  <c r="F81" i="61" s="1"/>
  <c r="E88" i="62"/>
  <c r="F88" i="62" s="1"/>
  <c r="F186" i="94"/>
  <c r="F55" i="109"/>
  <c r="E133" i="178"/>
  <c r="F133" i="178" s="1"/>
  <c r="E133" i="187"/>
  <c r="F133" i="187" s="1"/>
  <c r="H107" i="50"/>
  <c r="H49" i="112"/>
  <c r="H50" i="112" s="1"/>
  <c r="E132" i="178"/>
  <c r="F132" i="178" s="1"/>
  <c r="E132" i="187"/>
  <c r="F132" i="187" s="1"/>
  <c r="C11" i="188"/>
  <c r="C13" i="188" s="1"/>
  <c r="C14" i="188" s="1"/>
  <c r="F121" i="189"/>
  <c r="H7" i="189"/>
  <c r="G6" i="115"/>
  <c r="E17" i="115" s="1"/>
  <c r="G17" i="115" s="1"/>
  <c r="G19" i="115" s="1"/>
  <c r="F63" i="61"/>
  <c r="F84" i="61"/>
  <c r="G13" i="115"/>
  <c r="E11" i="29"/>
  <c r="G11" i="29" s="1"/>
  <c r="F70" i="62"/>
  <c r="F90" i="62"/>
  <c r="E90" i="187"/>
  <c r="F90" i="187" s="1"/>
  <c r="F102" i="187" s="1"/>
  <c r="E94" i="185"/>
  <c r="F94" i="185" s="1"/>
  <c r="F106" i="185" s="1"/>
  <c r="E100" i="91"/>
  <c r="F100" i="91" s="1"/>
  <c r="E115" i="125"/>
  <c r="F115" i="125" s="1"/>
  <c r="D113" i="125"/>
  <c r="D114" i="125"/>
  <c r="G13" i="102"/>
  <c r="J66" i="50"/>
  <c r="G108" i="101"/>
  <c r="F42" i="46"/>
  <c r="F91" i="62"/>
  <c r="H102" i="80"/>
  <c r="J102" i="80" s="1"/>
  <c r="D102" i="80" s="1"/>
  <c r="F148" i="109"/>
  <c r="F47" i="61"/>
  <c r="F181" i="94"/>
  <c r="G109" i="101"/>
  <c r="F95" i="46"/>
  <c r="E139" i="88"/>
  <c r="F139" i="88" s="1"/>
  <c r="E138" i="169"/>
  <c r="F138" i="169" s="1"/>
  <c r="E138" i="88"/>
  <c r="F138" i="88" s="1"/>
  <c r="E137" i="169"/>
  <c r="F137" i="169" s="1"/>
  <c r="E90" i="178"/>
  <c r="F90" i="178" s="1"/>
  <c r="F102" i="178" s="1"/>
  <c r="E94" i="169"/>
  <c r="F94" i="169" s="1"/>
  <c r="F106" i="169" s="1"/>
  <c r="E94" i="88"/>
  <c r="F94" i="88" s="1"/>
  <c r="H18" i="88"/>
  <c r="H19" i="88" s="1"/>
  <c r="H85" i="88" s="1"/>
  <c r="J85" i="88" s="1"/>
  <c r="H78" i="88" s="1"/>
  <c r="H82" i="88" s="1"/>
  <c r="J18" i="88"/>
  <c r="J19" i="88" s="1"/>
  <c r="H86" i="88" s="1"/>
  <c r="J86" i="88" s="1"/>
  <c r="D86" i="88" s="1"/>
  <c r="F86" i="88" s="1"/>
  <c r="D98" i="88"/>
  <c r="F98" i="88" s="1"/>
  <c r="D96" i="88"/>
  <c r="F96" i="88" s="1"/>
  <c r="F92" i="88"/>
  <c r="D97" i="88"/>
  <c r="F97" i="88" s="1"/>
  <c r="F93" i="88"/>
  <c r="H49" i="88"/>
  <c r="J49" i="88" s="1"/>
  <c r="D49" i="88" s="1"/>
  <c r="F49" i="88" s="1"/>
  <c r="J47" i="88"/>
  <c r="H53" i="88"/>
  <c r="J53" i="88" s="1"/>
  <c r="D53" i="88" s="1"/>
  <c r="F53" i="88" s="1"/>
  <c r="H51" i="88"/>
  <c r="J137" i="88"/>
  <c r="D137" i="88" s="1"/>
  <c r="F137" i="88" s="1"/>
  <c r="J147" i="88"/>
  <c r="D147" i="88" s="1"/>
  <c r="F147" i="88" s="1"/>
  <c r="G5" i="82"/>
  <c r="E12" i="82" s="1"/>
  <c r="G12" i="82" s="1"/>
  <c r="F110" i="94"/>
  <c r="F83" i="61"/>
  <c r="I100" i="101"/>
  <c r="K100" i="101" s="1"/>
  <c r="E100" i="101" s="1"/>
  <c r="G100" i="101" s="1"/>
  <c r="G92" i="66"/>
  <c r="I104" i="66"/>
  <c r="K104" i="66" s="1"/>
  <c r="E104" i="66" s="1"/>
  <c r="G104" i="66" s="1"/>
  <c r="F181" i="50"/>
  <c r="F186" i="50" s="1"/>
  <c r="F102" i="50"/>
  <c r="F129" i="109"/>
  <c r="G79" i="66"/>
  <c r="E180" i="125"/>
  <c r="F180" i="125" s="1"/>
  <c r="F76" i="91"/>
  <c r="F76" i="61"/>
  <c r="F75" i="61"/>
  <c r="E10" i="29"/>
  <c r="G10" i="29" s="1"/>
  <c r="G157" i="66"/>
  <c r="G169" i="66" s="1"/>
  <c r="G96" i="66"/>
  <c r="G4" i="89"/>
  <c r="E11" i="89" s="1"/>
  <c r="G11" i="89" s="1"/>
  <c r="G13" i="89" s="1"/>
  <c r="F132" i="94"/>
  <c r="F109" i="94"/>
  <c r="L128" i="88"/>
  <c r="J127" i="80"/>
  <c r="D127" i="80" s="1"/>
  <c r="F127" i="80" s="1"/>
  <c r="H136" i="80"/>
  <c r="J136" i="80" s="1"/>
  <c r="D136" i="80" s="1"/>
  <c r="F136" i="80" s="1"/>
  <c r="E18" i="149"/>
  <c r="G18" i="149" s="1"/>
  <c r="H96" i="112"/>
  <c r="J96" i="112" s="1"/>
  <c r="H56" i="112"/>
  <c r="H124" i="88"/>
  <c r="J124" i="88" s="1"/>
  <c r="D124" i="88" s="1"/>
  <c r="F124" i="88" s="1"/>
  <c r="D60" i="88"/>
  <c r="F54" i="62"/>
  <c r="H147" i="112"/>
  <c r="J147" i="112" s="1"/>
  <c r="D147" i="112" s="1"/>
  <c r="F66" i="109"/>
  <c r="H111" i="112"/>
  <c r="J51" i="112"/>
  <c r="D51" i="112" s="1"/>
  <c r="F51" i="112" s="1"/>
  <c r="F54" i="94"/>
  <c r="G141" i="66"/>
  <c r="F113" i="94"/>
  <c r="D142" i="80"/>
  <c r="F142" i="80" s="1"/>
  <c r="F87" i="109"/>
  <c r="I32" i="112"/>
  <c r="K32" i="112" s="1"/>
  <c r="F32" i="112" s="1"/>
  <c r="H54" i="125"/>
  <c r="H56" i="125" s="1"/>
  <c r="J56" i="125" s="1"/>
  <c r="F108" i="125"/>
  <c r="G20" i="107"/>
  <c r="G13" i="92"/>
  <c r="G13" i="117"/>
  <c r="F63" i="80"/>
  <c r="F125" i="80"/>
  <c r="G13" i="123"/>
  <c r="E12" i="144"/>
  <c r="G12" i="144" s="1"/>
  <c r="F123" i="46"/>
  <c r="F57" i="61"/>
  <c r="G9" i="144"/>
  <c r="E20" i="144" s="1"/>
  <c r="F67" i="80"/>
  <c r="F73" i="80"/>
  <c r="F164" i="80"/>
  <c r="F96" i="80"/>
  <c r="F29" i="80"/>
  <c r="F135" i="46"/>
  <c r="F137" i="112"/>
  <c r="D157" i="109"/>
  <c r="F200" i="125"/>
  <c r="F70" i="47"/>
  <c r="F91" i="46"/>
  <c r="F151" i="46"/>
  <c r="F70" i="46"/>
  <c r="G13" i="108"/>
  <c r="G13" i="95"/>
  <c r="G19" i="117"/>
  <c r="E17" i="42"/>
  <c r="G17" i="42" s="1"/>
  <c r="G5" i="42"/>
  <c r="E11" i="42"/>
  <c r="G11" i="42" s="1"/>
  <c r="G12" i="42" s="1"/>
  <c r="E16" i="42"/>
  <c r="G16" i="42" s="1"/>
  <c r="K127" i="66"/>
  <c r="E127" i="66" s="1"/>
  <c r="G127" i="66" s="1"/>
  <c r="I142" i="66"/>
  <c r="K142" i="66" s="1"/>
  <c r="E142" i="66" s="1"/>
  <c r="G142" i="66" s="1"/>
  <c r="J48" i="62"/>
  <c r="F48" i="62" s="1"/>
  <c r="H50" i="62"/>
  <c r="J50" i="62" s="1"/>
  <c r="F50" i="62" s="1"/>
  <c r="I85" i="101"/>
  <c r="K85" i="101" s="1"/>
  <c r="E85" i="101" s="1"/>
  <c r="G85" i="101" s="1"/>
  <c r="K87" i="101"/>
  <c r="J86" i="94"/>
  <c r="H84" i="94"/>
  <c r="J84" i="94" s="1"/>
  <c r="D84" i="94" s="1"/>
  <c r="F84" i="94" s="1"/>
  <c r="J112" i="94"/>
  <c r="D112" i="94" s="1"/>
  <c r="H114" i="94"/>
  <c r="J114" i="94" s="1"/>
  <c r="D114" i="94" s="1"/>
  <c r="J79" i="112"/>
  <c r="J73" i="112"/>
  <c r="D73" i="112" s="1"/>
  <c r="F73" i="112" s="1"/>
  <c r="J44" i="51"/>
  <c r="F44" i="51" s="1"/>
  <c r="H46" i="51"/>
  <c r="J46" i="51" s="1"/>
  <c r="F46" i="51" s="1"/>
  <c r="H97" i="112"/>
  <c r="J97" i="112" s="1"/>
  <c r="J95" i="112"/>
  <c r="H100" i="50"/>
  <c r="J100" i="50" s="1"/>
  <c r="D100" i="50" s="1"/>
  <c r="F100" i="50" s="1"/>
  <c r="G7" i="42"/>
  <c r="E15" i="42"/>
  <c r="G15" i="42" s="1"/>
  <c r="K82" i="66"/>
  <c r="I90" i="66"/>
  <c r="K90" i="66" s="1"/>
  <c r="E90" i="66" s="1"/>
  <c r="G90" i="66" s="1"/>
  <c r="J69" i="88"/>
  <c r="I48" i="66"/>
  <c r="K48" i="66" s="1"/>
  <c r="E48" i="66" s="1"/>
  <c r="G48" i="66" s="1"/>
  <c r="I52" i="66"/>
  <c r="I34" i="66"/>
  <c r="K34" i="66" s="1"/>
  <c r="E34" i="66" s="1"/>
  <c r="G34" i="66" s="1"/>
  <c r="I29" i="66"/>
  <c r="K29" i="66" s="1"/>
  <c r="E29" i="66" s="1"/>
  <c r="G29" i="66" s="1"/>
  <c r="I20" i="66"/>
  <c r="K20" i="66" s="1"/>
  <c r="E20" i="66" s="1"/>
  <c r="G20" i="66" s="1"/>
  <c r="G21" i="66" s="1"/>
  <c r="I54" i="66"/>
  <c r="K54" i="66" s="1"/>
  <c r="E54" i="66" s="1"/>
  <c r="G54" i="66" s="1"/>
  <c r="I120" i="101"/>
  <c r="K120" i="101" s="1"/>
  <c r="E120" i="101" s="1"/>
  <c r="G120" i="101" s="1"/>
  <c r="K118" i="101"/>
  <c r="E118" i="101" s="1"/>
  <c r="G118" i="101" s="1"/>
  <c r="F153" i="88"/>
  <c r="F164" i="88" s="1"/>
  <c r="H94" i="94"/>
  <c r="J94" i="94" s="1"/>
  <c r="D94" i="94" s="1"/>
  <c r="F94" i="94" s="1"/>
  <c r="J92" i="94"/>
  <c r="D92" i="94" s="1"/>
  <c r="F92" i="94" s="1"/>
  <c r="I95" i="101"/>
  <c r="K95" i="101" s="1"/>
  <c r="E95" i="101" s="1"/>
  <c r="G95" i="101" s="1"/>
  <c r="K93" i="101"/>
  <c r="E93" i="101" s="1"/>
  <c r="G93" i="101" s="1"/>
  <c r="F75" i="112"/>
  <c r="G13" i="110"/>
  <c r="H144" i="109"/>
  <c r="J144" i="109" s="1"/>
  <c r="D144" i="109" s="1"/>
  <c r="H68" i="109"/>
  <c r="J68" i="109" s="1"/>
  <c r="D68" i="109" s="1"/>
  <c r="F68" i="109" s="1"/>
  <c r="H96" i="109"/>
  <c r="J96" i="109" s="1"/>
  <c r="H40" i="109"/>
  <c r="J40" i="109" s="1"/>
  <c r="H27" i="109"/>
  <c r="J27" i="109" s="1"/>
  <c r="F27" i="109" s="1"/>
  <c r="H42" i="109"/>
  <c r="J42" i="109" s="1"/>
  <c r="D42" i="109" s="1"/>
  <c r="J111" i="109"/>
  <c r="D111" i="109" s="1"/>
  <c r="H44" i="109"/>
  <c r="H41" i="61"/>
  <c r="J40" i="61"/>
  <c r="F40" i="61" s="1"/>
  <c r="D63" i="62"/>
  <c r="F61" i="62"/>
  <c r="L60" i="62"/>
  <c r="I97" i="66"/>
  <c r="K97" i="66" s="1"/>
  <c r="E97" i="66" s="1"/>
  <c r="K95" i="66"/>
  <c r="E95" i="66" s="1"/>
  <c r="H101" i="94"/>
  <c r="J101" i="94" s="1"/>
  <c r="D101" i="94" s="1"/>
  <c r="F101" i="94" s="1"/>
  <c r="H107" i="94"/>
  <c r="J107" i="94" s="1"/>
  <c r="D107" i="94" s="1"/>
  <c r="F107" i="94" s="1"/>
  <c r="I102" i="66"/>
  <c r="K102" i="66" s="1"/>
  <c r="E102" i="66" s="1"/>
  <c r="G102" i="66" s="1"/>
  <c r="J119" i="94"/>
  <c r="D119" i="94" s="1"/>
  <c r="F119" i="94" s="1"/>
  <c r="H121" i="94"/>
  <c r="J121" i="94" s="1"/>
  <c r="D121" i="94" s="1"/>
  <c r="F121" i="94" s="1"/>
  <c r="H34" i="94"/>
  <c r="J34" i="94" s="1"/>
  <c r="D34" i="94" s="1"/>
  <c r="F34" i="94" s="1"/>
  <c r="H37" i="94"/>
  <c r="J37" i="94" s="1"/>
  <c r="D37" i="94" s="1"/>
  <c r="F37" i="94" s="1"/>
  <c r="H35" i="94"/>
  <c r="J35" i="94" s="1"/>
  <c r="D35" i="94" s="1"/>
  <c r="F35" i="94" s="1"/>
  <c r="H36" i="94"/>
  <c r="J36" i="94" s="1"/>
  <c r="D36" i="94" s="1"/>
  <c r="F36" i="94" s="1"/>
  <c r="J25" i="94"/>
  <c r="D25" i="94" s="1"/>
  <c r="F25" i="94" s="1"/>
  <c r="F26" i="94" s="1"/>
  <c r="K126" i="94"/>
  <c r="D125" i="94"/>
  <c r="F125" i="94" s="1"/>
  <c r="K74" i="66"/>
  <c r="L77" i="66" s="1"/>
  <c r="E77" i="66" s="1"/>
  <c r="G77" i="66" s="1"/>
  <c r="E73" i="66"/>
  <c r="G186" i="101"/>
  <c r="G207" i="101" s="1"/>
  <c r="F88" i="109"/>
  <c r="I40" i="101"/>
  <c r="K40" i="101" s="1"/>
  <c r="E40" i="101" s="1"/>
  <c r="G40" i="101" s="1"/>
  <c r="I38" i="101"/>
  <c r="K38" i="101" s="1"/>
  <c r="E38" i="101" s="1"/>
  <c r="G38" i="101" s="1"/>
  <c r="I37" i="101"/>
  <c r="K37" i="101" s="1"/>
  <c r="E37" i="101" s="1"/>
  <c r="G37" i="101" s="1"/>
  <c r="K26" i="101"/>
  <c r="E26" i="101" s="1"/>
  <c r="G26" i="101" s="1"/>
  <c r="G27" i="101" s="1"/>
  <c r="I35" i="101"/>
  <c r="I57" i="101"/>
  <c r="K57" i="101" s="1"/>
  <c r="E57" i="101" s="1"/>
  <c r="G57" i="101" s="1"/>
  <c r="I61" i="101"/>
  <c r="K61" i="101" s="1"/>
  <c r="E61" i="101" s="1"/>
  <c r="G61" i="101" s="1"/>
  <c r="I59" i="101"/>
  <c r="F75" i="109"/>
  <c r="J95" i="109"/>
  <c r="J45" i="61"/>
  <c r="D45" i="61" s="1"/>
  <c r="J38" i="61"/>
  <c r="D38" i="61" s="1"/>
  <c r="F38" i="61" s="1"/>
  <c r="G6" i="29"/>
  <c r="E17" i="29"/>
  <c r="G17" i="29" s="1"/>
  <c r="J130" i="62"/>
  <c r="D130" i="62" s="1"/>
  <c r="J124" i="62"/>
  <c r="D124" i="62" s="1"/>
  <c r="H59" i="94"/>
  <c r="J58" i="94"/>
  <c r="D58" i="94" s="1"/>
  <c r="F58" i="94" s="1"/>
  <c r="G86" i="66"/>
  <c r="I113" i="101"/>
  <c r="K113" i="101" s="1"/>
  <c r="E113" i="101" s="1"/>
  <c r="K111" i="101"/>
  <c r="E111" i="101" s="1"/>
  <c r="I117" i="66"/>
  <c r="K117" i="66" s="1"/>
  <c r="E117" i="66" s="1"/>
  <c r="G117" i="66" s="1"/>
  <c r="E61" i="66"/>
  <c r="D64" i="112"/>
  <c r="F64" i="112" s="1"/>
  <c r="J62" i="112"/>
  <c r="D62" i="112" s="1"/>
  <c r="J79" i="109"/>
  <c r="D79" i="109" s="1"/>
  <c r="J73" i="109"/>
  <c r="F156" i="46"/>
  <c r="F121" i="47"/>
  <c r="F70" i="91"/>
  <c r="D34" i="91"/>
  <c r="F32" i="91"/>
  <c r="G19" i="121"/>
  <c r="G13" i="121"/>
  <c r="F159" i="125"/>
  <c r="G13" i="127"/>
  <c r="F109" i="125"/>
  <c r="F117" i="125"/>
  <c r="F91" i="47"/>
  <c r="F125" i="47"/>
  <c r="F134" i="47"/>
  <c r="G8" i="107"/>
  <c r="E19" i="107" s="1"/>
  <c r="G19" i="107" s="1"/>
  <c r="G6" i="144"/>
  <c r="E18" i="144" s="1"/>
  <c r="G18" i="144" s="1"/>
  <c r="G19" i="129"/>
  <c r="G13" i="129"/>
  <c r="G5" i="147"/>
  <c r="E13" i="147" s="1"/>
  <c r="G13" i="147" s="1"/>
  <c r="F91" i="50"/>
  <c r="G4" i="147"/>
  <c r="E12" i="147" s="1"/>
  <c r="G12" i="147" s="1"/>
  <c r="F90" i="50"/>
  <c r="H69" i="50"/>
  <c r="J69" i="50" s="1"/>
  <c r="D69" i="50" s="1"/>
  <c r="F69" i="50" s="1"/>
  <c r="G7" i="147"/>
  <c r="E17" i="147" s="1"/>
  <c r="G17" i="147" s="1"/>
  <c r="F99" i="50"/>
  <c r="F65" i="50"/>
  <c r="F80" i="50"/>
  <c r="J131" i="50"/>
  <c r="D131" i="50" s="1"/>
  <c r="J77" i="50"/>
  <c r="H84" i="50"/>
  <c r="J84" i="50" s="1"/>
  <c r="D84" i="50" s="1"/>
  <c r="F84" i="50" s="1"/>
  <c r="D97" i="50"/>
  <c r="F97" i="50" s="1"/>
  <c r="G9" i="147"/>
  <c r="E20" i="147" s="1"/>
  <c r="G20" i="147" s="1"/>
  <c r="F101" i="50"/>
  <c r="G6" i="147"/>
  <c r="E18" i="147" s="1"/>
  <c r="G18" i="147" s="1"/>
  <c r="F156" i="47"/>
  <c r="F170" i="47" s="1"/>
  <c r="J95" i="47"/>
  <c r="D95" i="47" s="1"/>
  <c r="J97" i="47"/>
  <c r="D97" i="47" s="1"/>
  <c r="H40" i="47"/>
  <c r="H38" i="47"/>
  <c r="J38" i="47" s="1"/>
  <c r="D38" i="47" s="1"/>
  <c r="H36" i="47"/>
  <c r="J36" i="47" s="1"/>
  <c r="D36" i="47" s="1"/>
  <c r="H49" i="47"/>
  <c r="J49" i="47" s="1"/>
  <c r="D49" i="47" s="1"/>
  <c r="H56" i="47"/>
  <c r="J56" i="47" s="1"/>
  <c r="D56" i="47" s="1"/>
  <c r="H11" i="47"/>
  <c r="J11" i="47" s="1"/>
  <c r="H140" i="47"/>
  <c r="J140" i="47" s="1"/>
  <c r="D140" i="47" s="1"/>
  <c r="G13" i="152"/>
  <c r="G19" i="152"/>
  <c r="G6" i="92"/>
  <c r="E17" i="92" s="1"/>
  <c r="G17" i="92" s="1"/>
  <c r="G19" i="92" s="1"/>
  <c r="F72" i="91"/>
  <c r="J135" i="91"/>
  <c r="D135" i="91" s="1"/>
  <c r="J138" i="91"/>
  <c r="D138" i="91" s="1"/>
  <c r="H144" i="91" s="1"/>
  <c r="J144" i="91" s="1"/>
  <c r="D144" i="91" s="1"/>
  <c r="J147" i="91"/>
  <c r="D147" i="91" s="1"/>
  <c r="F147" i="91" s="1"/>
  <c r="H117" i="91"/>
  <c r="F74" i="91"/>
  <c r="F152" i="91"/>
  <c r="F153" i="91"/>
  <c r="G6" i="149"/>
  <c r="E17" i="149"/>
  <c r="G17" i="149" s="1"/>
  <c r="G5" i="107"/>
  <c r="E13" i="107" s="1"/>
  <c r="G13" i="107" s="1"/>
  <c r="G7" i="144"/>
  <c r="E17" i="144" s="1"/>
  <c r="G17" i="144" s="1"/>
  <c r="D111" i="112" l="1"/>
  <c r="F111" i="112" s="1"/>
  <c r="D79" i="112"/>
  <c r="F79" i="112" s="1"/>
  <c r="J109" i="112"/>
  <c r="D109" i="112" s="1"/>
  <c r="F109" i="112" s="1"/>
  <c r="J107" i="50"/>
  <c r="D107" i="50" s="1"/>
  <c r="F107" i="50" s="1"/>
  <c r="H109" i="50"/>
  <c r="J109" i="50" s="1"/>
  <c r="D109" i="50" s="1"/>
  <c r="F109" i="50" s="1"/>
  <c r="D88" i="112"/>
  <c r="D101" i="112"/>
  <c r="F84" i="112"/>
  <c r="D103" i="112"/>
  <c r="F103" i="112" s="1"/>
  <c r="F100" i="112"/>
  <c r="J56" i="112"/>
  <c r="H123" i="112"/>
  <c r="H138" i="112"/>
  <c r="J138" i="112" s="1"/>
  <c r="D138" i="112" s="1"/>
  <c r="F138" i="112" s="1"/>
  <c r="H146" i="88"/>
  <c r="J146" i="88" s="1"/>
  <c r="D146" i="88" s="1"/>
  <c r="F146" i="88" s="1"/>
  <c r="F200" i="94"/>
  <c r="E96" i="94"/>
  <c r="F96" i="94" s="1"/>
  <c r="E91" i="125"/>
  <c r="F91" i="125" s="1"/>
  <c r="F92" i="125" s="1"/>
  <c r="F103" i="50"/>
  <c r="F125" i="61"/>
  <c r="E142" i="204"/>
  <c r="F142" i="204" s="1"/>
  <c r="E142" i="193"/>
  <c r="F142" i="193" s="1"/>
  <c r="E148" i="185"/>
  <c r="F148" i="185" s="1"/>
  <c r="E151" i="204"/>
  <c r="F151" i="204" s="1"/>
  <c r="E151" i="193"/>
  <c r="F151" i="193" s="1"/>
  <c r="F152" i="193" s="1"/>
  <c r="F169" i="193" s="1"/>
  <c r="F74" i="50"/>
  <c r="F131" i="50"/>
  <c r="H146" i="50"/>
  <c r="J146" i="50" s="1"/>
  <c r="D146" i="50" s="1"/>
  <c r="F146" i="50" s="1"/>
  <c r="H145" i="91"/>
  <c r="J145" i="91" s="1"/>
  <c r="D145" i="91" s="1"/>
  <c r="F69" i="109"/>
  <c r="F201" i="125"/>
  <c r="F70" i="125"/>
  <c r="F34" i="91"/>
  <c r="F138" i="91"/>
  <c r="F144" i="91"/>
  <c r="F181" i="125"/>
  <c r="F96" i="125"/>
  <c r="F62" i="112"/>
  <c r="F69" i="112" s="1"/>
  <c r="F157" i="109"/>
  <c r="F109" i="109"/>
  <c r="F135" i="109"/>
  <c r="F111" i="109"/>
  <c r="G138" i="112"/>
  <c r="G117" i="61"/>
  <c r="G130" i="109"/>
  <c r="G135" i="109"/>
  <c r="F55" i="62"/>
  <c r="G19" i="64"/>
  <c r="F124" i="62"/>
  <c r="G124" i="62" s="1"/>
  <c r="F104" i="62"/>
  <c r="F130" i="62"/>
  <c r="G131" i="62" s="1"/>
  <c r="F79" i="109"/>
  <c r="F45" i="61"/>
  <c r="F42" i="109"/>
  <c r="D83" i="62"/>
  <c r="D96" i="62"/>
  <c r="F79" i="62"/>
  <c r="F78" i="62"/>
  <c r="D95" i="62"/>
  <c r="D82" i="62"/>
  <c r="D40" i="109"/>
  <c r="D73" i="109"/>
  <c r="F46" i="109"/>
  <c r="F139" i="178"/>
  <c r="F151" i="178" s="1"/>
  <c r="H21" i="178" s="1"/>
  <c r="H24" i="178" s="1"/>
  <c r="H26" i="178" s="1"/>
  <c r="G26" i="178" s="1"/>
  <c r="F139" i="187"/>
  <c r="J7" i="189"/>
  <c r="H12" i="189"/>
  <c r="E139" i="185"/>
  <c r="F139" i="185" s="1"/>
  <c r="J49" i="112"/>
  <c r="F49" i="112" s="1"/>
  <c r="D95" i="50"/>
  <c r="F95" i="50" s="1"/>
  <c r="G12" i="29"/>
  <c r="G21" i="115"/>
  <c r="D6" i="71" s="1"/>
  <c r="E6" i="71" s="1"/>
  <c r="F135" i="91"/>
  <c r="F114" i="125"/>
  <c r="D119" i="125"/>
  <c r="D118" i="125"/>
  <c r="F113" i="125"/>
  <c r="F102" i="80"/>
  <c r="F148" i="80" s="1"/>
  <c r="D56" i="112"/>
  <c r="E147" i="169"/>
  <c r="F147" i="169" s="1"/>
  <c r="E148" i="88"/>
  <c r="F148" i="88" s="1"/>
  <c r="E140" i="88"/>
  <c r="F140" i="88" s="1"/>
  <c r="E139" i="169"/>
  <c r="F139" i="169" s="1"/>
  <c r="D102" i="88"/>
  <c r="D105" i="88" s="1"/>
  <c r="F105" i="88" s="1"/>
  <c r="D89" i="88"/>
  <c r="F89" i="88" s="1"/>
  <c r="D85" i="88"/>
  <c r="D88" i="88" s="1"/>
  <c r="F88" i="88" s="1"/>
  <c r="H80" i="88"/>
  <c r="J80" i="88" s="1"/>
  <c r="D80" i="88" s="1"/>
  <c r="F80" i="88" s="1"/>
  <c r="J82" i="88"/>
  <c r="D82" i="88" s="1"/>
  <c r="F82" i="88" s="1"/>
  <c r="D47" i="88"/>
  <c r="F47" i="88" s="1"/>
  <c r="G4" i="82"/>
  <c r="E11" i="82" s="1"/>
  <c r="G11" i="82" s="1"/>
  <c r="G13" i="82" s="1"/>
  <c r="G21" i="92"/>
  <c r="D6" i="93" s="1"/>
  <c r="E6" i="93" s="1"/>
  <c r="F93" i="61"/>
  <c r="G61" i="66"/>
  <c r="F63" i="62"/>
  <c r="F64" i="62" s="1"/>
  <c r="F148" i="112"/>
  <c r="F147" i="112"/>
  <c r="G6" i="114"/>
  <c r="E17" i="114" s="1"/>
  <c r="G17" i="114" s="1"/>
  <c r="F96" i="112"/>
  <c r="F60" i="88"/>
  <c r="K69" i="50"/>
  <c r="J54" i="125"/>
  <c r="G21" i="117"/>
  <c r="D6" i="118" s="1"/>
  <c r="E6" i="118" s="1"/>
  <c r="F146" i="46"/>
  <c r="G21" i="123"/>
  <c r="D6" i="124" s="1"/>
  <c r="E6" i="124" s="1"/>
  <c r="G7" i="107"/>
  <c r="E17" i="107" s="1"/>
  <c r="G17" i="107" s="1"/>
  <c r="G21" i="107" s="1"/>
  <c r="G7" i="149"/>
  <c r="E19" i="149"/>
  <c r="G19" i="149" s="1"/>
  <c r="G21" i="149" s="1"/>
  <c r="G8" i="149"/>
  <c r="F74" i="80"/>
  <c r="G20" i="144"/>
  <c r="G21" i="144" s="1"/>
  <c r="F170" i="46"/>
  <c r="G182" i="101"/>
  <c r="F177" i="94"/>
  <c r="G153" i="66"/>
  <c r="F44" i="94"/>
  <c r="F46" i="94" s="1"/>
  <c r="F170" i="51"/>
  <c r="H10" i="51" s="1"/>
  <c r="J10" i="51" s="1"/>
  <c r="E10" i="51" s="1"/>
  <c r="F10" i="51" s="1"/>
  <c r="G21" i="121"/>
  <c r="D6" i="122" s="1"/>
  <c r="E6" i="122" s="1"/>
  <c r="G18" i="42"/>
  <c r="G20" i="42" s="1"/>
  <c r="G8" i="102"/>
  <c r="E18" i="102" s="1"/>
  <c r="G18" i="102" s="1"/>
  <c r="G113" i="101"/>
  <c r="G7" i="110"/>
  <c r="E16" i="110" s="1"/>
  <c r="G16" i="110" s="1"/>
  <c r="F95" i="109"/>
  <c r="G8" i="108"/>
  <c r="E18" i="108" s="1"/>
  <c r="G18" i="108" s="1"/>
  <c r="G97" i="66"/>
  <c r="G6" i="110"/>
  <c r="E17" i="110" s="1"/>
  <c r="G17" i="110" s="1"/>
  <c r="F96" i="109"/>
  <c r="D86" i="94"/>
  <c r="F86" i="94" s="1"/>
  <c r="F97" i="94" s="1"/>
  <c r="L83" i="94"/>
  <c r="G8" i="110"/>
  <c r="G18" i="110" s="1"/>
  <c r="G7" i="82"/>
  <c r="E16" i="82" s="1"/>
  <c r="G16" i="82" s="1"/>
  <c r="H43" i="61"/>
  <c r="J43" i="61" s="1"/>
  <c r="F43" i="61" s="1"/>
  <c r="J41" i="61"/>
  <c r="F41" i="61" s="1"/>
  <c r="I53" i="66"/>
  <c r="K52" i="66"/>
  <c r="E52" i="66" s="1"/>
  <c r="G52" i="66" s="1"/>
  <c r="G7" i="114"/>
  <c r="E16" i="114" s="1"/>
  <c r="G16" i="114" s="1"/>
  <c r="F95" i="112"/>
  <c r="G8" i="95"/>
  <c r="E18" i="95" s="1"/>
  <c r="G18" i="95" s="1"/>
  <c r="F114" i="94"/>
  <c r="E87" i="101"/>
  <c r="G87" i="101" s="1"/>
  <c r="G96" i="101" s="1"/>
  <c r="M84" i="101"/>
  <c r="I36" i="101"/>
  <c r="K36" i="101" s="1"/>
  <c r="E36" i="101" s="1"/>
  <c r="G36" i="101" s="1"/>
  <c r="K35" i="101"/>
  <c r="E35" i="101" s="1"/>
  <c r="G35" i="101" s="1"/>
  <c r="E75" i="66"/>
  <c r="G75" i="66" s="1"/>
  <c r="G73" i="66"/>
  <c r="G7" i="89"/>
  <c r="E16" i="89" s="1"/>
  <c r="G16" i="89" s="1"/>
  <c r="G8" i="82"/>
  <c r="E18" i="82" s="1"/>
  <c r="G18" i="82" s="1"/>
  <c r="J51" i="88"/>
  <c r="H52" i="88"/>
  <c r="J44" i="109"/>
  <c r="F44" i="109" s="1"/>
  <c r="H45" i="109"/>
  <c r="G8" i="114"/>
  <c r="E18" i="114" s="1"/>
  <c r="G18" i="114" s="1"/>
  <c r="F97" i="112"/>
  <c r="G7" i="95"/>
  <c r="E16" i="95" s="1"/>
  <c r="G16" i="95" s="1"/>
  <c r="F112" i="94"/>
  <c r="H52" i="112"/>
  <c r="J52" i="112" s="1"/>
  <c r="J50" i="112"/>
  <c r="F50" i="112" s="1"/>
  <c r="G7" i="102"/>
  <c r="E16" i="102" s="1"/>
  <c r="G16" i="102" s="1"/>
  <c r="G111" i="101"/>
  <c r="H61" i="94"/>
  <c r="J61" i="94" s="1"/>
  <c r="D61" i="94" s="1"/>
  <c r="F61" i="94" s="1"/>
  <c r="J59" i="94"/>
  <c r="D59" i="94" s="1"/>
  <c r="F59" i="94" s="1"/>
  <c r="K59" i="101"/>
  <c r="E59" i="101" s="1"/>
  <c r="G59" i="101" s="1"/>
  <c r="I60" i="101"/>
  <c r="G8" i="89"/>
  <c r="E18" i="89" s="1"/>
  <c r="G18" i="89" s="1"/>
  <c r="G7" i="108"/>
  <c r="E16" i="108" s="1"/>
  <c r="G16" i="108" s="1"/>
  <c r="G95" i="66"/>
  <c r="F145" i="109"/>
  <c r="F144" i="109"/>
  <c r="G39" i="66"/>
  <c r="G41" i="66" s="1"/>
  <c r="D69" i="88"/>
  <c r="J70" i="88"/>
  <c r="F168" i="91"/>
  <c r="G4" i="107"/>
  <c r="E12" i="107" s="1"/>
  <c r="G12" i="107" s="1"/>
  <c r="G14" i="107" s="1"/>
  <c r="G21" i="129"/>
  <c r="G21" i="152"/>
  <c r="D6" i="153" s="1"/>
  <c r="E6" i="153" s="1"/>
  <c r="G14" i="147"/>
  <c r="G21" i="147"/>
  <c r="H43" i="47"/>
  <c r="J43" i="47" s="1"/>
  <c r="H41" i="47"/>
  <c r="J40" i="47"/>
  <c r="F49" i="47"/>
  <c r="F140" i="47"/>
  <c r="F36" i="47"/>
  <c r="F95" i="47"/>
  <c r="F56" i="47"/>
  <c r="F97" i="47"/>
  <c r="F38" i="47"/>
  <c r="F77" i="91"/>
  <c r="J117" i="91"/>
  <c r="D117" i="91" s="1"/>
  <c r="H119" i="91"/>
  <c r="J119" i="91" s="1"/>
  <c r="D119" i="91" s="1"/>
  <c r="G19" i="102" l="1"/>
  <c r="G21" i="102" s="1"/>
  <c r="D6" i="103" s="1"/>
  <c r="E6" i="103" s="1"/>
  <c r="J123" i="112"/>
  <c r="D123" i="112" s="1"/>
  <c r="F123" i="112" s="1"/>
  <c r="H124" i="112"/>
  <c r="J124" i="112" s="1"/>
  <c r="D124" i="112" s="1"/>
  <c r="D104" i="112"/>
  <c r="F104" i="112" s="1"/>
  <c r="F101" i="112"/>
  <c r="G5" i="114"/>
  <c r="E12" i="114" s="1"/>
  <c r="G12" i="114" s="1"/>
  <c r="G13" i="114" s="1"/>
  <c r="F88" i="112"/>
  <c r="F157" i="50"/>
  <c r="F149" i="185"/>
  <c r="F166" i="185" s="1"/>
  <c r="H28" i="185" s="1"/>
  <c r="H30" i="185" s="1"/>
  <c r="J30" i="185" s="1"/>
  <c r="F152" i="204"/>
  <c r="F169" i="204" s="1"/>
  <c r="H21" i="204" s="1"/>
  <c r="J21" i="204" s="1"/>
  <c r="E21" i="204" s="1"/>
  <c r="F21" i="204" s="1"/>
  <c r="H25" i="204" s="1"/>
  <c r="G7" i="29"/>
  <c r="E15" i="29"/>
  <c r="G15" i="29" s="1"/>
  <c r="G18" i="29" s="1"/>
  <c r="G20" i="29" s="1"/>
  <c r="D6" i="132" s="1"/>
  <c r="E6" i="132" s="1"/>
  <c r="H21" i="193"/>
  <c r="J21" i="193" s="1"/>
  <c r="E21" i="193" s="1"/>
  <c r="F21" i="193" s="1"/>
  <c r="H25" i="193" s="1"/>
  <c r="H30" i="193"/>
  <c r="H32" i="193" s="1"/>
  <c r="F160" i="109"/>
  <c r="F56" i="112"/>
  <c r="F58" i="112" s="1"/>
  <c r="F140" i="109"/>
  <c r="F124" i="112"/>
  <c r="F143" i="112" s="1"/>
  <c r="F117" i="91"/>
  <c r="F145" i="91"/>
  <c r="F119" i="91"/>
  <c r="F13" i="51"/>
  <c r="F32" i="51" s="1"/>
  <c r="F179" i="51" s="1"/>
  <c r="F105" i="112"/>
  <c r="F164" i="112"/>
  <c r="F48" i="61"/>
  <c r="F140" i="61" s="1"/>
  <c r="H21" i="61" s="1"/>
  <c r="F134" i="62"/>
  <c r="F73" i="109"/>
  <c r="F105" i="109" s="1"/>
  <c r="F40" i="109"/>
  <c r="F58" i="109" s="1"/>
  <c r="G4" i="64"/>
  <c r="E11" i="64" s="1"/>
  <c r="G11" i="64" s="1"/>
  <c r="F82" i="62"/>
  <c r="F96" i="62"/>
  <c r="D99" i="62"/>
  <c r="D98" i="62"/>
  <c r="F95" i="62"/>
  <c r="G5" i="64"/>
  <c r="E12" i="64" s="1"/>
  <c r="G12" i="64" s="1"/>
  <c r="F83" i="62"/>
  <c r="H16" i="178"/>
  <c r="H19" i="178" s="1"/>
  <c r="E19" i="178" s="1"/>
  <c r="F19" i="178" s="1"/>
  <c r="F148" i="169"/>
  <c r="F165" i="169" s="1"/>
  <c r="H28" i="169" s="1"/>
  <c r="H30" i="169" s="1"/>
  <c r="F149" i="88"/>
  <c r="F118" i="125"/>
  <c r="G6" i="127"/>
  <c r="E17" i="127" s="1"/>
  <c r="G17" i="127" s="1"/>
  <c r="G8" i="127"/>
  <c r="E18" i="127" s="1"/>
  <c r="G18" i="127" s="1"/>
  <c r="F119" i="125"/>
  <c r="F102" i="88"/>
  <c r="F85" i="88"/>
  <c r="D101" i="88"/>
  <c r="D104" i="88" s="1"/>
  <c r="F104" i="88" s="1"/>
  <c r="J78" i="88"/>
  <c r="F51" i="88"/>
  <c r="G5" i="149"/>
  <c r="E13" i="149"/>
  <c r="G13" i="149" s="1"/>
  <c r="G114" i="101"/>
  <c r="G98" i="66"/>
  <c r="G19" i="95"/>
  <c r="G21" i="95" s="1"/>
  <c r="D6" i="96" s="1"/>
  <c r="E6" i="96" s="1"/>
  <c r="G19" i="108"/>
  <c r="G21" i="108" s="1"/>
  <c r="D6" i="69" s="1"/>
  <c r="E6" i="69" s="1"/>
  <c r="F166" i="80"/>
  <c r="H11" i="80" s="1"/>
  <c r="J11" i="80" s="1"/>
  <c r="E11" i="80" s="1"/>
  <c r="G23" i="107"/>
  <c r="F115" i="94"/>
  <c r="F75" i="94"/>
  <c r="D6" i="133"/>
  <c r="E6" i="133" s="1"/>
  <c r="H54" i="88"/>
  <c r="J54" i="88" s="1"/>
  <c r="F54" i="88" s="1"/>
  <c r="J52" i="88"/>
  <c r="F52" i="88" s="1"/>
  <c r="G19" i="82"/>
  <c r="G21" i="82" s="1"/>
  <c r="D6" i="74" s="1"/>
  <c r="E6" i="74" s="1"/>
  <c r="G20" i="110"/>
  <c r="G22" i="110" s="1"/>
  <c r="I62" i="101"/>
  <c r="K62" i="101" s="1"/>
  <c r="E62" i="101" s="1"/>
  <c r="G62" i="101" s="1"/>
  <c r="K60" i="101"/>
  <c r="E60" i="101" s="1"/>
  <c r="G60" i="101" s="1"/>
  <c r="J45" i="109"/>
  <c r="F45" i="109" s="1"/>
  <c r="H47" i="109"/>
  <c r="J47" i="109" s="1"/>
  <c r="F47" i="109" s="1"/>
  <c r="G45" i="101"/>
  <c r="G47" i="101" s="1"/>
  <c r="E12" i="149"/>
  <c r="G12" i="149" s="1"/>
  <c r="G4" i="149"/>
  <c r="I55" i="66"/>
  <c r="K55" i="66" s="1"/>
  <c r="E55" i="66" s="1"/>
  <c r="G55" i="66" s="1"/>
  <c r="K53" i="66"/>
  <c r="E53" i="66" s="1"/>
  <c r="G53" i="66" s="1"/>
  <c r="G19" i="89"/>
  <c r="G21" i="89" s="1"/>
  <c r="D6" i="90" s="1"/>
  <c r="E6" i="90" s="1"/>
  <c r="D71" i="88"/>
  <c r="H73" i="88" s="1"/>
  <c r="F69" i="88"/>
  <c r="G80" i="66"/>
  <c r="G19" i="114"/>
  <c r="G21" i="114" s="1"/>
  <c r="D6" i="113" s="1"/>
  <c r="E6" i="113" s="1"/>
  <c r="F146" i="47"/>
  <c r="G23" i="147"/>
  <c r="F188" i="50"/>
  <c r="F40" i="47"/>
  <c r="H42" i="47"/>
  <c r="J42" i="47" s="1"/>
  <c r="D42" i="47" s="1"/>
  <c r="J41" i="47"/>
  <c r="F43" i="47"/>
  <c r="H30" i="204" l="1"/>
  <c r="H32" i="204" s="1"/>
  <c r="H34" i="204" s="1"/>
  <c r="H21" i="185"/>
  <c r="J21" i="185" s="1"/>
  <c r="E21" i="185" s="1"/>
  <c r="F21" i="185" s="1"/>
  <c r="H23" i="185" s="1"/>
  <c r="E23" i="185" s="1"/>
  <c r="F23" i="185" s="1"/>
  <c r="F24" i="185" s="1"/>
  <c r="F41" i="185" s="1"/>
  <c r="F168" i="185" s="1"/>
  <c r="H36" i="204"/>
  <c r="J36" i="204" s="1"/>
  <c r="H39" i="204"/>
  <c r="J39" i="204" s="1"/>
  <c r="H37" i="204"/>
  <c r="J37" i="204" s="1"/>
  <c r="E25" i="204"/>
  <c r="F25" i="204" s="1"/>
  <c r="F26" i="204" s="1"/>
  <c r="F43" i="204" s="1"/>
  <c r="F171" i="204" s="1"/>
  <c r="G171" i="204" s="1"/>
  <c r="J25" i="204"/>
  <c r="G32" i="204"/>
  <c r="G38" i="204" s="1"/>
  <c r="F11" i="80"/>
  <c r="E13" i="80"/>
  <c r="F13" i="80" s="1"/>
  <c r="D6" i="26"/>
  <c r="E6" i="26" s="1"/>
  <c r="F148" i="91"/>
  <c r="J32" i="193"/>
  <c r="G32" i="193"/>
  <c r="G38" i="193" s="1"/>
  <c r="H34" i="193"/>
  <c r="H37" i="193"/>
  <c r="J37" i="193" s="1"/>
  <c r="J25" i="193"/>
  <c r="H39" i="193"/>
  <c r="J39" i="193" s="1"/>
  <c r="E25" i="193"/>
  <c r="F25" i="193" s="1"/>
  <c r="F26" i="193" s="1"/>
  <c r="F43" i="193" s="1"/>
  <c r="F171" i="193" s="1"/>
  <c r="H36" i="193"/>
  <c r="J36" i="193" s="1"/>
  <c r="J16" i="178"/>
  <c r="E17" i="178" s="1"/>
  <c r="F17" i="178" s="1"/>
  <c r="F20" i="178" s="1"/>
  <c r="F37" i="178" s="1"/>
  <c r="F153" i="178" s="1"/>
  <c r="H11" i="50"/>
  <c r="J11" i="50" s="1"/>
  <c r="E11" i="50" s="1"/>
  <c r="F11" i="50" s="1"/>
  <c r="F128" i="125"/>
  <c r="F203" i="125" s="1"/>
  <c r="H22" i="125" s="1"/>
  <c r="F98" i="62"/>
  <c r="F99" i="62"/>
  <c r="H12" i="61"/>
  <c r="H14" i="61" s="1"/>
  <c r="G13" i="64"/>
  <c r="G21" i="64" s="1"/>
  <c r="D6" i="65" s="1"/>
  <c r="E6" i="65" s="1"/>
  <c r="J23" i="185"/>
  <c r="H35" i="185"/>
  <c r="J35" i="185" s="1"/>
  <c r="H37" i="185"/>
  <c r="J37" i="185" s="1"/>
  <c r="H34" i="185"/>
  <c r="J34" i="185" s="1"/>
  <c r="H32" i="185"/>
  <c r="G30" i="185"/>
  <c r="G36" i="185" s="1"/>
  <c r="G168" i="185"/>
  <c r="B6" i="192"/>
  <c r="C6" i="192" s="1"/>
  <c r="H21" i="169"/>
  <c r="J21" i="169" s="1"/>
  <c r="E21" i="169" s="1"/>
  <c r="F21" i="169" s="1"/>
  <c r="H23" i="169" s="1"/>
  <c r="E23" i="169" s="1"/>
  <c r="F23" i="169" s="1"/>
  <c r="F24" i="169" s="1"/>
  <c r="F41" i="169" s="1"/>
  <c r="F167" i="169" s="1"/>
  <c r="G167" i="169" s="1"/>
  <c r="J30" i="169"/>
  <c r="H32" i="169"/>
  <c r="G30" i="169"/>
  <c r="G36" i="169" s="1"/>
  <c r="G19" i="127"/>
  <c r="G21" i="127" s="1"/>
  <c r="D6" i="128" s="1"/>
  <c r="E6" i="128" s="1"/>
  <c r="F101" i="88"/>
  <c r="F106" i="88" s="1"/>
  <c r="F65" i="88"/>
  <c r="G14" i="149"/>
  <c r="G23" i="149" s="1"/>
  <c r="F166" i="112"/>
  <c r="F202" i="94"/>
  <c r="F211" i="94" s="1"/>
  <c r="D5" i="96" s="1"/>
  <c r="D7" i="96" s="1"/>
  <c r="E7" i="96" s="1"/>
  <c r="G69" i="66"/>
  <c r="G171" i="66" s="1"/>
  <c r="G180" i="66" s="1"/>
  <c r="D5" i="69" s="1"/>
  <c r="G76" i="101"/>
  <c r="G209" i="101" s="1"/>
  <c r="G218" i="101" s="1"/>
  <c r="D5" i="103" s="1"/>
  <c r="D7" i="103" s="1"/>
  <c r="E7" i="103" s="1"/>
  <c r="F71" i="88"/>
  <c r="J73" i="88"/>
  <c r="K73" i="88" s="1"/>
  <c r="D73" i="88" s="1"/>
  <c r="F42" i="47"/>
  <c r="F41" i="47"/>
  <c r="J32" i="204" l="1"/>
  <c r="F14" i="80"/>
  <c r="F31" i="80" s="1"/>
  <c r="F175" i="80" s="1"/>
  <c r="G171" i="193"/>
  <c r="C12" i="194"/>
  <c r="C13" i="194" s="1"/>
  <c r="C14" i="194" s="1"/>
  <c r="F14" i="50"/>
  <c r="F33" i="50" s="1"/>
  <c r="F197" i="50" s="1"/>
  <c r="B9" i="198"/>
  <c r="H30" i="112"/>
  <c r="E30" i="112" s="1"/>
  <c r="H28" i="112"/>
  <c r="E28" i="112" s="1"/>
  <c r="F162" i="109"/>
  <c r="F100" i="62"/>
  <c r="J12" i="61"/>
  <c r="E12" i="61" s="1"/>
  <c r="E21" i="61"/>
  <c r="J21" i="61"/>
  <c r="H24" i="125"/>
  <c r="G24" i="125"/>
  <c r="H34" i="169"/>
  <c r="J34" i="169" s="1"/>
  <c r="J23" i="169"/>
  <c r="H19" i="112"/>
  <c r="H35" i="169"/>
  <c r="J35" i="169" s="1"/>
  <c r="H37" i="169"/>
  <c r="J37" i="169" s="1"/>
  <c r="H31" i="125"/>
  <c r="J31" i="125" s="1"/>
  <c r="F73" i="88"/>
  <c r="F76" i="88" s="1"/>
  <c r="F166" i="88" s="1"/>
  <c r="E5" i="96"/>
  <c r="E5" i="103"/>
  <c r="E5" i="69"/>
  <c r="D7" i="69"/>
  <c r="F57" i="47"/>
  <c r="G23" i="109" l="1"/>
  <c r="E23" i="109" s="1"/>
  <c r="E29" i="109" s="1"/>
  <c r="F29" i="109" s="1"/>
  <c r="F151" i="62"/>
  <c r="H17" i="62" s="1"/>
  <c r="H19" i="62" s="1"/>
  <c r="E19" i="62" s="1"/>
  <c r="F19" i="62" s="1"/>
  <c r="F12" i="61"/>
  <c r="F30" i="112"/>
  <c r="E27" i="61"/>
  <c r="F27" i="61" s="1"/>
  <c r="F21" i="61"/>
  <c r="E14" i="61"/>
  <c r="J14" i="61"/>
  <c r="E34" i="112"/>
  <c r="F34" i="112" s="1"/>
  <c r="J19" i="112"/>
  <c r="E19" i="112" s="1"/>
  <c r="F19" i="112" s="1"/>
  <c r="G21" i="112"/>
  <c r="E21" i="112" s="1"/>
  <c r="F21" i="112" s="1"/>
  <c r="I28" i="112"/>
  <c r="K28" i="112" s="1"/>
  <c r="F28" i="112"/>
  <c r="J22" i="125"/>
  <c r="E22" i="125" s="1"/>
  <c r="F22" i="125" s="1"/>
  <c r="E24" i="125"/>
  <c r="F24" i="125" s="1"/>
  <c r="H28" i="88"/>
  <c r="H30" i="88" s="1"/>
  <c r="E7" i="69"/>
  <c r="F172" i="47"/>
  <c r="H18" i="47" s="1"/>
  <c r="J18" i="47" s="1"/>
  <c r="E18" i="47" s="1"/>
  <c r="D5" i="118" l="1"/>
  <c r="E5" i="118" s="1"/>
  <c r="H26" i="62"/>
  <c r="E26" i="62" s="1"/>
  <c r="J17" i="62"/>
  <c r="E17" i="62" s="1"/>
  <c r="F17" i="62" s="1"/>
  <c r="F20" i="62" s="1"/>
  <c r="J19" i="62"/>
  <c r="F14" i="61"/>
  <c r="F15" i="61" s="1"/>
  <c r="F37" i="112"/>
  <c r="F30" i="61"/>
  <c r="F22" i="112"/>
  <c r="F25" i="125"/>
  <c r="G30" i="88"/>
  <c r="H32" i="88"/>
  <c r="J30" i="88"/>
  <c r="H21" i="88"/>
  <c r="J21" i="88" s="1"/>
  <c r="E21" i="88" s="1"/>
  <c r="F21" i="88" s="1"/>
  <c r="H23" i="88" s="1"/>
  <c r="F18" i="47"/>
  <c r="E11" i="47"/>
  <c r="F11" i="47" s="1"/>
  <c r="H9" i="47"/>
  <c r="J9" i="47" s="1"/>
  <c r="E9" i="47" s="1"/>
  <c r="F9" i="47" s="1"/>
  <c r="J26" i="62" l="1"/>
  <c r="D7" i="118"/>
  <c r="E7" i="118" s="1"/>
  <c r="F32" i="61"/>
  <c r="F142" i="61" s="1"/>
  <c r="F26" i="62"/>
  <c r="E32" i="62"/>
  <c r="F32" i="62" s="1"/>
  <c r="F39" i="112"/>
  <c r="F168" i="112" s="1"/>
  <c r="F42" i="125"/>
  <c r="E30" i="88"/>
  <c r="G36" i="88"/>
  <c r="E23" i="88"/>
  <c r="J23" i="88"/>
  <c r="H35" i="88"/>
  <c r="J35" i="88" s="1"/>
  <c r="H34" i="88"/>
  <c r="J34" i="88" s="1"/>
  <c r="F34" i="88" s="1"/>
  <c r="H37" i="88"/>
  <c r="J37" i="88" s="1"/>
  <c r="F12" i="47"/>
  <c r="E24" i="47"/>
  <c r="D5" i="133" l="1"/>
  <c r="E5" i="133" s="1"/>
  <c r="D5" i="74"/>
  <c r="E5" i="74" s="1"/>
  <c r="D5" i="113"/>
  <c r="D7" i="113" s="1"/>
  <c r="E7" i="113" s="1"/>
  <c r="D5" i="71"/>
  <c r="D7" i="71" s="1"/>
  <c r="E7" i="71" s="1"/>
  <c r="F35" i="62"/>
  <c r="F37" i="62" s="1"/>
  <c r="F153" i="62" s="1"/>
  <c r="F205" i="125"/>
  <c r="D5" i="128" s="1"/>
  <c r="E5" i="128" s="1"/>
  <c r="D5" i="122"/>
  <c r="D7" i="122" s="1"/>
  <c r="E36" i="88"/>
  <c r="F36" i="88" s="1"/>
  <c r="F30" i="88"/>
  <c r="F23" i="88"/>
  <c r="F24" i="88" s="1"/>
  <c r="F24" i="47"/>
  <c r="H29" i="125" l="1"/>
  <c r="D7" i="133"/>
  <c r="D7" i="74"/>
  <c r="E7" i="74" s="1"/>
  <c r="E5" i="113"/>
  <c r="E5" i="71"/>
  <c r="D5" i="65"/>
  <c r="D7" i="128"/>
  <c r="E7" i="128" s="1"/>
  <c r="E5" i="122"/>
  <c r="E7" i="122"/>
  <c r="F39" i="88"/>
  <c r="F41" i="88" s="1"/>
  <c r="F168" i="88" s="1"/>
  <c r="G171" i="88" s="1"/>
  <c r="F27" i="47"/>
  <c r="E7" i="133" l="1"/>
  <c r="E5" i="65"/>
  <c r="D7" i="65"/>
  <c r="F29" i="47"/>
  <c r="F181" i="47" s="1"/>
  <c r="B6" i="151" l="1"/>
  <c r="E7" i="65"/>
  <c r="D5" i="90"/>
  <c r="E5" i="90" s="1"/>
  <c r="D7" i="90" l="1"/>
  <c r="E7" i="90" l="1"/>
  <c r="F34" i="46" l="1"/>
  <c r="F57" i="46" l="1"/>
  <c r="F172" i="46" l="1"/>
  <c r="H18" i="46" s="1"/>
  <c r="J18" i="46" s="1"/>
  <c r="E18" i="46" s="1"/>
  <c r="H9" i="46" l="1"/>
  <c r="J9" i="46" s="1"/>
  <c r="E9" i="46" s="1"/>
  <c r="E11" i="46"/>
  <c r="F11" i="46" s="1"/>
  <c r="F18" i="46"/>
  <c r="D5" i="153"/>
  <c r="D7" i="153" s="1"/>
  <c r="E7" i="153" s="1"/>
  <c r="E24" i="46" l="1"/>
  <c r="F24" i="46" s="1"/>
  <c r="F9" i="46"/>
  <c r="F12" i="46" s="1"/>
  <c r="E5" i="153"/>
  <c r="F27" i="46" l="1"/>
  <c r="F29" i="46" l="1"/>
  <c r="F181" i="46" l="1"/>
  <c r="B11" i="198" l="1"/>
  <c r="B8" i="198"/>
  <c r="B6" i="198" l="1"/>
  <c r="B2" i="198" l="1"/>
  <c r="D5" i="124" l="1"/>
  <c r="E5" i="124" s="1"/>
  <c r="D7" i="124" l="1"/>
  <c r="E7" i="124" s="1"/>
  <c r="B8" i="151" l="1"/>
  <c r="C8" i="151" l="1"/>
  <c r="F48" i="91" l="1"/>
  <c r="F50" i="91"/>
  <c r="F47" i="91"/>
  <c r="F24" i="91"/>
  <c r="F25" i="91"/>
  <c r="J15" i="91"/>
  <c r="H25" i="91"/>
  <c r="J25" i="91" s="1"/>
  <c r="H24" i="91"/>
  <c r="J24" i="91" s="1"/>
  <c r="H28" i="91"/>
  <c r="J28" i="91" s="1"/>
  <c r="H47" i="91"/>
  <c r="J47" i="91" s="1"/>
  <c r="H52" i="91"/>
  <c r="J52" i="91" s="1"/>
  <c r="D52" i="91" s="1"/>
  <c r="H45" i="91"/>
  <c r="J45" i="91" s="1"/>
  <c r="D45" i="91" s="1"/>
  <c r="H49" i="91"/>
  <c r="J49" i="91" s="1"/>
  <c r="D49" i="91" s="1"/>
  <c r="H81" i="91"/>
  <c r="J81" i="91" s="1"/>
  <c r="D81" i="91" s="1"/>
  <c r="H43" i="91"/>
  <c r="J43" i="91" s="1"/>
  <c r="D43" i="91" s="1"/>
  <c r="F43" i="91" l="1"/>
  <c r="F49" i="91"/>
  <c r="F45" i="91"/>
  <c r="F52" i="91"/>
  <c r="F81" i="91"/>
  <c r="F113" i="91" s="1"/>
  <c r="F35" i="91"/>
  <c r="H48" i="91"/>
  <c r="F66" i="91" l="1"/>
  <c r="F170" i="91" s="1"/>
  <c r="J48" i="91"/>
  <c r="H50" i="91"/>
  <c r="J50" i="91" s="1"/>
  <c r="H13" i="91" l="1"/>
  <c r="G15" i="91" s="1"/>
  <c r="E15" i="91" s="1"/>
  <c r="H22" i="91"/>
  <c r="J22" i="91" s="1"/>
  <c r="J13" i="91" l="1"/>
  <c r="E13" i="91" s="1"/>
  <c r="F13" i="91" s="1"/>
  <c r="F15" i="91"/>
  <c r="F16" i="91" l="1"/>
  <c r="F37" i="91" s="1"/>
  <c r="F172" i="91" l="1"/>
  <c r="D5" i="93" l="1"/>
  <c r="B9" i="151" l="1"/>
  <c r="D7" i="93"/>
  <c r="E5" i="93"/>
  <c r="E7" i="93" l="1"/>
  <c r="F41" i="187"/>
  <c r="F61" i="187" s="1"/>
  <c r="F151" i="187" s="1"/>
  <c r="H16" i="187" s="1"/>
  <c r="H21" i="187" l="1"/>
  <c r="H24" i="187" s="1"/>
  <c r="H26" i="187" s="1"/>
  <c r="G26" i="187" s="1"/>
  <c r="H19" i="187" l="1"/>
  <c r="E19" i="187" s="1"/>
  <c r="F19" i="187" s="1"/>
  <c r="J16" i="187"/>
  <c r="E17" i="187" s="1"/>
  <c r="F17" i="187" s="1"/>
  <c r="F20" i="187" l="1"/>
  <c r="F37" i="187" s="1"/>
  <c r="F153" i="187" s="1"/>
  <c r="B5" i="192" s="1"/>
  <c r="B8" i="192" l="1"/>
  <c r="C5" i="192"/>
  <c r="C8" i="192" l="1"/>
  <c r="B9" i="192"/>
  <c r="C9" i="192" s="1"/>
  <c r="B7" i="151" l="1"/>
  <c r="D5" i="100"/>
  <c r="E5" i="100" s="1"/>
  <c r="C7" i="151" l="1"/>
  <c r="D7" i="100"/>
  <c r="E7" i="100" l="1"/>
  <c r="F23" i="109" l="1"/>
  <c r="F32" i="109" s="1"/>
  <c r="F34" i="109" s="1"/>
  <c r="H23" i="109"/>
  <c r="J23" i="109" s="1"/>
  <c r="F164" i="109" l="1"/>
  <c r="D5" i="111" l="1"/>
  <c r="D6" i="111" s="1"/>
  <c r="E6" i="111" s="1"/>
  <c r="E5" i="111" l="1"/>
  <c r="C9" i="151" l="1"/>
  <c r="D5" i="26" l="1"/>
  <c r="D7" i="26" s="1"/>
  <c r="E7" i="26" s="1"/>
  <c r="D5" i="132"/>
  <c r="D7" i="132" s="1"/>
  <c r="E5" i="132" l="1"/>
  <c r="E5" i="26"/>
  <c r="B10" i="151"/>
  <c r="E7" i="132"/>
  <c r="C10" i="151" l="1"/>
  <c r="C6" i="151"/>
  <c r="G5" i="144" l="1"/>
  <c r="E13" i="144" s="1"/>
  <c r="G13" i="144" s="1"/>
  <c r="G14" i="144" s="1"/>
  <c r="G23" i="144" s="1"/>
  <c r="B10" i="198" l="1"/>
  <c r="B4" i="198"/>
  <c r="D7" i="198" s="1"/>
  <c r="B5" i="151" l="1"/>
  <c r="C5" i="151" s="1"/>
  <c r="B11" i="151" l="1"/>
  <c r="C11" i="15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B17" authorId="0" shapeId="0" xr:uid="{00000000-0006-0000-0000-000001000000}">
      <text>
        <r>
          <rPr>
            <sz val="9"/>
            <color indexed="81"/>
            <rFont val="Tahoma"/>
            <family val="2"/>
          </rPr>
          <t>HP: Abaissement de
Tête de chausée à définir dans le DAO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B29" authorId="0" shapeId="0" xr:uid="{00000000-0006-0000-2700-000001000000}">
      <text>
        <r>
          <rPr>
            <sz val="9"/>
            <color indexed="81"/>
            <rFont val="Tahoma"/>
            <family val="2"/>
          </rPr>
          <t>HP: Abaissement de
Tête de chausée à définir dans le DAO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B31" authorId="0" shapeId="0" xr:uid="{00000000-0006-0000-2800-000001000000}">
      <text>
        <r>
          <rPr>
            <sz val="9"/>
            <color indexed="81"/>
            <rFont val="Tahoma"/>
            <family val="2"/>
          </rPr>
          <t>HP: Abaissement de
Tête de chausée à définir dans le DAO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B11" authorId="0" shapeId="0" xr:uid="{00000000-0006-0000-2C00-000001000000}">
      <text>
        <r>
          <rPr>
            <sz val="9"/>
            <color indexed="81"/>
            <rFont val="Tahoma"/>
            <family val="2"/>
          </rPr>
          <t>HP: Abaissement de
Tête de chausée à définir dans le DAO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B29" authorId="0" shapeId="0" xr:uid="{00000000-0006-0000-2D00-000001000000}">
      <text>
        <r>
          <rPr>
            <sz val="9"/>
            <color indexed="81"/>
            <rFont val="Tahoma"/>
            <family val="2"/>
          </rPr>
          <t>HP: Abaissement de
Tête de chausée à définir dans le DAO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B29" authorId="0" shapeId="0" xr:uid="{00000000-0006-0000-2E00-000001000000}">
      <text>
        <r>
          <rPr>
            <sz val="9"/>
            <color indexed="81"/>
            <rFont val="Tahoma"/>
            <family val="2"/>
          </rPr>
          <t>HP: Abaissement de
Tête de chausée à définir dans le DAO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B29" authorId="0" shapeId="0" xr:uid="{00000000-0006-0000-2F00-000001000000}">
      <text>
        <r>
          <rPr>
            <sz val="9"/>
            <color indexed="81"/>
            <rFont val="Tahoma"/>
            <family val="2"/>
          </rPr>
          <t>HP: Abaissement de
Tête de chausée à définir dans le DAO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B29" authorId="0" shapeId="0" xr:uid="{00000000-0006-0000-3500-000001000000}">
      <text>
        <r>
          <rPr>
            <sz val="9"/>
            <color indexed="81"/>
            <rFont val="Tahoma"/>
            <family val="2"/>
          </rPr>
          <t>HP: Abaissement de
Tête de chausée à définir dans le DAO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B31" authorId="0" shapeId="0" xr:uid="{00000000-0006-0000-3600-000001000000}">
      <text>
        <r>
          <rPr>
            <sz val="9"/>
            <color indexed="81"/>
            <rFont val="Tahoma"/>
            <family val="2"/>
          </rPr>
          <t>HP: Abaissement de
Tête de chausée à définir dans le DAO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C26" authorId="0" shapeId="0" xr:uid="{00000000-0006-0000-3C00-000001000000}">
      <text>
        <r>
          <rPr>
            <sz val="9"/>
            <color indexed="81"/>
            <rFont val="Tahoma"/>
            <family val="2"/>
          </rPr>
          <t>HP: Abaissement de
Tête de chausée à définir dans le DAO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E. OKOUNDE</author>
  </authors>
  <commentList>
    <comment ref="B22" authorId="0" shapeId="0" xr:uid="{00000000-0006-0000-4400-000001000000}">
      <text>
        <r>
          <rPr>
            <sz val="9"/>
            <color indexed="81"/>
            <rFont val="Tahoma"/>
            <family val="2"/>
          </rPr>
          <t>HP: Abaissement de
Tête de chausée à définir dans le DAO</t>
        </r>
      </text>
    </comment>
    <comment ref="H95" authorId="1" shapeId="0" xr:uid="{00000000-0006-0000-4400-000002000000}">
      <text>
        <r>
          <rPr>
            <b/>
            <sz val="8"/>
            <color indexed="81"/>
            <rFont val="Tahoma"/>
            <family val="2"/>
          </rPr>
          <t>E. OKOUNDE:</t>
        </r>
        <r>
          <rPr>
            <sz val="8"/>
            <color indexed="81"/>
            <rFont val="Tahoma"/>
            <family val="2"/>
          </rPr>
          <t xml:space="preserve">
y compris les cunettes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B17" authorId="0" shapeId="0" xr:uid="{00000000-0006-0000-0100-000001000000}">
      <text>
        <r>
          <rPr>
            <sz val="9"/>
            <color indexed="81"/>
            <rFont val="Tahoma"/>
            <family val="2"/>
          </rPr>
          <t>HP: Abaissement de
Tête de chausée à définir dans le DAO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E. OKOUNDE</author>
  </authors>
  <commentList>
    <comment ref="B20" authorId="0" shapeId="0" xr:uid="{00000000-0006-0000-4500-000001000000}">
      <text>
        <r>
          <rPr>
            <sz val="9"/>
            <color indexed="81"/>
            <rFont val="Tahoma"/>
            <family val="2"/>
          </rPr>
          <t>HP: Abaissement de
Tête de chausée à définir dans le DAO</t>
        </r>
      </text>
    </comment>
    <comment ref="H83" authorId="1" shapeId="0" xr:uid="{00000000-0006-0000-4500-000002000000}">
      <text>
        <r>
          <rPr>
            <b/>
            <sz val="8"/>
            <color indexed="81"/>
            <rFont val="Tahoma"/>
            <family val="2"/>
          </rPr>
          <t>E. OKOUNDE:</t>
        </r>
        <r>
          <rPr>
            <sz val="8"/>
            <color indexed="81"/>
            <rFont val="Tahoma"/>
            <family val="2"/>
          </rPr>
          <t xml:space="preserve">
y compris les cunettes 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B25" authorId="0" shapeId="0" xr:uid="{00000000-0006-0000-4600-000001000000}">
      <text>
        <r>
          <rPr>
            <sz val="9"/>
            <color indexed="81"/>
            <rFont val="Tahoma"/>
            <family val="2"/>
          </rPr>
          <t>HP: Abaissement de
Tête de chausée à définir dans le DAO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B19" authorId="0" shapeId="0" xr:uid="{00000000-0006-0000-0200-000001000000}">
      <text>
        <r>
          <rPr>
            <sz val="9"/>
            <color indexed="81"/>
            <rFont val="Tahoma"/>
            <family val="2"/>
          </rPr>
          <t>HP: Abaissement de
Tête de chausée à définir dans le DAO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B19" authorId="0" shapeId="0" xr:uid="{00000000-0006-0000-0600-000001000000}">
      <text>
        <r>
          <rPr>
            <sz val="9"/>
            <color indexed="81"/>
            <rFont val="Tahoma"/>
            <family val="2"/>
          </rPr>
          <t>HP: Abaissement de
Tête de chausée à définir dans le DAO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Utilisateur</author>
  </authors>
  <commentList>
    <comment ref="F6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Utilisateur:</t>
        </r>
        <r>
          <rPr>
            <sz val="9"/>
            <color indexed="81"/>
            <rFont val="Tahoma"/>
            <family val="2"/>
          </rPr>
          <t xml:space="preserve">
Variable</t>
        </r>
      </text>
    </comment>
    <comment ref="F8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>Utilisateur:</t>
        </r>
        <r>
          <rPr>
            <sz val="9"/>
            <color indexed="81"/>
            <rFont val="Tahoma"/>
            <family val="2"/>
          </rPr>
          <t xml:space="preserve">
Variable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C32" authorId="0" shapeId="0" xr:uid="{00000000-0006-0000-0F00-000001000000}">
      <text>
        <r>
          <rPr>
            <sz val="9"/>
            <color indexed="81"/>
            <rFont val="Tahoma"/>
            <family val="2"/>
          </rPr>
          <t>HP: Abaissement de
Tête de chausée à définir dans le DAO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B31" authorId="0" shapeId="0" xr:uid="{00000000-0006-0000-1C00-000001000000}">
      <text>
        <r>
          <rPr>
            <sz val="9"/>
            <color indexed="81"/>
            <rFont val="Tahoma"/>
            <family val="2"/>
          </rPr>
          <t>HP: Abaissement de
Tête de chausée à définir dans le DAO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B21" authorId="0" shapeId="0" xr:uid="{00000000-0006-0000-2100-000001000000}">
      <text>
        <r>
          <rPr>
            <sz val="9"/>
            <color indexed="81"/>
            <rFont val="Tahoma"/>
            <family val="2"/>
          </rPr>
          <t>HP: Abaissement de
Tête de chausée à définir dans le DAO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B30" authorId="0" shapeId="0" xr:uid="{00000000-0006-0000-2300-000001000000}">
      <text>
        <r>
          <rPr>
            <sz val="9"/>
            <color indexed="81"/>
            <rFont val="Tahoma"/>
            <family val="2"/>
          </rPr>
          <t>HP: Abaissement de
Tête de chausée à définir dans le DAO</t>
        </r>
      </text>
    </comment>
  </commentList>
</comments>
</file>

<file path=xl/sharedStrings.xml><?xml version="1.0" encoding="utf-8"?>
<sst xmlns="http://schemas.openxmlformats.org/spreadsheetml/2006/main" count="5294" uniqueCount="936">
  <si>
    <t>101</t>
  </si>
  <si>
    <t>m</t>
  </si>
  <si>
    <t>201</t>
  </si>
  <si>
    <t>202</t>
  </si>
  <si>
    <t>204</t>
  </si>
  <si>
    <t xml:space="preserve">PRIX 300 - TERRASSEMENTS </t>
  </si>
  <si>
    <t>301</t>
  </si>
  <si>
    <t>302</t>
  </si>
  <si>
    <t>303</t>
  </si>
  <si>
    <t>PRIX 400 - CHAUSSEES ET TROTTOIRS</t>
  </si>
  <si>
    <t>401</t>
  </si>
  <si>
    <t>403</t>
  </si>
  <si>
    <t>503</t>
  </si>
  <si>
    <t>504</t>
  </si>
  <si>
    <t>kg</t>
  </si>
  <si>
    <t>505-1</t>
  </si>
  <si>
    <t>505-2</t>
  </si>
  <si>
    <t>PRIX 600 - DIVERS</t>
  </si>
  <si>
    <t>601</t>
  </si>
  <si>
    <t>forfait</t>
  </si>
  <si>
    <t>PRIX 000 - INSTALLATIONS DE CHANTIER</t>
  </si>
  <si>
    <t>Prix 001 – Installations propres de l'Entreprise : installations générales de chantier et des services généraux de l'Entreprise</t>
  </si>
  <si>
    <t>001</t>
  </si>
  <si>
    <t>002</t>
  </si>
  <si>
    <t>Prix 002 – Travaux topographiques (par m linéaire d'ouvrage)</t>
  </si>
  <si>
    <t>provision</t>
  </si>
  <si>
    <t>Prix 101 – Rehaussement de tete de chaussée</t>
  </si>
  <si>
    <t>U</t>
  </si>
  <si>
    <t>Prix 103 – Enlevement et déplacement de poteau</t>
  </si>
  <si>
    <t>103-1</t>
  </si>
  <si>
    <t>poteau électrique en béton, hauteur maximum 12 m</t>
  </si>
  <si>
    <t>103-2</t>
  </si>
  <si>
    <t xml:space="preserve">poteau téléphonique </t>
  </si>
  <si>
    <t>poteau électrique en bois</t>
  </si>
  <si>
    <t>Prix 104 – Déplacement de tuyau PVC, AC ou autre</t>
  </si>
  <si>
    <t>Prix 105 – Déplacement de réseaux exceptionnels</t>
  </si>
  <si>
    <t>Prix 106 – Sondages de reconnaissance des réseaux</t>
  </si>
  <si>
    <r>
      <t>Prix 202 - Débroussaillage – décapage - dessouchage - nettoyage</t>
    </r>
    <r>
      <rPr>
        <b/>
        <sz val="10"/>
        <rFont val="Times New Roman"/>
        <family val="1"/>
      </rPr>
      <t xml:space="preserve"> </t>
    </r>
  </si>
  <si>
    <r>
      <t>Prix 201 - Nettoyage du site</t>
    </r>
    <r>
      <rPr>
        <b/>
        <sz val="10"/>
        <rFont val="Times New Roman"/>
        <family val="1"/>
      </rPr>
      <t xml:space="preserve"> </t>
    </r>
  </si>
  <si>
    <t>202-1</t>
  </si>
  <si>
    <t>Débroussaillage – décapage - dessouchage - nettoyage sur terre ferme</t>
  </si>
  <si>
    <t xml:space="preserve">PRIX 200 - DEGAGEMENT DES EMPRISES </t>
  </si>
  <si>
    <r>
      <t>Prix 203 -Abattage d'arbres</t>
    </r>
    <r>
      <rPr>
        <b/>
        <sz val="10"/>
        <rFont val="Times New Roman"/>
        <family val="1"/>
      </rPr>
      <t xml:space="preserve"> </t>
    </r>
  </si>
  <si>
    <t>Prix 204 - Démolition d'ouvrages ou de parties d'ouvrages</t>
  </si>
  <si>
    <t>204-1</t>
  </si>
  <si>
    <t>204-2</t>
  </si>
  <si>
    <t>ouvrages en béton armé</t>
  </si>
  <si>
    <t>ouvrages en béton non armé</t>
  </si>
  <si>
    <t>204-3</t>
  </si>
  <si>
    <t>ouvrages en maçonnerie</t>
  </si>
  <si>
    <t>207</t>
  </si>
  <si>
    <t>Prix 207 - Démolition de bordures</t>
  </si>
  <si>
    <t>208</t>
  </si>
  <si>
    <t>Prix 208 - Curage d'ouvrages de drainage existant</t>
  </si>
  <si>
    <t>208-1</t>
  </si>
  <si>
    <t>collecteur à ciel ouvert</t>
  </si>
  <si>
    <t>208-2</t>
  </si>
  <si>
    <t>Prix 210 - Réfection de route en terre</t>
  </si>
  <si>
    <t>Prix 212 - Réfection de route pavée</t>
  </si>
  <si>
    <t>Prix 215 - Dépose de buses</t>
  </si>
  <si>
    <t>Prix 301 - Déblais en grande masse, mise en dépôt</t>
  </si>
  <si>
    <t>301-1</t>
  </si>
  <si>
    <t>en terrain meuble</t>
  </si>
  <si>
    <t>Prix 302 - Remblais provenant de déblais en terrain meuble</t>
  </si>
  <si>
    <t>Prix 303 - Remblais en terre d'apport</t>
  </si>
  <si>
    <t>Prix 401 - Fourniture, transport et répandage de matériaux pour couche de chaussée</t>
  </si>
  <si>
    <t>401-2</t>
  </si>
  <si>
    <t>sable silteux</t>
  </si>
  <si>
    <t>Prix 403 - Compactage de matériaux pour couche de chaussée</t>
  </si>
  <si>
    <t>Prix 404 - Profilage et réglage de matériaux pour couche de chaussée</t>
  </si>
  <si>
    <t>Prix 405 - Stabilisation au ciment de la couche de base</t>
  </si>
  <si>
    <t>mise en œuvre pavés 11 cm</t>
  </si>
  <si>
    <t>mise en œuvre pavés 8 cm</t>
  </si>
  <si>
    <t>PRIX 500 - ASSAINISSEMENT ET DRAINAGE</t>
  </si>
  <si>
    <t>Prix 501 - Fouilles pour ouvrages de drainage en terrain meuble</t>
  </si>
  <si>
    <t>Prix 502 - Remblai de fouilles</t>
  </si>
  <si>
    <t>Prix 505 - Aciers pour les bétons armés des ouvrages</t>
  </si>
  <si>
    <t>Prix 504 - Coffrages</t>
  </si>
  <si>
    <t>acier a haute adhérence</t>
  </si>
  <si>
    <t>acier doux</t>
  </si>
  <si>
    <t>Prix 506 - Béton de classe B 250 kg/m3 pour caniveaux, avaloirs et regards</t>
  </si>
  <si>
    <t>Prix 507 - Béton de classe A 350 kg/m3 pour ouvrages principaux</t>
  </si>
  <si>
    <t>Prix 510 - Fourniture, transport et pose de buses en béton armé</t>
  </si>
  <si>
    <t>510-1</t>
  </si>
  <si>
    <t>510-2</t>
  </si>
  <si>
    <t>510-3</t>
  </si>
  <si>
    <t>510-4</t>
  </si>
  <si>
    <t>510-5</t>
  </si>
  <si>
    <t>buses en b.a diamètre 400 mm</t>
  </si>
  <si>
    <t>buses en b.a diamètre 500 mm</t>
  </si>
  <si>
    <t>buses en b.a diamètre 600 mm</t>
  </si>
  <si>
    <t>buses en b.a diamètre 800 mm</t>
  </si>
  <si>
    <t>buses en b.a diamètre 1000 mm</t>
  </si>
  <si>
    <t>511-1</t>
  </si>
  <si>
    <r>
      <t>m</t>
    </r>
    <r>
      <rPr>
        <vertAlign val="superscript"/>
        <sz val="9"/>
        <rFont val="Arial"/>
        <family val="2"/>
      </rPr>
      <t>2</t>
    </r>
  </si>
  <si>
    <r>
      <t>m</t>
    </r>
    <r>
      <rPr>
        <vertAlign val="superscript"/>
        <sz val="9"/>
        <rFont val="Arial"/>
        <family val="2"/>
      </rPr>
      <t>3</t>
    </r>
  </si>
  <si>
    <t>Prix 601 - Plantation et entretien d'arbres</t>
  </si>
  <si>
    <t>caniveau en béton armé</t>
  </si>
  <si>
    <t>UNITE</t>
  </si>
  <si>
    <t>QUANTITE</t>
  </si>
  <si>
    <t>PRIX UNITAIRE</t>
  </si>
  <si>
    <t>Prix 503 - Béton de propreté C 150 pour ouvrages de drainage</t>
  </si>
  <si>
    <t>PRIX 100 - TRAVAUX PRELIMINAIRES</t>
  </si>
  <si>
    <t>(M Fcfa)</t>
  </si>
  <si>
    <t>total travaux</t>
  </si>
  <si>
    <t>CADRE DU DETAIL QUANTITATIF ET ESTIMATIF</t>
  </si>
  <si>
    <t>TOTAL POSTE 100</t>
  </si>
  <si>
    <t>TOTAL POSTES 000+100</t>
  </si>
  <si>
    <t>TOTAL POSTE 000</t>
  </si>
  <si>
    <t>TOTAL POSTE 400</t>
  </si>
  <si>
    <t>TOTAL POSTE 300</t>
  </si>
  <si>
    <t>TOTAL POSTE 200</t>
  </si>
  <si>
    <t>TOTAL POSTE 600</t>
  </si>
  <si>
    <t>TOTAL POSTE 500</t>
  </si>
  <si>
    <t>MONTANT HT (Fcfa)</t>
  </si>
  <si>
    <t>PRIX 700 - SOMMES A VALOIR</t>
  </si>
  <si>
    <t>MONTANT HT (FCFA)</t>
  </si>
  <si>
    <t>701</t>
  </si>
  <si>
    <t>Prix 701 – Mesures de sauvegarde environnementale et sociale</t>
  </si>
  <si>
    <t>s.à.v.</t>
  </si>
  <si>
    <t>702</t>
  </si>
  <si>
    <t>Prix 702 – Imprévus physiques</t>
  </si>
  <si>
    <t>TOTAL POSTE 700</t>
  </si>
  <si>
    <t>Prix 206 - Démolition et enlèvement de pavés</t>
  </si>
  <si>
    <t>Prix 511 - Caniveaux cadres en béton armé</t>
  </si>
  <si>
    <t>donnée dans le DAO</t>
  </si>
  <si>
    <t>003</t>
  </si>
  <si>
    <t>202-2</t>
  </si>
  <si>
    <t>Débroussaillage – décapage - dessouchage - nettoyage en zone marécageuse</t>
  </si>
  <si>
    <t>Prix 211 - Réfection de route revêtue</t>
  </si>
  <si>
    <t>301-2</t>
  </si>
  <si>
    <t>en zone marécageuse</t>
  </si>
  <si>
    <t>Prix 305 - Purge de terres de mauvaise tenue</t>
  </si>
  <si>
    <t>Prix 309 - Enlèvement et évacuation de boues</t>
  </si>
  <si>
    <t>Prix 311 - Réglage de la plateforme</t>
  </si>
  <si>
    <t>Prix 312 - Géotextile anti-contaminant</t>
  </si>
  <si>
    <t>Prix 313 - Matelas Réno avec treillis d'ancrage, épaisseur 17 cm</t>
  </si>
  <si>
    <t>Prix 316 - Réception en usine</t>
  </si>
  <si>
    <t>F</t>
  </si>
  <si>
    <t>Prix 509 - Dalles de couverture de caniveaux, préfabriqués sur chantier</t>
  </si>
  <si>
    <t>509-1</t>
  </si>
  <si>
    <t>509-2</t>
  </si>
  <si>
    <t>509-3</t>
  </si>
  <si>
    <t>Prix 512 - Dalots en béton armé</t>
  </si>
  <si>
    <t>Prix 513 - Regards</t>
  </si>
  <si>
    <t>513-2</t>
  </si>
  <si>
    <t>Prix 514 - Aménagement de canal naturel avec berges en gabions</t>
  </si>
  <si>
    <t>514-2</t>
  </si>
  <si>
    <t>Prix 515 - Ouvrages de connexion de caniveau secondaire sur canal</t>
  </si>
  <si>
    <t>515-1</t>
  </si>
  <si>
    <t>515-2</t>
  </si>
  <si>
    <t>Prix 516 - Pompage d'eau et rabattement de nappe pour coulage de canal</t>
  </si>
  <si>
    <t>Prix 517 - Réalisation de canaux trapézoïdaux en béton armé</t>
  </si>
  <si>
    <t>517-1</t>
  </si>
  <si>
    <t>Prix 602 - Fourniture de garde-corps</t>
  </si>
  <si>
    <t>Prix 603 - Transport et pose de garde-corps métallique</t>
  </si>
  <si>
    <t>Prix 605 - Protection en enrochement</t>
  </si>
  <si>
    <t>Prix 608 - Réalisation de drains latéraux</t>
  </si>
  <si>
    <t xml:space="preserve">Prix 609 - Réalisation de tapis drainant en gravier 20 / 40 mm sous les ouvrages </t>
  </si>
  <si>
    <t>Nota: les prix en Fcfa sont actualisés à l'année 2018. La description des prestations comprises dans chaque prix est</t>
  </si>
  <si>
    <t>Prix 407 - Mise en œuvre du revêtement en pavés</t>
  </si>
  <si>
    <t>407-1</t>
  </si>
  <si>
    <t>408-1</t>
  </si>
  <si>
    <t>Prix 408 - Mise en œuvre des bordures préfabriquées</t>
  </si>
  <si>
    <t>Prix 604 - Fourniture et pose de panneaux de signalisation</t>
  </si>
  <si>
    <t xml:space="preserve">BORDEREAU DES PRIX UNITAIRES (PREFABRICATION)                                            </t>
  </si>
  <si>
    <t>PRIX 100 - PAVES AUTOBLOQUANTS</t>
  </si>
  <si>
    <t>101-1</t>
  </si>
  <si>
    <t>Prix 101 – préfabrication pavés autobloquants</t>
  </si>
  <si>
    <t>101-2</t>
  </si>
  <si>
    <t>pavés épaisseur 8 cm pour trottoirs</t>
  </si>
  <si>
    <t>pavés épaisseur 11 cm pour voirie</t>
  </si>
  <si>
    <t>TOTAL POSTES 100+200</t>
  </si>
  <si>
    <t>407-2</t>
  </si>
  <si>
    <t>408-2</t>
  </si>
  <si>
    <t xml:space="preserve">PRIX 200 - BORDURES </t>
  </si>
  <si>
    <t>surface tot pavage 8 cm = m2</t>
  </si>
  <si>
    <t>surface tot pavage 11 cm = m2</t>
  </si>
  <si>
    <t>517-2</t>
  </si>
  <si>
    <t>518-1</t>
  </si>
  <si>
    <t>Prix 518 - Réalisation de caniveaux cadre enterrés en béton armé</t>
  </si>
  <si>
    <t>dimensions 1,00 x 1,00</t>
  </si>
  <si>
    <t>dimensions 2,00 x 2,00</t>
  </si>
  <si>
    <t>518-7</t>
  </si>
  <si>
    <t>DETAIL QUANTITATIF ET ESTIMATIF</t>
  </si>
  <si>
    <t>collecteur=m</t>
  </si>
  <si>
    <t>lineaire</t>
  </si>
  <si>
    <t>coef</t>
  </si>
  <si>
    <t>Total</t>
  </si>
  <si>
    <t>305</t>
  </si>
  <si>
    <t>mise en œuvre bordures lourdes 15x30 cm</t>
  </si>
  <si>
    <t>mise en œuvre bordures légères 10x20 cm</t>
  </si>
  <si>
    <t>601-1</t>
  </si>
  <si>
    <t>Plantation d'arbre</t>
  </si>
  <si>
    <t>601-2</t>
  </si>
  <si>
    <t>601-3</t>
  </si>
  <si>
    <t>Ouvrages pour protection d'arbre</t>
  </si>
  <si>
    <t>longueur tot bordures lourdes = m</t>
  </si>
  <si>
    <t>longueur tot bordures légères = m</t>
  </si>
  <si>
    <t>Bordures lourdes 15 x 30</t>
  </si>
  <si>
    <t>Bordures légères 10 x 20</t>
  </si>
  <si>
    <t>101 bis</t>
  </si>
  <si>
    <t>Prix 101 bis – Abaissement de tete de chaussée</t>
  </si>
  <si>
    <t>204-4</t>
  </si>
  <si>
    <t>ouvrages d'assainissement</t>
  </si>
  <si>
    <t>ml</t>
  </si>
  <si>
    <t>511-7</t>
  </si>
  <si>
    <t>caniveau cadre de largeur intérieure 1,0 m et hauteur 1,0 m</t>
  </si>
  <si>
    <t>602</t>
  </si>
  <si>
    <t>603</t>
  </si>
  <si>
    <t>dalot cadre B= 2 x 2,25 m   H= 1,25 m</t>
  </si>
  <si>
    <t>caniveau trottoir y compris dalle de rue de largeur intérieure 0,60 m et hauteur 0,60 m</t>
  </si>
  <si>
    <t>Regards d'inspection coulés en place sur collecteur fermé, avec tampon de type D400 et échelons en acier inoxydable encastrés</t>
  </si>
  <si>
    <t>Regards avaloir sous chaussée de dimension 45x40x70</t>
  </si>
  <si>
    <t>513-3</t>
  </si>
  <si>
    <t>Travaux</t>
  </si>
  <si>
    <t>Préfabrication</t>
  </si>
  <si>
    <t>Section</t>
  </si>
  <si>
    <t>Totaux</t>
  </si>
  <si>
    <t>512 b</t>
  </si>
  <si>
    <t>Prix 512 b - Aile en béton</t>
  </si>
  <si>
    <t>ouvrage de connexion sur canal trapézoïdal en b.a. (largeur 1,5 m)</t>
  </si>
  <si>
    <t>ouvrage de connexion sur berge en gabions (largeur 1,5 m)</t>
  </si>
  <si>
    <t>Fourniture et pose de panneaux de signalisation</t>
  </si>
  <si>
    <t>604-1</t>
  </si>
  <si>
    <t>604-2</t>
  </si>
  <si>
    <t>Ralentisseur de vitesse de type dos d'âne</t>
  </si>
  <si>
    <t>103-3</t>
  </si>
  <si>
    <t>512a-1</t>
  </si>
  <si>
    <t>512a</t>
  </si>
  <si>
    <t>512b-1</t>
  </si>
  <si>
    <t>Euro</t>
  </si>
  <si>
    <t xml:space="preserve">Total </t>
  </si>
  <si>
    <t>408-3</t>
  </si>
  <si>
    <t>mise en œuvre bordures type CS2</t>
  </si>
  <si>
    <t>511-2 bis</t>
  </si>
  <si>
    <t>601-4</t>
  </si>
  <si>
    <t>m²</t>
  </si>
  <si>
    <t>Engazonnement d'espace</t>
  </si>
  <si>
    <t>Entretien et suivi pour arbres plantés et gazons</t>
  </si>
  <si>
    <t>Prix 523 – Construction d’un passage pour piéton en béton armé</t>
  </si>
  <si>
    <t>sur canal de grande base 4.40 mètres</t>
  </si>
  <si>
    <t>523-10</t>
  </si>
  <si>
    <t xml:space="preserve">couche de base </t>
  </si>
  <si>
    <t>couche de fondation</t>
  </si>
  <si>
    <t>couche trottoir</t>
  </si>
  <si>
    <t>Bordures CS2</t>
  </si>
  <si>
    <t>Lot Qb (préfabrication)</t>
  </si>
  <si>
    <t>caniveau trottoir 60 x 60=m</t>
  </si>
  <si>
    <t>caniveau trottoir 80 x 80=m</t>
  </si>
  <si>
    <t>Collecteur en matelas renos =m</t>
  </si>
  <si>
    <t>FF/Km</t>
  </si>
  <si>
    <t>caniveau trottoir y compris dalle de rue de largeur intérieure 0,80 m et hauteur 0,80 m</t>
  </si>
  <si>
    <t>canal aménagé avec berges en gabions, B=  14,0 m   H= 1,36 m</t>
  </si>
  <si>
    <t>311</t>
  </si>
  <si>
    <t>312</t>
  </si>
  <si>
    <t>313</t>
  </si>
  <si>
    <t>309</t>
  </si>
  <si>
    <t>Lot Qa et Qc (préfabrication)</t>
  </si>
  <si>
    <t>103-4</t>
  </si>
  <si>
    <t>lampadaire solaire</t>
  </si>
  <si>
    <t>x 2  à cause de la couche de fondation et de la couche de base</t>
  </si>
  <si>
    <t>dalles de trottoirs (ép. 15 à 20 cm)</t>
  </si>
  <si>
    <t>dalles de rue (ép. 15 à 20 cm)</t>
  </si>
  <si>
    <t>Prix 512a - Dalots en béton armé</t>
  </si>
  <si>
    <t>canal trapézoïdal talus 0   B=3 m  H= 1,15 m</t>
  </si>
  <si>
    <t>Provision</t>
  </si>
  <si>
    <t>Transport et pose de garde-corps métallique</t>
  </si>
  <si>
    <t>603-1</t>
  </si>
  <si>
    <t>Réparation de garde-corps métallique existant</t>
  </si>
  <si>
    <t>603-2</t>
  </si>
  <si>
    <t>Cadre récapitulatif estimation des coûts d'investissement - Bassins Q</t>
  </si>
  <si>
    <t>Purge et remplacer un sable</t>
  </si>
  <si>
    <t>couche de base</t>
  </si>
  <si>
    <t>Entretien et suivi pour arbres plantés</t>
  </si>
  <si>
    <t>TOTAL TRAVAUX Pb - Pa(Fcfa)</t>
  </si>
  <si>
    <t>canal trapézoïdal talus 1/1   B= 1,50 m  H= 1,5 m</t>
  </si>
  <si>
    <t>longueur tot bordures CS2 = m</t>
  </si>
  <si>
    <t>Lot Zb1 (Rue 1.101)</t>
  </si>
  <si>
    <t>TOTAL TRAVAUX (Fcfa)</t>
  </si>
  <si>
    <t>TOTAL LOT Zb 1 (Fcfa)</t>
  </si>
  <si>
    <t>dalles spéciales sur bouches avaloirs (ép. 15 à 20 cm)</t>
  </si>
  <si>
    <t>quantité founi par le Doyen</t>
  </si>
  <si>
    <t>Lot Zb2 (Rue 1.121 et Rue 1.119)</t>
  </si>
  <si>
    <t>TOTAL LOT Zb2  (Fcfa)</t>
  </si>
  <si>
    <t>Lot Zb3 (Rue 1.137 et Rue 1.135)</t>
  </si>
  <si>
    <t>TOTAL LOT Zb 3 (Fcfa)</t>
  </si>
  <si>
    <t>Entretien et suivi pour arbres plantés et gazon</t>
  </si>
  <si>
    <t>Lot Zb4 (Rue 1.141 et Rue 1.139)</t>
  </si>
  <si>
    <t>TOTAL LOT Zb 4 (Fcfa)</t>
  </si>
  <si>
    <t>511-10 bis</t>
  </si>
  <si>
    <t>Total travaux</t>
  </si>
  <si>
    <t>Ff</t>
  </si>
  <si>
    <t>Prix 610 - Aménagement d'un bassin de rétention  et de protection contre l'érosion côtière conformément aux plans</t>
  </si>
  <si>
    <t>Lot Pb Pc (préfabrication)</t>
  </si>
  <si>
    <t>Euro (HT - HD)</t>
  </si>
  <si>
    <t>total=m</t>
  </si>
  <si>
    <t>Lot Ra (préfabrication)</t>
  </si>
  <si>
    <t>Lot "Ra" (Avenue Monseigneur De SOUZA Rue 4.145 et Rue 3.002)</t>
  </si>
  <si>
    <t>TOTAL TRAVAUX Ra (Fcfa)</t>
  </si>
  <si>
    <t>TOTAL LOT Ra (Fcfa)</t>
  </si>
  <si>
    <t>TOTAL TRAVAUX "S" (Fcfa)</t>
  </si>
  <si>
    <t>TOTAL LOT S (Fcfa)</t>
  </si>
  <si>
    <t>Lot S (préfabrication)</t>
  </si>
  <si>
    <t>Cadre récapitulatif estimation des coûts d'investissement - Bassins S</t>
  </si>
  <si>
    <t>Cadre récapitulatif estimation des coûts d'investissement - Bassins Ra</t>
  </si>
  <si>
    <t>Rue 4.118</t>
  </si>
  <si>
    <t>caniveau (200 x 150)=m</t>
  </si>
  <si>
    <t>Total caniveau</t>
  </si>
  <si>
    <t>Total Rue</t>
  </si>
  <si>
    <t>emprise 20m</t>
  </si>
  <si>
    <t>emprise 15m</t>
  </si>
  <si>
    <t>Purge sur 2 m</t>
  </si>
  <si>
    <t>caniveau trottoir 120 x 100=m</t>
  </si>
  <si>
    <t>caniveau cadre 2*(100 x 110)=m</t>
  </si>
  <si>
    <t>x 2 fois</t>
  </si>
  <si>
    <t>Lot Wa (Rue 1.201 - Rue 2.027 - Rue 2.277)</t>
  </si>
  <si>
    <t>caniveau trottoir y compris dalle de rue de largeur intérieure 1,00 m et hauteur 1,00 m</t>
  </si>
  <si>
    <t>80 x80</t>
  </si>
  <si>
    <t>100x80</t>
  </si>
  <si>
    <t>caniveau trottoir y compris dalle de rue de largeur intérieure 1,00 m et hauteur 0,80 m</t>
  </si>
  <si>
    <t>caniveau trottoir y compris dalle de rue de largeur intérieure 1,20 m et hauteur 1,00 m</t>
  </si>
  <si>
    <t>caniveau  double trottoir y compris dalle de rue de largeur intérieure 2x 1,00 m et hauteur 1,10 m</t>
  </si>
  <si>
    <t>TOTAL LOT Wa (Fcfa)</t>
  </si>
  <si>
    <t>caniveau cadre 80 x 80=m</t>
  </si>
  <si>
    <t>caniveau trottoir y compris dalle de rue de largeur intérieure 1,50 m et hauteur 1,00 m</t>
  </si>
  <si>
    <t>Cadre récapitulatif estimation des coûts d'investissement - Bassins Wa</t>
  </si>
  <si>
    <t>Cadre récapitulatif estimation des coûts d'investissement - Bassins D</t>
  </si>
  <si>
    <t>rue des amoureux</t>
  </si>
  <si>
    <t>caniveau cadre 100 x150 =m</t>
  </si>
  <si>
    <t>TOTAL TRAVAUX L (Fcfa)</t>
  </si>
  <si>
    <t>TOTAL LOT L (Fcfa)</t>
  </si>
  <si>
    <t>Recalibrage de lit</t>
  </si>
  <si>
    <t>Amorce de raccordement 100x100</t>
  </si>
  <si>
    <t>Lot "ABb et ABc"</t>
  </si>
  <si>
    <t>caniveau trottoir 100 x 100  =m</t>
  </si>
  <si>
    <t>Enceinte aéroportuaire</t>
  </si>
  <si>
    <t>caniveau trottoir y compris dalle de rue de largeur intérieure 1,00 m et hauteur 0,60 m</t>
  </si>
  <si>
    <t>Lot "D" (préfabrication)</t>
  </si>
  <si>
    <t>602 bis</t>
  </si>
  <si>
    <t>Fcfa (HT - HD)</t>
  </si>
  <si>
    <t>Cadre récapitulatif estimation des coûts d'investissement - Bassins Pa</t>
  </si>
  <si>
    <t>Cadre récapitulatif estimation des coûts d'investissement - Bassins Y</t>
  </si>
  <si>
    <t>Totaux Généraux</t>
  </si>
  <si>
    <t>caniveau cadre 120 x80=m</t>
  </si>
  <si>
    <t>caniveau trottoir 60 x80=m</t>
  </si>
  <si>
    <t>caniveau cadre 2x(100 x100) =m</t>
  </si>
  <si>
    <t>caniveau trottoir 60 x60=m</t>
  </si>
  <si>
    <t>rue 12.143</t>
  </si>
  <si>
    <t>caniveau trottoir 80 x80=m</t>
  </si>
  <si>
    <t>Total Rue 12.169</t>
  </si>
  <si>
    <t>Total Rue 11.021  et connexes</t>
  </si>
  <si>
    <t>Total Rue12.143 et Rue 12015</t>
  </si>
  <si>
    <t>palais de justice -rue de la marinna</t>
  </si>
  <si>
    <t>déblai sur 70 cm</t>
  </si>
  <si>
    <t>TOTAL LOT  M(Fcfa)</t>
  </si>
  <si>
    <t>Lot "M" (préfabrication)</t>
  </si>
  <si>
    <t>Cadre récapitulatif estimation des coûts d'investissement - Bassins M</t>
  </si>
  <si>
    <t>Total Rue 4.012</t>
  </si>
  <si>
    <t>Total Rue4.020</t>
  </si>
  <si>
    <t>Total Rue 4.028</t>
  </si>
  <si>
    <t>Lot Y" (préfabrication)</t>
  </si>
  <si>
    <t>caniveau trottoir 100 x100=m</t>
  </si>
  <si>
    <t>Lot Pa</t>
  </si>
  <si>
    <t>largeur</t>
  </si>
  <si>
    <t>caniveau trottoir 250 x 150=m</t>
  </si>
  <si>
    <t>caniveau trottoir 60 x 80=m</t>
  </si>
  <si>
    <t>caniveau trottoir 80 x 60=m</t>
  </si>
  <si>
    <t>caniveau trottoir 80 x 100=m</t>
  </si>
  <si>
    <t>caniveau trottoir 100 x 100=m</t>
  </si>
  <si>
    <t>Total Rue emprise 10 m= m</t>
  </si>
  <si>
    <t>Total Rue emprise 12 m= m</t>
  </si>
  <si>
    <t>Total Rue emprise 15 m= m</t>
  </si>
  <si>
    <t>Total Rue emprise 20 m= m</t>
  </si>
  <si>
    <t>largeur en gueule = m</t>
  </si>
  <si>
    <t>Purge sur 1,5 m pour la piste</t>
  </si>
  <si>
    <t>Boue sur 3,5 m</t>
  </si>
  <si>
    <r>
      <t>m</t>
    </r>
    <r>
      <rPr>
        <vertAlign val="superscript"/>
        <sz val="9"/>
        <color rgb="FFFF0000"/>
        <rFont val="Arial"/>
        <family val="2"/>
      </rPr>
      <t>3</t>
    </r>
    <r>
      <rPr>
        <sz val="11"/>
        <color theme="1"/>
        <rFont val="Calibri"/>
        <family val="2"/>
        <scheme val="minor"/>
      </rPr>
      <t/>
    </r>
  </si>
  <si>
    <t>Mur de soutènement en L =m</t>
  </si>
  <si>
    <t>caniveau trottoir y compris dalle de rue de largeur intérieure 2,50 m et hauteur 1,50 m</t>
  </si>
  <si>
    <t>caniveau trottoir y compris dalle de rue de largeur intérieure 0,60 m et hauteur 0,80 m</t>
  </si>
  <si>
    <t>caniveau trottoir y compris dalle de rue de largeur intérieure 0,80 m et hauteur 0,60 m</t>
  </si>
  <si>
    <t>caniveau trottoir y compris dalle de rue de largeur intérieure 0,80 m et hauteur 1,00 m</t>
  </si>
  <si>
    <t>caniveau trottoir y compris dalle de rue de largeur intérieure1,00 m et hauteur 1,00 m</t>
  </si>
  <si>
    <t>dalot cadre B=2 x 3,0  H= 2,5 m</t>
  </si>
  <si>
    <r>
      <t>m</t>
    </r>
    <r>
      <rPr>
        <vertAlign val="superscript"/>
        <sz val="9"/>
        <color rgb="FFFF0000"/>
        <rFont val="Arial"/>
        <family val="2"/>
      </rPr>
      <t>3</t>
    </r>
  </si>
  <si>
    <t xml:space="preserve">Prix 60x - Construction d'un module de trois salles de classes + equipements en mobilier pour l'école des sourds </t>
  </si>
  <si>
    <t>Démolition de garde-corps métallique existant</t>
  </si>
  <si>
    <t>603-3</t>
  </si>
  <si>
    <t>Lot "Pa" (préfabrication)</t>
  </si>
  <si>
    <t>TOTAL LOT Pa (Fcfa)</t>
  </si>
  <si>
    <t>TOTAL TRAVAUX Pa (Fcfa)</t>
  </si>
  <si>
    <t>caniveau trottoir 150 x 100=m</t>
  </si>
  <si>
    <t>emprise</t>
  </si>
  <si>
    <t>TOTAL LOT XX  (Fcfa)</t>
  </si>
  <si>
    <t>TOTAL TRAVAUX XX (Fcfa)</t>
  </si>
  <si>
    <t>Cadre récapitulatif estimation des coûts d'investissement - Bassins XX</t>
  </si>
  <si>
    <t>caniveau trottoir 100 x 60=m</t>
  </si>
  <si>
    <t>Total Rue emprise 40 m= m</t>
  </si>
  <si>
    <t>Total correction de profil Rue 13.002 =m</t>
  </si>
  <si>
    <t>Total Collecteur trapèzoidal rue 13.289 bis =m</t>
  </si>
  <si>
    <t>Total Collecteur trapèzoidal Amont pont vidéo ledear =m</t>
  </si>
  <si>
    <t>Total Collecteur Matelas Reno =m</t>
  </si>
  <si>
    <t>Décapage sur 0,5 m</t>
  </si>
  <si>
    <t>piste de service largueur variable: 6 x2 pour le matelas Reno et 9 x2 autour du trapezoidal</t>
  </si>
  <si>
    <t>caniveau trottoir 150 x 150=m</t>
  </si>
  <si>
    <t>caniveau trottoir y compris dalle de rue de largeur intérieure 1,50 m et hauteur 1,50 m</t>
  </si>
  <si>
    <t>dalot cadre B= 4 x 2,50 m   H= 1,5 m</t>
  </si>
  <si>
    <t>canal trapézoïdal talus 1/1   B=4 m  H= 1,5 m</t>
  </si>
  <si>
    <t>canal trapézoïdal talus 1/1   B=1,5 m  H= 1,5 m</t>
  </si>
  <si>
    <t>sur canal de grande base 7.00 mètres</t>
  </si>
  <si>
    <t>canal trapézoïdal talus 1/1   B=5 m  H= 1,5 m</t>
  </si>
  <si>
    <t>canal trapézoïdal talus 1/1   B=7 m  H= 1,5 m</t>
  </si>
  <si>
    <t>dalot cadre B= 3 x 2,50 m   H= 1,5 m</t>
  </si>
  <si>
    <t xml:space="preserve">Cadre général estimation des coûts d'investissement </t>
  </si>
  <si>
    <t>Caniveaux secondaires T = 3070 m</t>
  </si>
  <si>
    <t>rue le long du collecteur primaire</t>
  </si>
  <si>
    <t>Purge et remplacer un sable sur 02 m</t>
  </si>
  <si>
    <t>y compris espace vert à aménager</t>
  </si>
  <si>
    <t>TOTAL LOT  M (Fcfa)</t>
  </si>
  <si>
    <t>Purge sur 1 m</t>
  </si>
  <si>
    <t>Lot "WW" (préfabrication)</t>
  </si>
  <si>
    <t>Total Rue Wa amont</t>
  </si>
  <si>
    <t>Total Rue Wa aval</t>
  </si>
  <si>
    <t xml:space="preserve"> A paver</t>
  </si>
  <si>
    <t>A paver</t>
  </si>
  <si>
    <t>Lot "Wa" (préfabrication)</t>
  </si>
  <si>
    <t>caniveau (100 x (90 à 150))=m</t>
  </si>
  <si>
    <t>pk 0</t>
  </si>
  <si>
    <t>Pk550</t>
  </si>
  <si>
    <t>pk 550</t>
  </si>
  <si>
    <t>Pk1200</t>
  </si>
  <si>
    <t>caniveau (150 x (90 à 150))=m</t>
  </si>
  <si>
    <t>Pk1588</t>
  </si>
  <si>
    <t>pk 1200</t>
  </si>
  <si>
    <t>Amorce caniveau 100 x150</t>
  </si>
  <si>
    <t>emprise moyenne</t>
  </si>
  <si>
    <t>couche de fondation  y compris trottoir)</t>
  </si>
  <si>
    <t>Amorce caniveau (100 x100) =m</t>
  </si>
  <si>
    <r>
      <t>o</t>
    </r>
    <r>
      <rPr>
        <sz val="7"/>
        <color theme="1"/>
        <rFont val="Times New Roman"/>
        <family val="1"/>
      </rPr>
      <t xml:space="preserve">    </t>
    </r>
    <r>
      <rPr>
        <sz val="10"/>
        <color theme="1"/>
        <rFont val="Times New Roman"/>
        <family val="1"/>
      </rPr>
      <t>De PK0+000 à PK0+650 : 120 x 90 à 150</t>
    </r>
  </si>
  <si>
    <r>
      <t>o</t>
    </r>
    <r>
      <rPr>
        <sz val="7"/>
        <color theme="1"/>
        <rFont val="Times New Roman"/>
        <family val="1"/>
      </rPr>
      <t xml:space="preserve">    </t>
    </r>
    <r>
      <rPr>
        <sz val="10"/>
        <color theme="1"/>
        <rFont val="Times New Roman"/>
        <family val="1"/>
      </rPr>
      <t>De pk0+650 à pk1+525 : 2(100x150)</t>
    </r>
  </si>
  <si>
    <t>Lot "S" (Avenue Monseigneur De SOUZA Rue 4.145 et Rue 2.003)</t>
  </si>
  <si>
    <t>pK0</t>
  </si>
  <si>
    <t>pK0650</t>
  </si>
  <si>
    <t>pK650</t>
  </si>
  <si>
    <t>pK1000</t>
  </si>
  <si>
    <t>Pavé existant Rue 2.003</t>
  </si>
  <si>
    <t>pK1525</t>
  </si>
  <si>
    <t>pK2536</t>
  </si>
  <si>
    <t>pK300</t>
  </si>
  <si>
    <t>emprise variable de 20 -12 -20 m</t>
  </si>
  <si>
    <t>Pavage trottoir Sobebra - Ciné concorde =m</t>
  </si>
  <si>
    <t>Caniveau de décharge ( 100x100)=m</t>
  </si>
  <si>
    <t>ce caniveau permet de décharger  les caniveaux trottoirs et les amorces de rue sur le collecteur axial</t>
  </si>
  <si>
    <t>Amorce caniveau ( 60x 60)=m</t>
  </si>
  <si>
    <t>Caniveau trottoir ( 60x 60)=m</t>
  </si>
  <si>
    <t>caniveau trottoir de rue</t>
  </si>
  <si>
    <t>amorce caniveau dans les rues adjacentes</t>
  </si>
  <si>
    <t>pour les deux ailes en béton</t>
  </si>
  <si>
    <t>316</t>
  </si>
  <si>
    <t>Pavage autour du collecteur existant =m</t>
  </si>
  <si>
    <t xml:space="preserve"> caniveau trottoir autour du collecteur 60 x 60=m</t>
  </si>
  <si>
    <t>emprise de 10 m x 2</t>
  </si>
  <si>
    <t xml:space="preserve"> Amorce caniveau trottoir 60 x 60=m</t>
  </si>
  <si>
    <t xml:space="preserve"> sur 20 m pour 49 amorces et 02 cotés</t>
  </si>
  <si>
    <t>Prix 602 bis - Fourniture et pose de support infranchissable</t>
  </si>
  <si>
    <t>Bassin de retention Fidjrossé Kpota=</t>
  </si>
  <si>
    <t>Lot AA nord et AA centre</t>
  </si>
  <si>
    <t>Lot "AAn" et "AAc" (préfabrication)</t>
  </si>
  <si>
    <t>Cadre récapitulatif estimation des coûts d'investissement - Bassins "AAn" et "AAs"</t>
  </si>
  <si>
    <t>TOTAL TRAVAUX  (Fcfa)</t>
  </si>
  <si>
    <t>Lot "AAs" (préfabrication)</t>
  </si>
  <si>
    <t>Cadre récapitulatif estimation des coûts d'investissement - Bassins "AAs"</t>
  </si>
  <si>
    <t>Boue sur 1,0 m</t>
  </si>
  <si>
    <t>Purge sur 0,8m sur toute l'emprise</t>
  </si>
  <si>
    <t>Décapage sur 0,2 m</t>
  </si>
  <si>
    <t xml:space="preserve">Prix 60x - Fourniture et pose de lampadaire en énergie solaire monocross </t>
  </si>
  <si>
    <t xml:space="preserve">Prix 60x -Construction de mobilier urbain type banc public de 06 places en béton armé </t>
  </si>
  <si>
    <t>Lot "AAc" (préfabrication)</t>
  </si>
  <si>
    <t>Cadre récapitulatif estimation des coûts d'investissement - Bassins  "AAc"</t>
  </si>
  <si>
    <t>Lot "AAn" (préfabrication)</t>
  </si>
  <si>
    <t>Cadre récapitulatif estimation des coûts d'investissement - Bassins  "AAn"</t>
  </si>
  <si>
    <t>largeur bassin =</t>
  </si>
  <si>
    <t>longueur bassin =</t>
  </si>
  <si>
    <t>décapage sur 0,3 m</t>
  </si>
  <si>
    <t>décapage sur 0,5 m</t>
  </si>
  <si>
    <t>TOTAL TRAVAUX Pa 3 (Fcfa)</t>
  </si>
  <si>
    <t>TOTAL LOT Pa 3 (Fcfa)</t>
  </si>
  <si>
    <t>Boue sur (1,7+0,17-0,3) m</t>
  </si>
  <si>
    <t>Lot "Pa 3" (préfabrication)</t>
  </si>
  <si>
    <t>Cadre récapitulatif estimation des coûts d'investissement - Bassins Pa 3</t>
  </si>
  <si>
    <t>Lot "Pa 2" (préfabrication)</t>
  </si>
  <si>
    <t xml:space="preserve">Purge sur 0,5 m pour la piste et  1 m pour le matelas reno </t>
  </si>
  <si>
    <t>Cadre récapitulatif estimation des coûts d'investissement - Bassins Qb</t>
  </si>
  <si>
    <t>Cadre récapitulatif estimation des coûts d'investissement - Bassins Qa et Qc</t>
  </si>
  <si>
    <t>Lot "ABa" (préfabrication)</t>
  </si>
  <si>
    <t>Ancienne longeur=</t>
  </si>
  <si>
    <t>38 amorces</t>
  </si>
  <si>
    <t>à complèter</t>
  </si>
  <si>
    <t>Lot Zb (préfabrication)</t>
  </si>
  <si>
    <t>Total collecteur=m</t>
  </si>
  <si>
    <t>caniveau trottoir de 2*(120x110)=m</t>
  </si>
  <si>
    <t>caniveau trottoir de (120x110)=m</t>
  </si>
  <si>
    <t>caniveau cadre double de 3x(160x100)=m</t>
  </si>
  <si>
    <t>caniveau cadre double de 2x(170x110)=m</t>
  </si>
  <si>
    <t>caniveau cadre (170x110)=m</t>
  </si>
  <si>
    <t>Amorce caniveau largeur intérieure 1,0 m et hauteur 0,80 m=</t>
  </si>
  <si>
    <t>Total rue portant le collecteur=m</t>
  </si>
  <si>
    <t>Caniveau troittoir 60 x 60 pour l'emprise de 40m=</t>
  </si>
  <si>
    <t>caniveau cadre (160x100)=m</t>
  </si>
  <si>
    <t>Amorce caniveau 100 x80=m</t>
  </si>
  <si>
    <t>IL s'agit de buse LAVALIN et de l'existant de L</t>
  </si>
  <si>
    <t>Dalot (150 x 150)=m</t>
  </si>
  <si>
    <t>Dalot 2*(150 x 150)=m</t>
  </si>
  <si>
    <t>dalot  B= 1,50 m   H= 1,50 m</t>
  </si>
  <si>
    <t>dalot  B= 2x1,50 m   H= 1,50 m</t>
  </si>
  <si>
    <t>dalot cadre B= 2 x 2,0 m   H=2,0 m</t>
  </si>
  <si>
    <t>caniveau trottoir 60 x 60</t>
  </si>
  <si>
    <t>Total rue 5.164</t>
  </si>
  <si>
    <t>Total rue 5.158</t>
  </si>
  <si>
    <t>Lot "L bis" (préfabrication)</t>
  </si>
  <si>
    <t>Cadre récapitulatif estimation des coûts d'investissement - Bassins L bis</t>
  </si>
  <si>
    <t>Regards d'inspection coulés en place sur collecteur fermé, avec tampon inviolable de type D400 et échelons en acier inoxydable encastrés et de hauteur 0 à 3 m</t>
  </si>
  <si>
    <t>rue allant vers la lagune</t>
  </si>
  <si>
    <t>et Wac 340</t>
  </si>
  <si>
    <t>1600 Wab</t>
  </si>
  <si>
    <t>Lot Rc ( Rue 4.127 - Rue 4.168 - Rue 4.170)</t>
  </si>
  <si>
    <t>TOTAL TRAVAUX Rc (Fcfa)</t>
  </si>
  <si>
    <t>TOTAL LOT Rc (Fcfa)</t>
  </si>
  <si>
    <t>Lot Rc (préfabrication)</t>
  </si>
  <si>
    <t>Cadre récapitulatif estimation des coûts d'investissement - Bassins Rc</t>
  </si>
  <si>
    <t>Cadre récapitulatif estimation des coûts d'investissement - Bassins Rb Rd</t>
  </si>
  <si>
    <t>Lot Rb Rd (préfabrication)</t>
  </si>
  <si>
    <t>TOTAL LOT Rb Rd (Fcfa)</t>
  </si>
  <si>
    <t>TOTAL TRAVAUX Rb Rd (Fcfa)</t>
  </si>
  <si>
    <t>Lot "Rb Rd" (Rue 4.200 et Rue 4.118)</t>
  </si>
  <si>
    <t>Totaux Généraux (HT - HD)</t>
  </si>
  <si>
    <t xml:space="preserve"> </t>
  </si>
  <si>
    <t>PU</t>
  </si>
  <si>
    <t>surface tot Préfa 11 cm = m2</t>
  </si>
  <si>
    <t>surface tot Préfa 8 cm = m2</t>
  </si>
  <si>
    <t>caniveau trottoir de largeur intérieure 0,60 m et hauteur 0,60 à 0,7 m</t>
  </si>
  <si>
    <t>caniveau trottoir de largeur intérieure 0,60 m et hauteur 0,80 à 0,90 m</t>
  </si>
  <si>
    <t>caniveau trottoir de largeur intérieure 0,8 m et hauteur 1,00 à 1,20 m</t>
  </si>
  <si>
    <t>caniveau trottoir de largeur intérieure 1,0 m et hauteur 1,00 à 1,20 m</t>
  </si>
  <si>
    <t>mise en œuvre bordures type T2-CS2</t>
  </si>
  <si>
    <t>Bordure T2-CS2</t>
  </si>
  <si>
    <t>Bordures T2-CS2</t>
  </si>
  <si>
    <t>Bordures lourdes 15 x 30 (T2)</t>
  </si>
  <si>
    <t>Bordures légères 10 x 20 (T1)</t>
  </si>
  <si>
    <t>Bordures CS2 (Fil d'eau)</t>
  </si>
  <si>
    <t>linéaire</t>
  </si>
  <si>
    <t>longueur tot bordures T2-CS2 = m</t>
  </si>
  <si>
    <t xml:space="preserve">epais </t>
  </si>
  <si>
    <t>épais</t>
  </si>
  <si>
    <t>epais</t>
  </si>
  <si>
    <t>Prix 407 - Préfabrication et Mise en œuvre du revêtement en pavés</t>
  </si>
  <si>
    <t>407A</t>
  </si>
  <si>
    <t>Prix 407A - Préfabrication de  pavés</t>
  </si>
  <si>
    <t>Pavé de 11</t>
  </si>
  <si>
    <t>Pavé de 8</t>
  </si>
  <si>
    <t>407A-1</t>
  </si>
  <si>
    <t>407A-2</t>
  </si>
  <si>
    <t>407B-1</t>
  </si>
  <si>
    <t>407B-2</t>
  </si>
  <si>
    <t>Prix 408 -Préfabrications et  Mise en œuvre des bordures préfabriquées</t>
  </si>
  <si>
    <t>408A</t>
  </si>
  <si>
    <t>Préfabrication  bordures  lourdes 15x30 cm (T2)</t>
  </si>
  <si>
    <t>Préfabrication  bordures légères 10x20 cm (T1)</t>
  </si>
  <si>
    <t>Préfabrication  bordures type CS2</t>
  </si>
  <si>
    <t>Préfabrication de Bordure T2-CS2</t>
  </si>
  <si>
    <t>Prix 408A -Préfabrications de bordures</t>
  </si>
  <si>
    <t>407B</t>
  </si>
  <si>
    <t>408A-1</t>
  </si>
  <si>
    <t>408A-2</t>
  </si>
  <si>
    <t>408A-3</t>
  </si>
  <si>
    <t>408A-4</t>
  </si>
  <si>
    <t>408B-1</t>
  </si>
  <si>
    <t>408B-2</t>
  </si>
  <si>
    <t>408B</t>
  </si>
  <si>
    <t>408B-4</t>
  </si>
  <si>
    <t>408B-3</t>
  </si>
  <si>
    <t>Prix 407B - Mise en œuvre du revêtement en pavés</t>
  </si>
  <si>
    <t>caniveau cadre de largeur intérieure 2 x 1,25 m et hauteur 1,50 m</t>
  </si>
  <si>
    <t>DESIGNATION</t>
  </si>
  <si>
    <t>N° Prix</t>
  </si>
  <si>
    <t>caniveau cadre double de 2x(180x100)=m</t>
  </si>
  <si>
    <t>caniveau cadre double de 3x(180x100)=m</t>
  </si>
  <si>
    <t>caniveau cadre de largeur intérieure 3x1,5 m et hauteur 1,6 m</t>
  </si>
  <si>
    <t>512-3</t>
  </si>
  <si>
    <t>caniveau cadre 2x1,25 x 150=m</t>
  </si>
  <si>
    <t>caniveau cadre 3x(150 x160) =m</t>
  </si>
  <si>
    <t>caniveau cadre 160 x160 =m</t>
  </si>
  <si>
    <t>caniveau cadre 3x(160 x160) =m</t>
  </si>
  <si>
    <t>caniveau cadre 4x(160 x160) =m</t>
  </si>
  <si>
    <t>Caniveau de rue</t>
  </si>
  <si>
    <t>caniveau cadre 2x(160 x200) =m</t>
  </si>
  <si>
    <t>caniveau cadre 3x(160 x 200) =m</t>
  </si>
  <si>
    <t>caniveau cadre 4x(160 x 200) =m</t>
  </si>
  <si>
    <t>rabanappe</t>
  </si>
  <si>
    <t>caniveau cadre 2x1,25 x 100=m</t>
  </si>
  <si>
    <t>615-1</t>
  </si>
  <si>
    <t>Designation</t>
  </si>
  <si>
    <t xml:space="preserve">MONTANT HT </t>
  </si>
  <si>
    <t>Dépose de coonduit PEHD Diamètre 315 mm</t>
  </si>
  <si>
    <t>Fourniture et pose de coonduite PEHD Diamètre 315 mm</t>
  </si>
  <si>
    <t>(F Cfa)</t>
  </si>
  <si>
    <t>F Cfa</t>
  </si>
  <si>
    <t>F Cfa)</t>
  </si>
  <si>
    <t>Fcfa</t>
  </si>
  <si>
    <t>614</t>
  </si>
  <si>
    <t>Regard (avaloir sous chaussée) de type "boîte à lettre"</t>
  </si>
  <si>
    <t>Regards d'inspection coulés en place sur collecteur fermé, avec tampon inviolable en fonte de type D-400 selon NF EN. 124 et échelons en acier inoxydable encastrés et de hauteur 0 à 5 m</t>
  </si>
  <si>
    <t>Total Collecteur</t>
  </si>
  <si>
    <t xml:space="preserve">Fourniture et pose de lampadaire  solaire monocross </t>
  </si>
  <si>
    <t>%</t>
  </si>
  <si>
    <t>m2</t>
  </si>
  <si>
    <t>PRIX 100 - DEPLACEMENT OU MODIFICATION DE RESEAUX</t>
  </si>
  <si>
    <t>FF</t>
  </si>
  <si>
    <t>602-1</t>
  </si>
  <si>
    <t>602-2</t>
  </si>
  <si>
    <t>614-1</t>
  </si>
  <si>
    <t>Banc simple assise</t>
  </si>
  <si>
    <t>CC</t>
  </si>
  <si>
    <t>prov</t>
  </si>
  <si>
    <t>Provisoion</t>
  </si>
  <si>
    <t>caniveau cadre 2*1,25 x 100  =m</t>
  </si>
  <si>
    <t xml:space="preserve">Prix 201 - Nettoyage du site </t>
  </si>
  <si>
    <t xml:space="preserve">Prix 202 - Débroussaillage – décapage - dessouchage - nettoyage </t>
  </si>
  <si>
    <t xml:space="preserve">Prix 203 -Abattage d'arbres </t>
  </si>
  <si>
    <t>Fourniture de garde Corps métallique</t>
  </si>
  <si>
    <t>PM</t>
  </si>
  <si>
    <t>Prix 407A – Préfabrication du revêtement en pavés</t>
  </si>
  <si>
    <t>PRIX 407 - REVETEMENT EN PAVES</t>
  </si>
  <si>
    <t>407A-0</t>
  </si>
  <si>
    <t>PRIX 408 - BORDURES</t>
  </si>
  <si>
    <t>Prix 408A – Préfabrication de bordures</t>
  </si>
  <si>
    <t>511</t>
  </si>
  <si>
    <t>en terrain marécageuse</t>
  </si>
  <si>
    <t xml:space="preserve">dalles de rue </t>
  </si>
  <si>
    <t xml:space="preserve">dalles de trottoirs </t>
  </si>
  <si>
    <t xml:space="preserve">Pavés de 13 cm </t>
  </si>
  <si>
    <t>Préfabrication de Pavé pré peint de 11 cm pour la signalisation routière</t>
  </si>
  <si>
    <t>409A</t>
  </si>
  <si>
    <t>409A-1</t>
  </si>
  <si>
    <t>409A-2</t>
  </si>
  <si>
    <t>409B</t>
  </si>
  <si>
    <t>409B-1</t>
  </si>
  <si>
    <t>409B-2</t>
  </si>
  <si>
    <t>Préfabrication de pavé de 8 cm décoratif d'embellissement du cadre de Vie</t>
  </si>
  <si>
    <t>Mise en œuvre  de Pavé pré peint de 11 cm pour la signalisation routière</t>
  </si>
  <si>
    <t>Mise en œuvre  de pavé de 8 cm  décoratif d'embellissement du cadre de Vie</t>
  </si>
  <si>
    <t>Pavés de 11 cm</t>
  </si>
  <si>
    <t>Pavés de 8 cm</t>
  </si>
  <si>
    <t>le kilogramme d'acier à haute adhérence</t>
  </si>
  <si>
    <t>Plantation  et entretien d'arbres</t>
  </si>
  <si>
    <t>Fourniture et pose de panneaux de signalisation routière</t>
  </si>
  <si>
    <t>Total Rue11.002  (Cahussée opposée marche GBEGAMEY)</t>
  </si>
  <si>
    <t>second côté de Rue 12.096</t>
  </si>
  <si>
    <t>pavé de11</t>
  </si>
  <si>
    <t>Pavé de8</t>
  </si>
  <si>
    <t>N° PRIX</t>
  </si>
  <si>
    <t>Reconstruction des rues 5.095 - 5.085</t>
  </si>
  <si>
    <t>Reconstruction de voie  (Pavé de 13 )à l'intérieur du port</t>
  </si>
  <si>
    <t>Pavé 11</t>
  </si>
  <si>
    <t>lar chaussée</t>
  </si>
  <si>
    <t>Larg trott</t>
  </si>
  <si>
    <t>Lot COL_M</t>
  </si>
  <si>
    <t>Lot COL_L</t>
  </si>
  <si>
    <t xml:space="preserve">Engazonnement  et entretien </t>
  </si>
  <si>
    <r>
      <t>m</t>
    </r>
    <r>
      <rPr>
        <vertAlign val="superscript"/>
        <sz val="10"/>
        <rFont val="Arial"/>
        <family val="2"/>
      </rPr>
      <t>2</t>
    </r>
  </si>
  <si>
    <t>Dalot (2x400) x160 =m</t>
  </si>
  <si>
    <t>Dalot (2x400)x160=m</t>
  </si>
  <si>
    <t>CADRE DEVIS QUANTITATIF ET ESTIMATIF</t>
  </si>
  <si>
    <t>CADRE DE BORDEREAU DES PRIX UNITAIRES</t>
  </si>
  <si>
    <t>ENTREPRISE:</t>
  </si>
  <si>
    <t>PRIX UNITAIRES</t>
  </si>
  <si>
    <t>EN CHIFFRES</t>
  </si>
  <si>
    <t>EN LETTRES</t>
  </si>
  <si>
    <t>rue 12.143 + les amorces</t>
  </si>
  <si>
    <t>MONTANT HT</t>
  </si>
  <si>
    <t xml:space="preserve">Lot COLL_Pa3 </t>
  </si>
  <si>
    <t>Lot COLL_Y</t>
  </si>
  <si>
    <t>Plantation  et entretien d'arbustes</t>
  </si>
  <si>
    <t>Périmère</t>
  </si>
  <si>
    <t>PRIX UNITAIRE MOYEN DES CANIVEAUX</t>
  </si>
  <si>
    <t>bp</t>
  </si>
  <si>
    <t>fer</t>
  </si>
  <si>
    <t>béton</t>
  </si>
  <si>
    <t>PUbeton</t>
  </si>
  <si>
    <t>coffrage</t>
  </si>
  <si>
    <t>Carractéristiques Caniveau</t>
  </si>
  <si>
    <t>propreté</t>
  </si>
  <si>
    <t>Repérage</t>
  </si>
  <si>
    <t>Long (m)</t>
  </si>
  <si>
    <t>Nbr</t>
  </si>
  <si>
    <t>B ( m)</t>
  </si>
  <si>
    <t>H (m)</t>
  </si>
  <si>
    <t>Volume/ml m3</t>
  </si>
  <si>
    <t>Montant Tot</t>
  </si>
  <si>
    <t>Can ouvert</t>
  </si>
  <si>
    <t>Montant total</t>
  </si>
  <si>
    <t>Prix Unitaire Moyen</t>
  </si>
  <si>
    <t>b</t>
  </si>
  <si>
    <t>B</t>
  </si>
  <si>
    <t>H</t>
  </si>
  <si>
    <t>t</t>
  </si>
  <si>
    <t>caniveau cadre 3x160 x160 =m</t>
  </si>
  <si>
    <t>caniveau cadre 5x(160 x160) =m</t>
  </si>
  <si>
    <t>Lot COL_M   Tronçon CODIAM-Exutoire</t>
  </si>
  <si>
    <t>caniveau ou buse en béton armé</t>
  </si>
  <si>
    <t>caniveau cadre 2x(160 x180) =m</t>
  </si>
  <si>
    <t>caniveau cadre 3x(160 x 180) =m</t>
  </si>
  <si>
    <t>caniveau cadre 4x(160 x 180) =m</t>
  </si>
  <si>
    <t>Récapitualtif des coûts de la traversée du Bd de la Marina (Collecteurs L &amp; M)</t>
  </si>
  <si>
    <t xml:space="preserve">Les travaux visés sont: </t>
  </si>
  <si>
    <t>1-les travaux topographiques sur l'ensemble du collecteur et l'établissement du dossier d'exécution (profils fil d'eau et du tablier)</t>
  </si>
  <si>
    <t>2-la Fouille pour l'exécution des collecteurs</t>
  </si>
  <si>
    <t>3-l'exécution des collecteurs suivants les linéaires indiqués</t>
  </si>
  <si>
    <t>4-les remblais de fouille</t>
  </si>
  <si>
    <t>5-la réfection sur 10 m du Bd St Michel au Nord de la Marina après les remblais de fouille</t>
  </si>
  <si>
    <t>Linéaire visé (ml)</t>
  </si>
  <si>
    <t>F CFA (HT - HD)</t>
  </si>
  <si>
    <t>Collecteur L (Traversée de la Marina)</t>
  </si>
  <si>
    <t>Collecteur M (Traversée de la Marina)</t>
  </si>
  <si>
    <t>Total Général</t>
  </si>
  <si>
    <t>Lot COL_L Traversée du Bd de la Marina</t>
  </si>
  <si>
    <t>caniveau cadre de largeur intérieure 4 x 1,6 m et hauteur 1,80 m =m</t>
  </si>
  <si>
    <t>Lot COL_M traversée du Bd de la Marina</t>
  </si>
  <si>
    <t>caniveaux et Collecteurs en béton armé</t>
  </si>
  <si>
    <t>L (Bd Marina  au bassin portuaire)</t>
  </si>
  <si>
    <t>M  (CODIAM à l'océan Atlantique)</t>
  </si>
  <si>
    <t>NB: L’estimation de prend pas en compte la démolition partielle ou totale de la porte de retour, ni les bâtiments à démolir vers l’exutoire</t>
  </si>
  <si>
    <t>TOTAL TRAVAUX M (Fcfa)</t>
  </si>
  <si>
    <t>1,5+,25</t>
  </si>
  <si>
    <t>Collecteur M depuis le Nord de la Place de la République et le Sud de la Porte de retour sans connection à la mer situé encore à 500ml</t>
  </si>
  <si>
    <t>second côté de 11.003 (drainage et pavé)</t>
  </si>
  <si>
    <t>Travaux et Préfabrication</t>
  </si>
  <si>
    <t>Longueur</t>
  </si>
  <si>
    <t>surface</t>
  </si>
  <si>
    <t>Volume</t>
  </si>
  <si>
    <t>lineire entre Pa3 et Pa2 (Bras princiaple</t>
  </si>
  <si>
    <t>Rues</t>
  </si>
  <si>
    <t>total collecteurs =m</t>
  </si>
  <si>
    <t xml:space="preserve">Total rue et trottoir </t>
  </si>
  <si>
    <t>caniveau 2 x100 x(90 à  150))=m</t>
  </si>
  <si>
    <t>caniveau Trottoir (120 x (90 à 150))=m</t>
  </si>
  <si>
    <t>caniveau cadre 2x(100x150)=m</t>
  </si>
  <si>
    <t>caniveau cadre  2x(100x150)=m</t>
  </si>
  <si>
    <t>caniveau cadre  2x(150 x 150)=m</t>
  </si>
  <si>
    <t>canal à ciel ouvert (b= 200, h= 100, m =1)=m</t>
  </si>
  <si>
    <t>collecteur à ciel ouvert (b=300, h= 100 , m=1)=m</t>
  </si>
  <si>
    <t>Pavage trottoir - Lagune =m</t>
  </si>
  <si>
    <t>caniveau trottoir 2x1,25 x 100=m</t>
  </si>
  <si>
    <t>caniveau cadre 2x1,70 x 130=m</t>
  </si>
  <si>
    <t>lampadaire</t>
  </si>
  <si>
    <t>BM</t>
  </si>
  <si>
    <t>BEI</t>
  </si>
  <si>
    <t>AFD</t>
  </si>
  <si>
    <t>BAD</t>
  </si>
  <si>
    <t>BID</t>
  </si>
  <si>
    <t>BAOD</t>
  </si>
  <si>
    <t>Financement Annoncé</t>
  </si>
  <si>
    <t>En devise</t>
  </si>
  <si>
    <t>En FCFA</t>
  </si>
  <si>
    <t>Taux de Change</t>
  </si>
  <si>
    <t>devise►FCFA</t>
  </si>
  <si>
    <t>11.002, côté ouest (950ml); 12.169 (240 ml); 12.015 (225 ml); 11.021-11.046-11.048-11.050-11.052 (932 ml); 12.096 (390ml)</t>
  </si>
  <si>
    <t>10.174 -10.176 (600ml) ; 10.178- 10.180 (725ml) ;10.140 (490ml) ; 10.146 (400ml) ; 10.172 (300ml) ; 10.137 (625ml) ; 10.216 (100ml) ; 10.212 (235ml) ; 10.208 (220 ml) ; 10.210 (220ml) ; 10.182 (180ml)  ; 10.133 (300ml) ; 10.123 et 123 bis (470ml) ; 10.125 (150ml) ; 10.127 (150ml) ; 10.129 (210ml) ; 10.204 (272 ml); 10.144 (253 ml); 10.113 (293 ml); 4.028-4.026 (950 ml); 4.020 (230 ml); 4.012 (415 ml)</t>
  </si>
  <si>
    <t>Bordures de dimensions 15 cm x 30 cm (T2)</t>
  </si>
  <si>
    <t>Bordures de dimensions 10 cm x 20 cm (T1)</t>
  </si>
  <si>
    <t xml:space="preserve">Pavés de 11 cm </t>
  </si>
  <si>
    <t xml:space="preserve">Pavés de 8 cm </t>
  </si>
  <si>
    <t>Bordures fil d'eau ou bordure CS2</t>
  </si>
  <si>
    <t>CADRE DU DEVIS QUANTITATIF ET ESTIMATIF</t>
  </si>
  <si>
    <t>m3</t>
  </si>
  <si>
    <t>PRIX UNITAIRE HORS TAXES</t>
  </si>
  <si>
    <t>Lot BM_T01</t>
  </si>
  <si>
    <t>511-2</t>
  </si>
  <si>
    <t>511-11</t>
  </si>
  <si>
    <t xml:space="preserve">511 bis  </t>
  </si>
  <si>
    <t>511bis-2</t>
  </si>
  <si>
    <t>511bis-18</t>
  </si>
  <si>
    <t>511bis-31</t>
  </si>
  <si>
    <t>Installation de chantier, travaux topographiques, études techniques et élaboration du projet d'exécution, installation de sécurité, repli et nettoyage en fin de chantier</t>
  </si>
  <si>
    <t>Aménagement de déviation</t>
  </si>
  <si>
    <t>TOTAL 000</t>
  </si>
  <si>
    <t>Réseaux d'eau potable</t>
  </si>
  <si>
    <t>Réseau électrique Conventionnel (SBEE)</t>
  </si>
  <si>
    <t>Réseau téléphonique et de fibre optique</t>
  </si>
  <si>
    <t>Pourcentage appliqué au déplacement de réseau,  Prix 101 à 104</t>
  </si>
  <si>
    <t>Déplacement de lampadaire solaire</t>
  </si>
  <si>
    <t>TOTAL 100</t>
  </si>
  <si>
    <t xml:space="preserve">Nettoyage du site </t>
  </si>
  <si>
    <t xml:space="preserve">Débroussaillage – décapage - dessouchage - nettoyage </t>
  </si>
  <si>
    <t xml:space="preserve">Abattage d'arbres </t>
  </si>
  <si>
    <t>Dépose et enlèvement de pavés</t>
  </si>
  <si>
    <t>Dépose et enlèvement de bordures</t>
  </si>
  <si>
    <t>Curage d'ouvrages de drainage existant</t>
  </si>
  <si>
    <t>TOTAL 200</t>
  </si>
  <si>
    <t>Déblais en grande masse, mise en dépôt</t>
  </si>
  <si>
    <t>TOTAL 300</t>
  </si>
  <si>
    <t>Remblais provenant de déblais en terrain meuble</t>
  </si>
  <si>
    <t>Fourniture et mise en œuvre de remblais en terre d'apport</t>
  </si>
  <si>
    <t>Purge de terres de mauvaise tenue et leur substitution par de matériaux granulaires</t>
  </si>
  <si>
    <t>Enlèvement et évacuation de boues</t>
  </si>
  <si>
    <t>Géotextile anti-contaminant</t>
  </si>
  <si>
    <t>Matelas Réno avec treillis d'ancrage, épaisseur 17 cm</t>
  </si>
  <si>
    <t>Réception en usine</t>
  </si>
  <si>
    <t>Fourniture, transport et mise en œuvre  de matériaux pour couches de chaussée</t>
  </si>
  <si>
    <t>Traitement de la couche de base au ciment</t>
  </si>
  <si>
    <t>Préfabrication et mise en œuvre du revêtement en pavés</t>
  </si>
  <si>
    <t>Préfabrication du revêtement en pavés</t>
  </si>
  <si>
    <t>Mise en œuvre du revêtement en pavés</t>
  </si>
  <si>
    <t>Préfabrication et mise en œuvre de bordures Préfabriqués</t>
  </si>
  <si>
    <t>Préfabrication de bordures</t>
  </si>
  <si>
    <t>Mise en œuvre de bordures préfabriquées</t>
  </si>
  <si>
    <t>Préfabrication et mise en œuvre  de Pavé Pré peint et pavé décoratif d'embellissement du cadre de vie</t>
  </si>
  <si>
    <t>Préfabrication de Pavé Pré peint et pavé décoratif d'embellissemnt du cadre de vie</t>
  </si>
  <si>
    <t>Mise en oeurve  de Pavé Pré peint et Pavé décoratif d'embellissement du cadre de vie</t>
  </si>
  <si>
    <t>TOTAL 400</t>
  </si>
  <si>
    <t xml:space="preserve">Fouilles en terrain meuble pour ouvrages de drainage </t>
  </si>
  <si>
    <t>Remblais de fouilles</t>
  </si>
  <si>
    <t xml:space="preserve">Béton de propreté C 150 </t>
  </si>
  <si>
    <t>Coffrages</t>
  </si>
  <si>
    <t>Aciers pour les bétons armés des ouvrages</t>
  </si>
  <si>
    <t>Béton de classe B 250</t>
  </si>
  <si>
    <t xml:space="preserve">Béton de classe A 350  pour ouvrages </t>
  </si>
  <si>
    <t>Dalles de couverture de caniveaux, préfabriqués ou coulés sur place (Portée inférieure ou égale à 1,50 m)</t>
  </si>
  <si>
    <t>Caniveaux trottoir en béton Armé y compris les dalles  de trottoir  et de rue</t>
  </si>
  <si>
    <t>Caniveaux – cadre en béton armé</t>
  </si>
  <si>
    <t>Construction de Dalots en béton armé</t>
  </si>
  <si>
    <t>Aile en béton</t>
  </si>
  <si>
    <t>Regards</t>
  </si>
  <si>
    <t>Ouvrages de connexion de caniveau secondaire sur canal</t>
  </si>
  <si>
    <t>Ouvrage de connexion sur berge en gabions (largeur 1,5 m)</t>
  </si>
  <si>
    <t>TOTAL 500</t>
  </si>
  <si>
    <t>Aménagement d'espaces verts</t>
  </si>
  <si>
    <t>Fourniture et pose de garde-corps métallique</t>
  </si>
  <si>
    <t>Signalisation</t>
  </si>
  <si>
    <t>Protection en enrochement</t>
  </si>
  <si>
    <t xml:space="preserve">Construction de mobilier urbain type banc public de 06 places en béton armé </t>
  </si>
  <si>
    <t>Fourniture et pose de lampadaire en énergie solaire y compris le système de monitoring à distance</t>
  </si>
  <si>
    <t>TOTAL 600</t>
  </si>
  <si>
    <t>TOTAL GENERAL</t>
  </si>
  <si>
    <t>CHIFFRES</t>
  </si>
  <si>
    <t>LETTRES</t>
  </si>
  <si>
    <t>DESIGNATIONS</t>
  </si>
  <si>
    <t>CADRE DU BORDEREAU DES PRIX UNITAIRES (CBPU)</t>
  </si>
  <si>
    <t>cent quarante six millions</t>
  </si>
  <si>
    <t>trois cent soixante deux millions</t>
  </si>
  <si>
    <t xml:space="preserve">cent trente trois millions </t>
  </si>
  <si>
    <t>211-1</t>
  </si>
  <si>
    <t>211-2</t>
  </si>
  <si>
    <t>Réfection de route bitumée</t>
  </si>
  <si>
    <t>Route en enduit superficiel bicouche</t>
  </si>
  <si>
    <t xml:space="preserve">Route revêtue en béton bitumineux </t>
  </si>
  <si>
    <t>six cent quarante et un millions</t>
  </si>
  <si>
    <t>Mise en œuvre des PGES</t>
  </si>
  <si>
    <t>620-a</t>
  </si>
  <si>
    <t xml:space="preserve">Mesures environnementales et sociales dans le Bassin Y </t>
  </si>
  <si>
    <t>620-a1</t>
  </si>
  <si>
    <t>Veiller à une conception qui s’intègre au paysage du milieu récepteur</t>
  </si>
  <si>
    <t>620-a2</t>
  </si>
  <si>
    <t>Sensibiliser les chauffeurs sur le respect du code de la route</t>
  </si>
  <si>
    <t>620-a3</t>
  </si>
  <si>
    <t>Sensibiliser les conducteurs de ses engins sur les bonnes pratiques de conduite </t>
  </si>
  <si>
    <t>620-a4</t>
  </si>
  <si>
    <t>Sensibiliser les employés sur les relations de bon voisinage avec les riverains et les us et coutumes</t>
  </si>
  <si>
    <t>620-a5</t>
  </si>
  <si>
    <t>Sensibiliser les ouvriers et les populations riveraines  à se préserver contre les IST/VIH SIDA</t>
  </si>
  <si>
    <t>620-a6</t>
  </si>
  <si>
    <t>Mettre des préservatifs à la disposition des employés</t>
  </si>
  <si>
    <t>620-a7</t>
  </si>
  <si>
    <t>Sensibiliser les riverains sur les enjeux du projet</t>
  </si>
  <si>
    <t>620-a8</t>
  </si>
  <si>
    <t>Déposer deux bacs à ordures au niveau de l’exutoire</t>
  </si>
  <si>
    <t>620-a9</t>
  </si>
  <si>
    <t>Installer au niveau du quartier un comité de veille citoyenne en matière de salubrité des quartiers et exutoires aménagés</t>
  </si>
  <si>
    <t>620-a10</t>
  </si>
  <si>
    <t>Planter des arbres le long des artères des rues à aménager</t>
  </si>
  <si>
    <t>620-a11</t>
  </si>
  <si>
    <t>Mettre en place des espaces boisés dans les lieux publics (écoles, centre de santé, collège, etc.) pour capter les gaz à effet de serre</t>
  </si>
  <si>
    <t>620-a12</t>
  </si>
  <si>
    <t>Sécuriser  le parking installé pour les véhicules des riverains</t>
  </si>
  <si>
    <t>620-a13</t>
  </si>
  <si>
    <t>Convoyer les boues issues du curage au LES</t>
  </si>
  <si>
    <t>620-a14</t>
  </si>
  <si>
    <r>
      <t>Mettre en œuvre le plan de restauration des écosystèmes de</t>
    </r>
    <r>
      <rPr>
        <sz val="10"/>
        <color rgb="FF000000"/>
        <rFont val="Arial"/>
        <family val="2"/>
      </rPr>
      <t xml:space="preserve"> </t>
    </r>
    <r>
      <rPr>
        <i/>
        <sz val="10"/>
        <color rgb="FF000000"/>
        <rFont val="Arial"/>
        <family val="2"/>
      </rPr>
      <t>Typha</t>
    </r>
    <r>
      <rPr>
        <sz val="10"/>
        <color rgb="FF000000"/>
        <rFont val="Arial"/>
        <family val="2"/>
      </rPr>
      <t xml:space="preserve"> sp, </t>
    </r>
    <r>
      <rPr>
        <i/>
        <sz val="10"/>
        <color rgb="FF000000"/>
        <rFont val="Arial"/>
        <family val="2"/>
      </rPr>
      <t>Thalia welwichii</t>
    </r>
    <r>
      <rPr>
        <sz val="10"/>
        <color rgb="FF000000"/>
        <rFont val="Arial"/>
        <family val="2"/>
      </rPr>
      <t xml:space="preserve">, </t>
    </r>
    <r>
      <rPr>
        <i/>
        <sz val="10"/>
        <color rgb="FF000000"/>
        <rFont val="Arial"/>
        <family val="2"/>
      </rPr>
      <t>Cyperus</t>
    </r>
    <r>
      <rPr>
        <sz val="10"/>
        <color rgb="FF000000"/>
        <rFont val="Arial"/>
        <family val="2"/>
      </rPr>
      <t xml:space="preserve"> sp, </t>
    </r>
    <r>
      <rPr>
        <sz val="11"/>
        <color rgb="FF000000"/>
        <rFont val="Arial"/>
        <family val="2"/>
      </rPr>
      <t xml:space="preserve">palétuviers, </t>
    </r>
    <r>
      <rPr>
        <sz val="10"/>
        <color rgb="FF000000"/>
        <rFont val="Arial"/>
        <family val="2"/>
      </rPr>
      <t>etc. pour compenser les pertes en végétation</t>
    </r>
  </si>
  <si>
    <t>620-a15</t>
  </si>
  <si>
    <t xml:space="preserve">Sensibiliser les riverains autour de l’exutoire afin d’éviter d’y jeter les déchets de toutes sortes     </t>
  </si>
  <si>
    <t>620-a16</t>
  </si>
  <si>
    <t>Installer le long du chenal un comité des riverains pour la salubrité des exutoires</t>
  </si>
  <si>
    <t>620-a17</t>
  </si>
  <si>
    <t>Prévoir des latrines  publiques pour prévenir les risques d’insalubrité aux environs de l’exutoire du collecteur Y</t>
  </si>
  <si>
    <t>620-a18</t>
  </si>
  <si>
    <t>Imprévu</t>
  </si>
  <si>
    <t>620-a19</t>
  </si>
  <si>
    <t>Pourcentage appliqué à la mise en œuvre du PGES dans le bassin Y,  Prix 620-a1 à 620-a18</t>
  </si>
  <si>
    <t>620-b</t>
  </si>
  <si>
    <t>Mesures environnementales et sociales dans le Bassin Pa3</t>
  </si>
  <si>
    <t>620-b1</t>
  </si>
  <si>
    <t>Veiller à une conception architecturale qui s’intègre au paysage du milieu récepteur</t>
  </si>
  <si>
    <t>620-b2</t>
  </si>
  <si>
    <t>Sensibiliser les ouvriers et les populations riveraines du bassin et de la base-vie contre les IST-VIH/SIDA </t>
  </si>
  <si>
    <t>620-b3</t>
  </si>
  <si>
    <t>620-b4</t>
  </si>
  <si>
    <t>620-b5</t>
  </si>
  <si>
    <t>Sensibiliser les conducteurs de ces engins sur les bonnes pratiques de conduite </t>
  </si>
  <si>
    <t>620-b6</t>
  </si>
  <si>
    <t>Sensibiliser sur les risques d’accès à la base-vie</t>
  </si>
  <si>
    <t>620-b7</t>
  </si>
  <si>
    <t>Sensibiliser les employés sur les relations de bon voisinage avec les riverains et le respect des us et coutumes</t>
  </si>
  <si>
    <t>620-b8</t>
  </si>
  <si>
    <t>Déposer un bac à ordures au niveau du bassin</t>
  </si>
  <si>
    <t>620-b9</t>
  </si>
  <si>
    <t>Installer au niveau du bassin un comité de veille citoyenne en matière de salubrité pour maximiser les acquis du projet en matière d’assainissement</t>
  </si>
  <si>
    <t>620-b10</t>
  </si>
  <si>
    <t>Sensibiliser les populations sur les nuisances liées aux travaux (IRA, Conjonctivites, etc.)</t>
  </si>
  <si>
    <t>620-b11</t>
  </si>
  <si>
    <t xml:space="preserve">Reboiser les artères des rues et les sites aménagés </t>
  </si>
  <si>
    <t>620-b12</t>
  </si>
  <si>
    <t>Mettre en place des espaces boisés dans les lieux publics (écoles, centre de santé, collège, etc..) pour capter les gaz à effet de serre</t>
  </si>
  <si>
    <t>620-b13</t>
  </si>
  <si>
    <t>620-b14</t>
  </si>
  <si>
    <t xml:space="preserve">Respecter les normes d’entreposage des déchets sur le LES de Ouèssè   </t>
  </si>
  <si>
    <t>620-b15</t>
  </si>
  <si>
    <r>
      <t xml:space="preserve">Mettre en œuvre le plan de restauration des écosystèmes de </t>
    </r>
    <r>
      <rPr>
        <i/>
        <sz val="11"/>
        <color rgb="FF000000"/>
        <rFont val="Arial"/>
        <family val="2"/>
      </rPr>
      <t>Typha</t>
    </r>
    <r>
      <rPr>
        <sz val="11"/>
        <color rgb="FF000000"/>
        <rFont val="Arial"/>
        <family val="2"/>
      </rPr>
      <t xml:space="preserve"> sp, </t>
    </r>
    <r>
      <rPr>
        <i/>
        <sz val="11"/>
        <color rgb="FF000000"/>
        <rFont val="Arial"/>
        <family val="2"/>
      </rPr>
      <t>Thalia welwichii</t>
    </r>
    <r>
      <rPr>
        <sz val="11"/>
        <color rgb="FF000000"/>
        <rFont val="Arial"/>
        <family val="2"/>
      </rPr>
      <t xml:space="preserve">, </t>
    </r>
    <r>
      <rPr>
        <i/>
        <sz val="11"/>
        <color rgb="FF000000"/>
        <rFont val="Arial"/>
        <family val="2"/>
      </rPr>
      <t>Cyperus</t>
    </r>
    <r>
      <rPr>
        <sz val="11"/>
        <color rgb="FF000000"/>
        <rFont val="Arial"/>
        <family val="2"/>
      </rPr>
      <t xml:space="preserve"> sp, palétuviers, etc. pour compenser les pertes en végétation </t>
    </r>
  </si>
  <si>
    <t>620-b16</t>
  </si>
  <si>
    <t>Prévoir des latrines publiques pour prévenir les risques d’insalubrité aux abords du bassin Pa3 et aux exutoires</t>
  </si>
  <si>
    <t>620-b17</t>
  </si>
  <si>
    <t>Installer un comité de sécurité du bassin</t>
  </si>
  <si>
    <t>620-b18</t>
  </si>
  <si>
    <t>Imprévus</t>
  </si>
  <si>
    <t>620-b19</t>
  </si>
  <si>
    <t>Pourcentage appliqué à la mise en œuvre du PGES dans le bassin Pa3,  Prix 620-b1 à 620-b18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</si>
</sst>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3" formatCode="_-* #,##0.00_-;\-* #,##0.00_-;_-* &quot;-&quot;??_-;_-@_-"/>
    <numFmt numFmtId="164" formatCode="#,##0\ &quot;€&quot;;\-#,##0\ &quot;€&quot;"/>
    <numFmt numFmtId="165" formatCode="_-* #,##0.00\ _€_-;\-* #,##0.00\ _€_-;_-* &quot;-&quot;??\ _€_-;_-@_-"/>
    <numFmt numFmtId="166" formatCode="_(* #,##0_);_(* \(#,##0\);_(* &quot;-&quot;??_);_(@_)"/>
    <numFmt numFmtId="167" formatCode="_-* #,##0_-;\-* #,##0_-;_-* &quot;-&quot;??_-;_-@_-"/>
    <numFmt numFmtId="168" formatCode="_-* #,##0.000_-;\-* #,##0.000_-;_-* &quot;-&quot;??_-;_-@_-"/>
    <numFmt numFmtId="169" formatCode="_-* #,##0.0_-;\-* #,##0.0_-;_-* &quot;-&quot;??_-;_-@_-"/>
    <numFmt numFmtId="170" formatCode="_-* #,##0\ _€_-;\-* #,##0\ _€_-;_-* &quot;-&quot;??\ _€_-;_-@_-"/>
    <numFmt numFmtId="171" formatCode="_(* #,##0.0_);_(* \(#,##0.0\);_(* &quot;-&quot;??_);_(@_)"/>
    <numFmt numFmtId="172" formatCode="_-* #,##0.00\ _F_-;\-* #,##0.00\ _F_-;_-* &quot;-&quot;??\ _F_-;_-@_-"/>
    <numFmt numFmtId="173" formatCode="_-* #,##0\ _F_-;\-* #,##0\ _F_-;_-* &quot;-&quot;??\ _F_-;_-@_-"/>
    <numFmt numFmtId="174" formatCode="#,##0.00\ &quot;€&quot;"/>
    <numFmt numFmtId="175" formatCode="_(* #,##0.000_);_(* \(#,##0.000\);_(* &quot;-&quot;??_);_(@_)"/>
    <numFmt numFmtId="176" formatCode="#,##0\ [$XOF-488];[Red]#,##0\ [$XOF-488]"/>
    <numFmt numFmtId="177" formatCode="[$$-409]#,##0_ ;\-[$$-409]#,##0\ "/>
    <numFmt numFmtId="178" formatCode="_-* #,##0,\U\C_-;\-* #,##0,\U\C_-;_-* &quot;-&quot;\ \U\C_-;_-@_-"/>
  </numFmts>
  <fonts count="9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u/>
      <sz val="12"/>
      <name val="Arial Black"/>
      <family val="2"/>
    </font>
    <font>
      <b/>
      <sz val="12"/>
      <name val="Arial Black"/>
      <family val="2"/>
    </font>
    <font>
      <b/>
      <sz val="10"/>
      <name val="Arial Black"/>
      <family val="2"/>
    </font>
    <font>
      <sz val="10"/>
      <name val="Arial Black"/>
      <family val="2"/>
    </font>
    <font>
      <b/>
      <u/>
      <sz val="10"/>
      <name val="Times New Roman"/>
      <family val="1"/>
    </font>
    <font>
      <sz val="9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1"/>
      <color theme="1"/>
      <name val="Arial Black"/>
      <family val="2"/>
    </font>
    <font>
      <sz val="11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Calibri"/>
      <family val="2"/>
      <scheme val="minor"/>
    </font>
    <font>
      <b/>
      <sz val="9"/>
      <name val="Arial Black"/>
      <family val="2"/>
    </font>
    <font>
      <vertAlign val="superscript"/>
      <sz val="9"/>
      <name val="Arial"/>
      <family val="2"/>
    </font>
    <font>
      <sz val="8"/>
      <color theme="1"/>
      <name val="Calibri"/>
      <family val="2"/>
      <scheme val="minor"/>
    </font>
    <font>
      <sz val="9"/>
      <name val="Arial Black"/>
      <family val="2"/>
    </font>
    <font>
      <sz val="10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Arial"/>
      <family val="2"/>
    </font>
    <font>
      <sz val="12"/>
      <color theme="1"/>
      <name val="Arial Black"/>
      <family val="2"/>
    </font>
    <font>
      <b/>
      <sz val="12"/>
      <color theme="1"/>
      <name val="Arial"/>
      <family val="2"/>
    </font>
    <font>
      <i/>
      <sz val="16"/>
      <color theme="1"/>
      <name val="Comic Sans MS"/>
      <family val="4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0"/>
      <name val="Arial Black"/>
      <family val="2"/>
    </font>
    <font>
      <b/>
      <sz val="11"/>
      <color theme="1"/>
      <name val="Arial Black"/>
      <family val="2"/>
    </font>
    <font>
      <b/>
      <sz val="12"/>
      <color theme="1"/>
      <name val="Calibri"/>
      <family val="2"/>
      <scheme val="minor"/>
    </font>
    <font>
      <b/>
      <sz val="12"/>
      <color theme="1"/>
      <name val="Arial Black"/>
      <family val="2"/>
    </font>
    <font>
      <sz val="16"/>
      <color theme="1"/>
      <name val="Arial Black"/>
      <family val="2"/>
    </font>
    <font>
      <b/>
      <sz val="11"/>
      <color rgb="FFFF0000"/>
      <name val="Calibri"/>
      <family val="2"/>
      <scheme val="minor"/>
    </font>
    <font>
      <sz val="11"/>
      <name val="Times New Roman"/>
      <family val="1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sz val="9"/>
      <color indexed="81"/>
      <name val="Tahoma"/>
      <family val="2"/>
    </font>
    <font>
      <sz val="11"/>
      <name val="Calibri"/>
      <family val="2"/>
      <scheme val="minor"/>
    </font>
    <font>
      <sz val="9"/>
      <name val="Calibri"/>
      <family val="2"/>
      <scheme val="minor"/>
    </font>
    <font>
      <sz val="10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2"/>
      <color theme="1"/>
      <name val="Times New Roman"/>
      <family val="1"/>
    </font>
    <font>
      <b/>
      <sz val="10"/>
      <color theme="1"/>
      <name val="Calibri"/>
      <family val="2"/>
      <scheme val="minor"/>
    </font>
    <font>
      <sz val="10"/>
      <color rgb="FFFF0000"/>
      <name val="Times New Roman"/>
      <family val="1"/>
    </font>
    <font>
      <sz val="10"/>
      <color rgb="FFFF0000"/>
      <name val="Arial Black"/>
      <family val="2"/>
    </font>
    <font>
      <sz val="9"/>
      <color rgb="FFFF0000"/>
      <name val="Arial"/>
      <family val="2"/>
    </font>
    <font>
      <sz val="9"/>
      <color rgb="FFFF0000"/>
      <name val="Calibri"/>
      <family val="2"/>
      <scheme val="minor"/>
    </font>
    <font>
      <vertAlign val="superscript"/>
      <sz val="9"/>
      <color rgb="FFFF0000"/>
      <name val="Arial"/>
      <family val="2"/>
    </font>
    <font>
      <sz val="11"/>
      <name val="Arial Black"/>
      <family val="2"/>
    </font>
    <font>
      <b/>
      <sz val="11"/>
      <name val="Arial"/>
      <family val="2"/>
    </font>
    <font>
      <sz val="10"/>
      <color theme="1"/>
      <name val="Times New Roman"/>
      <family val="1"/>
    </font>
    <font>
      <sz val="10"/>
      <name val="Geneva"/>
    </font>
    <font>
      <sz val="10"/>
      <color theme="1"/>
      <name val="Courier New"/>
      <family val="3"/>
    </font>
    <font>
      <sz val="7"/>
      <color theme="1"/>
      <name val="Times New Roman"/>
      <family val="1"/>
    </font>
    <font>
      <sz val="12"/>
      <name val="Arial Black"/>
      <family val="2"/>
    </font>
    <font>
      <b/>
      <sz val="11"/>
      <name val="Calibri"/>
      <family val="2"/>
      <scheme val="minor"/>
    </font>
    <font>
      <sz val="16"/>
      <color rgb="FFFF0000"/>
      <name val="Arial Black"/>
      <family val="2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1"/>
      <name val="Times New Roman"/>
      <family val="1"/>
    </font>
    <font>
      <sz val="11"/>
      <color theme="1"/>
      <name val="Times New Roman"/>
      <family val="1"/>
    </font>
    <font>
      <u/>
      <sz val="10"/>
      <name val="Times New Roman"/>
      <family val="1"/>
    </font>
    <font>
      <sz val="16"/>
      <name val="Arial Black"/>
      <family val="2"/>
    </font>
    <font>
      <sz val="11"/>
      <name val="Arial"/>
      <family val="2"/>
    </font>
    <font>
      <b/>
      <sz val="11"/>
      <name val="Arial Black"/>
      <family val="2"/>
    </font>
    <font>
      <b/>
      <sz val="12"/>
      <name val="Calibri"/>
      <family val="2"/>
      <scheme val="minor"/>
    </font>
    <font>
      <u/>
      <sz val="10"/>
      <name val="Arial Black"/>
      <family val="2"/>
    </font>
    <font>
      <b/>
      <u/>
      <sz val="12"/>
      <name val="Arial Black"/>
      <family val="2"/>
    </font>
    <font>
      <b/>
      <sz val="9"/>
      <name val="Arial"/>
      <family val="2"/>
    </font>
    <font>
      <b/>
      <sz val="10"/>
      <color theme="1"/>
      <name val="Arial"/>
      <family val="2"/>
    </font>
    <font>
      <b/>
      <u/>
      <sz val="1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color theme="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u/>
      <sz val="12"/>
      <name val="Arial"/>
      <family val="2"/>
    </font>
    <font>
      <u/>
      <sz val="10"/>
      <name val="Arial"/>
      <family val="2"/>
    </font>
    <font>
      <vertAlign val="superscript"/>
      <sz val="10"/>
      <name val="Arial"/>
      <family val="2"/>
    </font>
    <font>
      <sz val="16"/>
      <color theme="1"/>
      <name val="Calibri"/>
      <family val="2"/>
      <scheme val="minor"/>
    </font>
    <font>
      <sz val="16"/>
      <color theme="1"/>
      <name val="Arial"/>
      <family val="2"/>
    </font>
    <font>
      <b/>
      <sz val="11"/>
      <color rgb="FFFF0000"/>
      <name val="Arial"/>
      <family val="2"/>
    </font>
    <font>
      <sz val="11"/>
      <color rgb="FFFF0000"/>
      <name val="Arial"/>
      <family val="2"/>
    </font>
    <font>
      <b/>
      <sz val="20"/>
      <color theme="1"/>
      <name val="Arial"/>
      <family val="2"/>
    </font>
    <font>
      <sz val="10"/>
      <color theme="1"/>
      <name val="Arial Black"/>
      <family val="2"/>
    </font>
    <font>
      <sz val="11"/>
      <color rgb="FF002060"/>
      <name val="Adobe Garamond Pro"/>
      <family val="1"/>
    </font>
    <font>
      <b/>
      <sz val="10"/>
      <color theme="1"/>
      <name val="Arial Black"/>
      <family val="2"/>
    </font>
    <font>
      <sz val="11"/>
      <color rgb="FF0070C0"/>
      <name val="Calibri"/>
      <family val="2"/>
      <scheme val="minor"/>
    </font>
    <font>
      <b/>
      <sz val="9"/>
      <color indexed="81"/>
      <name val="Tahoma"/>
      <family val="2"/>
    </font>
    <font>
      <b/>
      <u/>
      <sz val="11"/>
      <name val="Arial"/>
      <family val="2"/>
    </font>
    <font>
      <sz val="10"/>
      <color rgb="FF000000"/>
      <name val="Arial"/>
      <family val="2"/>
    </font>
    <font>
      <sz val="11"/>
      <color rgb="FF000000"/>
      <name val="Arial"/>
      <family val="2"/>
    </font>
    <font>
      <i/>
      <sz val="10"/>
      <color rgb="FF000000"/>
      <name val="Arial"/>
      <family val="2"/>
    </font>
    <font>
      <b/>
      <sz val="10"/>
      <color rgb="FF000000"/>
      <name val="Arial"/>
      <family val="2"/>
    </font>
    <font>
      <i/>
      <sz val="11"/>
      <color rgb="FF00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D9D9D9"/>
        <bgColor indexed="64"/>
      </patternFill>
    </fill>
  </fills>
  <borders count="6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16">
    <xf numFmtId="0" fontId="0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" fillId="0" borderId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54" fillId="0" borderId="0"/>
    <xf numFmtId="9" fontId="1" fillId="0" borderId="0" applyFont="0" applyFill="0" applyBorder="0" applyAlignment="0" applyProtection="0"/>
    <xf numFmtId="0" fontId="1" fillId="0" borderId="0"/>
    <xf numFmtId="0" fontId="10" fillId="0" borderId="0"/>
    <xf numFmtId="172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</cellStyleXfs>
  <cellXfs count="1978">
    <xf numFmtId="0" fontId="0" fillId="0" borderId="0" xfId="0"/>
    <xf numFmtId="0" fontId="4" fillId="0" borderId="2" xfId="0" applyFont="1" applyBorder="1"/>
    <xf numFmtId="0" fontId="4" fillId="0" borderId="12" xfId="0" applyFont="1" applyBorder="1"/>
    <xf numFmtId="0" fontId="5" fillId="0" borderId="12" xfId="0" applyFont="1" applyBorder="1"/>
    <xf numFmtId="0" fontId="7" fillId="0" borderId="8" xfId="0" quotePrefix="1" applyFont="1" applyBorder="1"/>
    <xf numFmtId="0" fontId="0" fillId="0" borderId="0" xfId="0" applyBorder="1"/>
    <xf numFmtId="0" fontId="8" fillId="0" borderId="0" xfId="0" applyFont="1" applyAlignment="1">
      <alignment vertical="distributed"/>
    </xf>
    <xf numFmtId="0" fontId="9" fillId="2" borderId="8" xfId="0" applyFont="1" applyFill="1" applyBorder="1" applyAlignment="1">
      <alignment horizontal="center" wrapText="1"/>
    </xf>
    <xf numFmtId="0" fontId="7" fillId="0" borderId="9" xfId="0" applyFont="1" applyBorder="1"/>
    <xf numFmtId="0" fontId="10" fillId="0" borderId="10" xfId="0" applyFont="1" applyBorder="1" applyAlignment="1">
      <alignment vertical="distributed"/>
    </xf>
    <xf numFmtId="0" fontId="7" fillId="0" borderId="0" xfId="0" applyFont="1" applyBorder="1"/>
    <xf numFmtId="0" fontId="10" fillId="0" borderId="0" xfId="0" applyFont="1" applyBorder="1" applyAlignment="1">
      <alignment horizontal="right" vertical="top"/>
    </xf>
    <xf numFmtId="0" fontId="10" fillId="0" borderId="0" xfId="0" applyFont="1" applyBorder="1" applyAlignment="1">
      <alignment vertical="distributed"/>
    </xf>
    <xf numFmtId="0" fontId="3" fillId="0" borderId="0" xfId="0" applyFont="1" applyBorder="1" applyAlignment="1">
      <alignment horizontal="center"/>
    </xf>
    <xf numFmtId="0" fontId="8" fillId="0" borderId="0" xfId="0" applyFont="1"/>
    <xf numFmtId="0" fontId="3" fillId="0" borderId="10" xfId="0" quotePrefix="1" applyFont="1" applyBorder="1" applyAlignment="1">
      <alignment vertical="top"/>
    </xf>
    <xf numFmtId="0" fontId="10" fillId="0" borderId="11" xfId="0" applyFont="1" applyBorder="1" applyAlignment="1">
      <alignment horizontal="justify"/>
    </xf>
    <xf numFmtId="0" fontId="7" fillId="0" borderId="8" xfId="0" quotePrefix="1" applyFont="1" applyBorder="1" applyAlignment="1">
      <alignment horizontal="left"/>
    </xf>
    <xf numFmtId="0" fontId="0" fillId="0" borderId="0" xfId="0" applyAlignment="1">
      <alignment vertical="distributed"/>
    </xf>
    <xf numFmtId="0" fontId="8" fillId="0" borderId="4" xfId="0" applyFont="1" applyBorder="1" applyAlignment="1">
      <alignment vertical="distributed"/>
    </xf>
    <xf numFmtId="0" fontId="10" fillId="0" borderId="11" xfId="0" applyFont="1" applyBorder="1" applyAlignment="1">
      <alignment horizontal="justify" vertical="distributed"/>
    </xf>
    <xf numFmtId="0" fontId="3" fillId="0" borderId="0" xfId="0" quotePrefix="1" applyFont="1" applyBorder="1" applyAlignment="1">
      <alignment vertical="top"/>
    </xf>
    <xf numFmtId="0" fontId="7" fillId="0" borderId="9" xfId="0" quotePrefix="1" applyFont="1" applyBorder="1"/>
    <xf numFmtId="0" fontId="9" fillId="2" borderId="0" xfId="0" applyFont="1" applyFill="1" applyBorder="1" applyAlignment="1">
      <alignment horizontal="center" wrapText="1"/>
    </xf>
    <xf numFmtId="0" fontId="10" fillId="0" borderId="11" xfId="0" applyFont="1" applyBorder="1" applyAlignment="1">
      <alignment vertical="distributed"/>
    </xf>
    <xf numFmtId="0" fontId="8" fillId="0" borderId="4" xfId="0" applyFont="1" applyBorder="1"/>
    <xf numFmtId="0" fontId="8" fillId="0" borderId="0" xfId="0" applyFont="1" applyBorder="1"/>
    <xf numFmtId="0" fontId="8" fillId="0" borderId="0" xfId="0" applyFont="1" applyBorder="1" applyAlignment="1">
      <alignment vertical="distributed"/>
    </xf>
    <xf numFmtId="0" fontId="7" fillId="0" borderId="9" xfId="0" applyFont="1" applyBorder="1" applyAlignment="1">
      <alignment horizontal="left"/>
    </xf>
    <xf numFmtId="49" fontId="7" fillId="0" borderId="8" xfId="0" quotePrefix="1" applyNumberFormat="1" applyFont="1" applyBorder="1"/>
    <xf numFmtId="0" fontId="0" fillId="0" borderId="10" xfId="0" applyBorder="1"/>
    <xf numFmtId="0" fontId="8" fillId="0" borderId="10" xfId="0" applyFont="1" applyBorder="1" applyAlignment="1">
      <alignment vertical="distributed"/>
    </xf>
    <xf numFmtId="0" fontId="9" fillId="2" borderId="9" xfId="0" applyFont="1" applyFill="1" applyBorder="1" applyAlignment="1">
      <alignment horizontal="center" wrapText="1"/>
    </xf>
    <xf numFmtId="0" fontId="5" fillId="0" borderId="6" xfId="0" applyFont="1" applyBorder="1"/>
    <xf numFmtId="0" fontId="9" fillId="2" borderId="3" xfId="0" applyFont="1" applyFill="1" applyBorder="1" applyAlignment="1">
      <alignment horizontal="center" wrapText="1"/>
    </xf>
    <xf numFmtId="0" fontId="10" fillId="0" borderId="0" xfId="0" applyFont="1" applyAlignment="1">
      <alignment vertical="distributed"/>
    </xf>
    <xf numFmtId="0" fontId="7" fillId="0" borderId="9" xfId="0" quotePrefix="1" applyFont="1" applyBorder="1" applyAlignment="1">
      <alignment horizontal="left"/>
    </xf>
    <xf numFmtId="0" fontId="10" fillId="0" borderId="0" xfId="0" applyFont="1"/>
    <xf numFmtId="0" fontId="10" fillId="0" borderId="10" xfId="0" applyFont="1" applyBorder="1"/>
    <xf numFmtId="0" fontId="10" fillId="0" borderId="0" xfId="0" applyFont="1" applyBorder="1"/>
    <xf numFmtId="0" fontId="10" fillId="0" borderId="0" xfId="0" applyFont="1" applyBorder="1" applyAlignment="1">
      <alignment horizontal="justify"/>
    </xf>
    <xf numFmtId="0" fontId="7" fillId="0" borderId="14" xfId="0" quotePrefix="1" applyFont="1" applyBorder="1" applyAlignment="1">
      <alignment horizontal="left"/>
    </xf>
    <xf numFmtId="0" fontId="0" fillId="0" borderId="7" xfId="0" applyBorder="1"/>
    <xf numFmtId="0" fontId="8" fillId="0" borderId="7" xfId="0" applyFont="1" applyBorder="1"/>
    <xf numFmtId="0" fontId="13" fillId="0" borderId="0" xfId="0" applyFont="1"/>
    <xf numFmtId="0" fontId="7" fillId="0" borderId="8" xfId="0" applyFont="1" applyBorder="1" applyAlignment="1">
      <alignment horizontal="left"/>
    </xf>
    <xf numFmtId="0" fontId="7" fillId="0" borderId="8" xfId="0" quotePrefix="1" applyFont="1" applyBorder="1" applyAlignment="1">
      <alignment vertical="top"/>
    </xf>
    <xf numFmtId="0" fontId="7" fillId="0" borderId="8" xfId="0" quotePrefix="1" applyFont="1" applyBorder="1" applyAlignment="1">
      <alignment horizontal="left" vertical="top"/>
    </xf>
    <xf numFmtId="0" fontId="0" fillId="2" borderId="0" xfId="0" applyFill="1" applyBorder="1"/>
    <xf numFmtId="0" fontId="10" fillId="0" borderId="11" xfId="0" applyFont="1" applyBorder="1"/>
    <xf numFmtId="0" fontId="14" fillId="0" borderId="8" xfId="0" applyFont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16" fillId="2" borderId="2" xfId="0" applyFont="1" applyFill="1" applyBorder="1" applyAlignment="1">
      <alignment horizontal="center"/>
    </xf>
    <xf numFmtId="0" fontId="9" fillId="0" borderId="9" xfId="0" applyFont="1" applyBorder="1" applyAlignment="1">
      <alignment horizontal="center"/>
    </xf>
    <xf numFmtId="0" fontId="9" fillId="0" borderId="8" xfId="0" applyFont="1" applyBorder="1" applyAlignment="1">
      <alignment horizontal="center"/>
    </xf>
    <xf numFmtId="0" fontId="9" fillId="0" borderId="5" xfId="0" applyFont="1" applyBorder="1" applyAlignment="1">
      <alignment horizontal="center"/>
    </xf>
    <xf numFmtId="0" fontId="15" fillId="0" borderId="8" xfId="0" applyFont="1" applyBorder="1"/>
    <xf numFmtId="0" fontId="15" fillId="0" borderId="14" xfId="0" applyFont="1" applyBorder="1"/>
    <xf numFmtId="0" fontId="15" fillId="0" borderId="8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9" fillId="0" borderId="3" xfId="0" applyFont="1" applyBorder="1" applyAlignment="1">
      <alignment horizontal="center"/>
    </xf>
    <xf numFmtId="0" fontId="7" fillId="0" borderId="9" xfId="0" applyFont="1" applyBorder="1" applyAlignment="1">
      <alignment vertical="top"/>
    </xf>
    <xf numFmtId="0" fontId="0" fillId="0" borderId="0" xfId="0" applyAlignment="1"/>
    <xf numFmtId="166" fontId="3" fillId="0" borderId="3" xfId="1" applyNumberFormat="1" applyFont="1" applyBorder="1" applyAlignment="1"/>
    <xf numFmtId="166" fontId="3" fillId="0" borderId="5" xfId="1" applyNumberFormat="1" applyFont="1" applyBorder="1" applyAlignment="1"/>
    <xf numFmtId="166" fontId="3" fillId="0" borderId="13" xfId="1" applyNumberFormat="1" applyFont="1" applyBorder="1" applyAlignment="1"/>
    <xf numFmtId="166" fontId="3" fillId="0" borderId="0" xfId="1" applyNumberFormat="1" applyFont="1" applyBorder="1" applyAlignment="1"/>
    <xf numFmtId="166" fontId="3" fillId="0" borderId="4" xfId="1" applyNumberFormat="1" applyFont="1" applyBorder="1" applyAlignment="1"/>
    <xf numFmtId="166" fontId="3" fillId="2" borderId="3" xfId="1" applyNumberFormat="1" applyFont="1" applyFill="1" applyBorder="1" applyAlignment="1"/>
    <xf numFmtId="166" fontId="6" fillId="0" borderId="13" xfId="1" applyNumberFormat="1" applyFont="1" applyFill="1" applyBorder="1" applyAlignment="1"/>
    <xf numFmtId="0" fontId="16" fillId="2" borderId="1" xfId="0" applyFont="1" applyFill="1" applyBorder="1" applyAlignment="1">
      <alignment horizontal="center"/>
    </xf>
    <xf numFmtId="166" fontId="19" fillId="0" borderId="1" xfId="1" applyNumberFormat="1" applyFont="1" applyBorder="1" applyAlignment="1">
      <alignment horizontal="center"/>
    </xf>
    <xf numFmtId="167" fontId="3" fillId="2" borderId="3" xfId="1" applyNumberFormat="1" applyFont="1" applyFill="1" applyBorder="1" applyAlignment="1">
      <alignment horizontal="center" wrapText="1"/>
    </xf>
    <xf numFmtId="167" fontId="3" fillId="2" borderId="9" xfId="1" applyNumberFormat="1" applyFont="1" applyFill="1" applyBorder="1" applyAlignment="1">
      <alignment horizontal="center" wrapText="1"/>
    </xf>
    <xf numFmtId="167" fontId="3" fillId="2" borderId="8" xfId="1" applyNumberFormat="1" applyFont="1" applyFill="1" applyBorder="1" applyAlignment="1">
      <alignment horizontal="center" wrapText="1"/>
    </xf>
    <xf numFmtId="167" fontId="20" fillId="0" borderId="0" xfId="1" applyNumberFormat="1" applyFont="1" applyAlignment="1">
      <alignment horizontal="center"/>
    </xf>
    <xf numFmtId="167" fontId="3" fillId="0" borderId="0" xfId="1" applyNumberFormat="1" applyFont="1" applyBorder="1" applyAlignment="1">
      <alignment horizontal="center"/>
    </xf>
    <xf numFmtId="167" fontId="3" fillId="0" borderId="9" xfId="1" applyNumberFormat="1" applyFont="1" applyBorder="1" applyAlignment="1">
      <alignment horizontal="center"/>
    </xf>
    <xf numFmtId="167" fontId="3" fillId="0" borderId="8" xfId="1" applyNumberFormat="1" applyFont="1" applyBorder="1" applyAlignment="1">
      <alignment horizontal="center"/>
    </xf>
    <xf numFmtId="167" fontId="3" fillId="0" borderId="4" xfId="1" applyNumberFormat="1" applyFont="1" applyBorder="1" applyAlignment="1">
      <alignment horizontal="center"/>
    </xf>
    <xf numFmtId="167" fontId="20" fillId="0" borderId="8" xfId="1" applyNumberFormat="1" applyFont="1" applyBorder="1" applyAlignment="1">
      <alignment horizontal="center"/>
    </xf>
    <xf numFmtId="167" fontId="20" fillId="0" borderId="14" xfId="1" applyNumberFormat="1" applyFont="1" applyBorder="1" applyAlignment="1">
      <alignment horizontal="center"/>
    </xf>
    <xf numFmtId="167" fontId="3" fillId="0" borderId="5" xfId="1" applyNumberFormat="1" applyFont="1" applyBorder="1" applyAlignment="1">
      <alignment horizontal="center"/>
    </xf>
    <xf numFmtId="167" fontId="21" fillId="0" borderId="8" xfId="1" applyNumberFormat="1" applyFont="1" applyBorder="1" applyAlignment="1">
      <alignment horizontal="center"/>
    </xf>
    <xf numFmtId="167" fontId="21" fillId="0" borderId="14" xfId="1" applyNumberFormat="1" applyFont="1" applyBorder="1" applyAlignment="1">
      <alignment horizontal="center"/>
    </xf>
    <xf numFmtId="167" fontId="20" fillId="0" borderId="3" xfId="1" applyNumberFormat="1" applyFont="1" applyBorder="1" applyAlignment="1">
      <alignment horizontal="center"/>
    </xf>
    <xf numFmtId="167" fontId="16" fillId="2" borderId="1" xfId="1" applyNumberFormat="1" applyFont="1" applyFill="1" applyBorder="1" applyAlignment="1">
      <alignment horizontal="center"/>
    </xf>
    <xf numFmtId="0" fontId="7" fillId="0" borderId="14" xfId="0" quotePrefix="1" applyFont="1" applyBorder="1"/>
    <xf numFmtId="0" fontId="15" fillId="0" borderId="3" xfId="0" applyFont="1" applyBorder="1"/>
    <xf numFmtId="0" fontId="18" fillId="0" borderId="0" xfId="0" applyFont="1" applyAlignment="1">
      <alignment horizontal="right"/>
    </xf>
    <xf numFmtId="0" fontId="23" fillId="0" borderId="0" xfId="0" applyFont="1"/>
    <xf numFmtId="166" fontId="2" fillId="0" borderId="0" xfId="1" applyNumberFormat="1" applyFont="1" applyBorder="1" applyAlignment="1"/>
    <xf numFmtId="167" fontId="20" fillId="3" borderId="12" xfId="1" applyNumberFormat="1" applyFont="1" applyFill="1" applyBorder="1" applyAlignment="1">
      <alignment horizontal="center"/>
    </xf>
    <xf numFmtId="0" fontId="12" fillId="3" borderId="12" xfId="0" applyFont="1" applyFill="1" applyBorder="1" applyAlignment="1">
      <alignment horizontal="right"/>
    </xf>
    <xf numFmtId="166" fontId="22" fillId="3" borderId="6" xfId="0" applyNumberFormat="1" applyFont="1" applyFill="1" applyBorder="1" applyAlignment="1"/>
    <xf numFmtId="0" fontId="0" fillId="3" borderId="2" xfId="0" applyFill="1" applyBorder="1"/>
    <xf numFmtId="166" fontId="24" fillId="3" borderId="6" xfId="0" applyNumberFormat="1" applyFont="1" applyFill="1" applyBorder="1" applyAlignment="1"/>
    <xf numFmtId="0" fontId="25" fillId="0" borderId="0" xfId="0" applyFont="1" applyAlignment="1">
      <alignment vertical="center"/>
    </xf>
    <xf numFmtId="166" fontId="3" fillId="2" borderId="5" xfId="1" applyNumberFormat="1" applyFont="1" applyFill="1" applyBorder="1"/>
    <xf numFmtId="0" fontId="26" fillId="0" borderId="0" xfId="0" applyFont="1" applyAlignment="1">
      <alignment horizontal="right"/>
    </xf>
    <xf numFmtId="0" fontId="12" fillId="0" borderId="0" xfId="0" applyFont="1"/>
    <xf numFmtId="167" fontId="0" fillId="0" borderId="1" xfId="1" applyNumberFormat="1" applyFont="1" applyBorder="1" applyAlignment="1">
      <alignment horizontal="center"/>
    </xf>
    <xf numFmtId="0" fontId="28" fillId="4" borderId="15" xfId="0" applyFont="1" applyFill="1" applyBorder="1" applyAlignment="1">
      <alignment horizontal="center"/>
    </xf>
    <xf numFmtId="0" fontId="28" fillId="4" borderId="16" xfId="0" applyFont="1" applyFill="1" applyBorder="1" applyAlignment="1">
      <alignment horizontal="center"/>
    </xf>
    <xf numFmtId="0" fontId="29" fillId="4" borderId="17" xfId="0" applyFont="1" applyFill="1" applyBorder="1"/>
    <xf numFmtId="167" fontId="30" fillId="4" borderId="18" xfId="0" applyNumberFormat="1" applyFont="1" applyFill="1" applyBorder="1"/>
    <xf numFmtId="0" fontId="31" fillId="0" borderId="0" xfId="0" applyFont="1" applyAlignment="1">
      <alignment horizontal="left" vertical="center"/>
    </xf>
    <xf numFmtId="166" fontId="3" fillId="0" borderId="5" xfId="1" applyNumberFormat="1" applyFont="1" applyBorder="1"/>
    <xf numFmtId="166" fontId="3" fillId="0" borderId="13" xfId="1" applyNumberFormat="1" applyFont="1" applyBorder="1"/>
    <xf numFmtId="166" fontId="3" fillId="0" borderId="3" xfId="1" applyNumberFormat="1" applyFont="1" applyBorder="1"/>
    <xf numFmtId="0" fontId="7" fillId="0" borderId="0" xfId="0" quotePrefix="1" applyFont="1" applyBorder="1"/>
    <xf numFmtId="167" fontId="20" fillId="2" borderId="0" xfId="1" applyNumberFormat="1" applyFont="1" applyFill="1" applyBorder="1" applyAlignment="1">
      <alignment horizontal="center"/>
    </xf>
    <xf numFmtId="166" fontId="22" fillId="2" borderId="0" xfId="0" applyNumberFormat="1" applyFont="1" applyFill="1" applyBorder="1" applyAlignment="1"/>
    <xf numFmtId="166" fontId="3" fillId="0" borderId="5" xfId="1" applyNumberFormat="1" applyFont="1" applyBorder="1" applyAlignment="1">
      <alignment horizontal="center"/>
    </xf>
    <xf numFmtId="0" fontId="0" fillId="0" borderId="0" xfId="0" applyFill="1"/>
    <xf numFmtId="0" fontId="0" fillId="0" borderId="0" xfId="0" applyFill="1" applyBorder="1"/>
    <xf numFmtId="167" fontId="20" fillId="0" borderId="0" xfId="1" applyNumberFormat="1" applyFont="1" applyFill="1" applyBorder="1" applyAlignment="1">
      <alignment horizontal="center"/>
    </xf>
    <xf numFmtId="0" fontId="12" fillId="0" borderId="0" xfId="0" applyFont="1" applyFill="1" applyBorder="1" applyAlignment="1">
      <alignment horizontal="right"/>
    </xf>
    <xf numFmtId="166" fontId="22" fillId="0" borderId="0" xfId="0" applyNumberFormat="1" applyFont="1" applyFill="1" applyBorder="1" applyAlignment="1"/>
    <xf numFmtId="0" fontId="33" fillId="0" borderId="0" xfId="0" applyFont="1"/>
    <xf numFmtId="166" fontId="6" fillId="0" borderId="3" xfId="1" applyNumberFormat="1" applyFont="1" applyFill="1" applyBorder="1" applyAlignment="1">
      <alignment horizontal="center"/>
    </xf>
    <xf numFmtId="166" fontId="3" fillId="0" borderId="0" xfId="1" applyNumberFormat="1" applyFont="1" applyBorder="1"/>
    <xf numFmtId="0" fontId="8" fillId="0" borderId="0" xfId="0" applyFont="1" applyBorder="1" applyAlignment="1">
      <alignment horizontal="justify" vertical="distributed"/>
    </xf>
    <xf numFmtId="0" fontId="10" fillId="0" borderId="4" xfId="0" applyFont="1" applyBorder="1" applyAlignment="1">
      <alignment vertical="distributed"/>
    </xf>
    <xf numFmtId="0" fontId="15" fillId="0" borderId="9" xfId="0" applyFont="1" applyBorder="1" applyAlignment="1">
      <alignment horizontal="center"/>
    </xf>
    <xf numFmtId="0" fontId="8" fillId="0" borderId="7" xfId="0" applyFont="1" applyBorder="1" applyAlignment="1">
      <alignment vertical="distributed"/>
    </xf>
    <xf numFmtId="0" fontId="7" fillId="2" borderId="8" xfId="0" quotePrefix="1" applyFont="1" applyFill="1" applyBorder="1" applyAlignment="1">
      <alignment horizontal="left"/>
    </xf>
    <xf numFmtId="0" fontId="10" fillId="2" borderId="0" xfId="0" applyFont="1" applyFill="1" applyBorder="1"/>
    <xf numFmtId="0" fontId="10" fillId="2" borderId="4" xfId="0" applyFont="1" applyFill="1" applyBorder="1"/>
    <xf numFmtId="0" fontId="0" fillId="2" borderId="0" xfId="0" applyFill="1"/>
    <xf numFmtId="167" fontId="20" fillId="3" borderId="10" xfId="1" applyNumberFormat="1" applyFont="1" applyFill="1" applyBorder="1" applyAlignment="1">
      <alignment horizontal="center"/>
    </xf>
    <xf numFmtId="0" fontId="12" fillId="3" borderId="10" xfId="0" applyFont="1" applyFill="1" applyBorder="1" applyAlignment="1">
      <alignment horizontal="right"/>
    </xf>
    <xf numFmtId="166" fontId="22" fillId="3" borderId="11" xfId="0" applyNumberFormat="1" applyFont="1" applyFill="1" applyBorder="1" applyAlignment="1"/>
    <xf numFmtId="166" fontId="3" fillId="0" borderId="14" xfId="1" applyNumberFormat="1" applyFont="1" applyBorder="1"/>
    <xf numFmtId="166" fontId="3" fillId="0" borderId="9" xfId="1" applyNumberFormat="1" applyFont="1" applyBorder="1"/>
    <xf numFmtId="0" fontId="32" fillId="2" borderId="0" xfId="0" applyFont="1" applyFill="1" applyBorder="1" applyAlignment="1">
      <alignment horizontal="center" vertical="center"/>
    </xf>
    <xf numFmtId="167" fontId="26" fillId="0" borderId="0" xfId="1" applyNumberFormat="1" applyFont="1" applyAlignment="1">
      <alignment horizontal="left"/>
    </xf>
    <xf numFmtId="166" fontId="3" fillId="0" borderId="4" xfId="1" applyNumberFormat="1" applyFont="1" applyBorder="1"/>
    <xf numFmtId="167" fontId="3" fillId="0" borderId="13" xfId="1" applyNumberFormat="1" applyFont="1" applyBorder="1" applyAlignment="1">
      <alignment horizontal="center"/>
    </xf>
    <xf numFmtId="0" fontId="7" fillId="0" borderId="8" xfId="0" quotePrefix="1" applyFont="1" applyFill="1" applyBorder="1" applyAlignment="1">
      <alignment horizontal="left"/>
    </xf>
    <xf numFmtId="166" fontId="3" fillId="0" borderId="13" xfId="1" applyNumberFormat="1" applyFont="1" applyFill="1" applyBorder="1"/>
    <xf numFmtId="0" fontId="7" fillId="0" borderId="14" xfId="0" quotePrefix="1" applyFont="1" applyFill="1" applyBorder="1" applyAlignment="1">
      <alignment horizontal="left"/>
    </xf>
    <xf numFmtId="0" fontId="0" fillId="0" borderId="0" xfId="0"/>
    <xf numFmtId="0" fontId="7" fillId="0" borderId="9" xfId="0" quotePrefix="1" applyFont="1" applyFill="1" applyBorder="1" applyAlignment="1">
      <alignment horizontal="left"/>
    </xf>
    <xf numFmtId="0" fontId="0" fillId="0" borderId="0" xfId="0" applyFont="1" applyAlignment="1">
      <alignment horizontal="right"/>
    </xf>
    <xf numFmtId="167" fontId="3" fillId="6" borderId="5" xfId="1" applyNumberFormat="1" applyFont="1" applyFill="1" applyBorder="1" applyAlignment="1">
      <alignment horizontal="center"/>
    </xf>
    <xf numFmtId="0" fontId="14" fillId="0" borderId="13" xfId="0" applyFont="1" applyBorder="1" applyAlignment="1">
      <alignment horizontal="center"/>
    </xf>
    <xf numFmtId="167" fontId="3" fillId="0" borderId="5" xfId="1" applyNumberFormat="1" applyFont="1" applyFill="1" applyBorder="1" applyAlignment="1">
      <alignment horizontal="center"/>
    </xf>
    <xf numFmtId="167" fontId="3" fillId="0" borderId="11" xfId="1" applyNumberFormat="1" applyFont="1" applyFill="1" applyBorder="1" applyAlignment="1">
      <alignment horizontal="center"/>
    </xf>
    <xf numFmtId="166" fontId="0" fillId="0" borderId="0" xfId="0" applyNumberFormat="1"/>
    <xf numFmtId="167" fontId="3" fillId="0" borderId="9" xfId="1" applyNumberFormat="1" applyFont="1" applyFill="1" applyBorder="1" applyAlignment="1">
      <alignment horizontal="center"/>
    </xf>
    <xf numFmtId="166" fontId="3" fillId="0" borderId="8" xfId="1" applyNumberFormat="1" applyFont="1" applyBorder="1"/>
    <xf numFmtId="0" fontId="7" fillId="0" borderId="14" xfId="0" quotePrefix="1" applyFont="1" applyBorder="1" applyAlignment="1">
      <alignment vertical="top"/>
    </xf>
    <xf numFmtId="166" fontId="3" fillId="0" borderId="13" xfId="1" applyNumberFormat="1" applyFont="1" applyBorder="1" applyAlignment="1">
      <alignment horizontal="center"/>
    </xf>
    <xf numFmtId="166" fontId="3" fillId="0" borderId="9" xfId="1" applyNumberFormat="1" applyFont="1" applyBorder="1" applyAlignment="1">
      <alignment horizontal="center"/>
    </xf>
    <xf numFmtId="167" fontId="21" fillId="0" borderId="13" xfId="1" applyNumberFormat="1" applyFont="1" applyBorder="1" applyAlignment="1">
      <alignment horizontal="center"/>
    </xf>
    <xf numFmtId="167" fontId="21" fillId="0" borderId="5" xfId="1" applyNumberFormat="1" applyFont="1" applyBorder="1" applyAlignment="1">
      <alignment horizontal="center"/>
    </xf>
    <xf numFmtId="0" fontId="0" fillId="3" borderId="9" xfId="0" applyFill="1" applyBorder="1"/>
    <xf numFmtId="0" fontId="8" fillId="0" borderId="3" xfId="0" applyFont="1" applyFill="1" applyBorder="1" applyAlignment="1">
      <alignment vertical="distributed"/>
    </xf>
    <xf numFmtId="0" fontId="8" fillId="0" borderId="0" xfId="0" applyFont="1" applyFill="1" applyAlignment="1">
      <alignment vertical="distributed"/>
    </xf>
    <xf numFmtId="0" fontId="9" fillId="0" borderId="8" xfId="0" applyFont="1" applyFill="1" applyBorder="1" applyAlignment="1">
      <alignment horizontal="center" wrapText="1"/>
    </xf>
    <xf numFmtId="166" fontId="3" fillId="0" borderId="3" xfId="1" applyNumberFormat="1" applyFont="1" applyFill="1" applyBorder="1"/>
    <xf numFmtId="0" fontId="9" fillId="0" borderId="13" xfId="0" applyFont="1" applyFill="1" applyBorder="1" applyAlignment="1">
      <alignment horizontal="center" wrapText="1"/>
    </xf>
    <xf numFmtId="167" fontId="3" fillId="0" borderId="0" xfId="1" applyNumberFormat="1" applyFont="1" applyFill="1" applyBorder="1" applyAlignment="1">
      <alignment vertical="distributed"/>
    </xf>
    <xf numFmtId="167" fontId="3" fillId="0" borderId="13" xfId="1" applyNumberFormat="1" applyFont="1" applyFill="1" applyBorder="1"/>
    <xf numFmtId="0" fontId="9" fillId="0" borderId="5" xfId="0" applyFont="1" applyFill="1" applyBorder="1" applyAlignment="1">
      <alignment horizontal="center" wrapText="1"/>
    </xf>
    <xf numFmtId="167" fontId="3" fillId="0" borderId="11" xfId="1" applyNumberFormat="1" applyFont="1" applyFill="1" applyBorder="1" applyAlignment="1">
      <alignment vertical="distributed"/>
    </xf>
    <xf numFmtId="167" fontId="3" fillId="0" borderId="5" xfId="1" applyNumberFormat="1" applyFont="1" applyFill="1" applyBorder="1"/>
    <xf numFmtId="0" fontId="9" fillId="0" borderId="5" xfId="0" applyFont="1" applyFill="1" applyBorder="1" applyAlignment="1">
      <alignment horizontal="center"/>
    </xf>
    <xf numFmtId="0" fontId="8" fillId="0" borderId="10" xfId="0" applyFont="1" applyBorder="1"/>
    <xf numFmtId="0" fontId="9" fillId="0" borderId="3" xfId="0" applyFont="1" applyFill="1" applyBorder="1" applyAlignment="1">
      <alignment horizontal="center"/>
    </xf>
    <xf numFmtId="167" fontId="3" fillId="0" borderId="3" xfId="1" applyNumberFormat="1" applyFont="1" applyFill="1" applyBorder="1" applyAlignment="1">
      <alignment vertical="distributed"/>
    </xf>
    <xf numFmtId="167" fontId="3" fillId="0" borderId="3" xfId="1" applyNumberFormat="1" applyFont="1" applyFill="1" applyBorder="1" applyAlignment="1">
      <alignment horizontal="center"/>
    </xf>
    <xf numFmtId="167" fontId="3" fillId="0" borderId="3" xfId="1" applyNumberFormat="1" applyFont="1" applyFill="1" applyBorder="1"/>
    <xf numFmtId="167" fontId="3" fillId="0" borderId="5" xfId="1" applyNumberFormat="1" applyFont="1" applyFill="1" applyBorder="1" applyAlignment="1">
      <alignment vertical="distributed"/>
    </xf>
    <xf numFmtId="0" fontId="12" fillId="0" borderId="0" xfId="0" applyFont="1" applyFill="1"/>
    <xf numFmtId="0" fontId="13" fillId="0" borderId="0" xfId="0" applyFont="1" applyFill="1"/>
    <xf numFmtId="0" fontId="4" fillId="0" borderId="2" xfId="0" applyFont="1" applyFill="1" applyBorder="1"/>
    <xf numFmtId="0" fontId="4" fillId="0" borderId="12" xfId="0" applyFont="1" applyFill="1" applyBorder="1"/>
    <xf numFmtId="0" fontId="5" fillId="0" borderId="12" xfId="0" applyFont="1" applyFill="1" applyBorder="1"/>
    <xf numFmtId="0" fontId="6" fillId="0" borderId="1" xfId="0" applyFont="1" applyFill="1" applyBorder="1" applyAlignment="1">
      <alignment horizontal="center"/>
    </xf>
    <xf numFmtId="0" fontId="7" fillId="0" borderId="8" xfId="0" quotePrefix="1" applyFont="1" applyFill="1" applyBorder="1"/>
    <xf numFmtId="0" fontId="10" fillId="0" borderId="0" xfId="0" applyFont="1" applyFill="1" applyBorder="1" applyAlignment="1">
      <alignment vertical="distributed"/>
    </xf>
    <xf numFmtId="0" fontId="7" fillId="0" borderId="9" xfId="0" quotePrefix="1" applyFont="1" applyFill="1" applyBorder="1"/>
    <xf numFmtId="0" fontId="10" fillId="0" borderId="11" xfId="0" applyFont="1" applyFill="1" applyBorder="1" applyAlignment="1">
      <alignment vertical="distributed"/>
    </xf>
    <xf numFmtId="166" fontId="3" fillId="0" borderId="5" xfId="1" applyNumberFormat="1" applyFont="1" applyFill="1" applyBorder="1"/>
    <xf numFmtId="0" fontId="7" fillId="0" borderId="0" xfId="0" applyFont="1" applyFill="1" applyBorder="1"/>
    <xf numFmtId="0" fontId="10" fillId="0" borderId="0" xfId="0" applyFont="1" applyFill="1" applyBorder="1" applyAlignment="1">
      <alignment horizontal="right" vertical="top"/>
    </xf>
    <xf numFmtId="0" fontId="9" fillId="0" borderId="0" xfId="0" applyFont="1" applyFill="1" applyBorder="1" applyAlignment="1">
      <alignment horizontal="center"/>
    </xf>
    <xf numFmtId="166" fontId="3" fillId="0" borderId="0" xfId="1" applyNumberFormat="1" applyFont="1" applyFill="1" applyBorder="1"/>
    <xf numFmtId="0" fontId="8" fillId="0" borderId="0" xfId="0" applyFont="1" applyFill="1"/>
    <xf numFmtId="0" fontId="9" fillId="0" borderId="9" xfId="0" applyFont="1" applyFill="1" applyBorder="1" applyAlignment="1">
      <alignment horizontal="center"/>
    </xf>
    <xf numFmtId="0" fontId="3" fillId="0" borderId="10" xfId="0" quotePrefix="1" applyFont="1" applyFill="1" applyBorder="1" applyAlignment="1">
      <alignment vertical="top"/>
    </xf>
    <xf numFmtId="0" fontId="10" fillId="0" borderId="0" xfId="0" applyFont="1" applyFill="1" applyBorder="1"/>
    <xf numFmtId="0" fontId="7" fillId="0" borderId="0" xfId="0" quotePrefix="1" applyFont="1" applyFill="1" applyBorder="1"/>
    <xf numFmtId="0" fontId="3" fillId="0" borderId="0" xfId="0" quotePrefix="1" applyFont="1" applyFill="1" applyBorder="1" applyAlignment="1">
      <alignment vertical="top"/>
    </xf>
    <xf numFmtId="0" fontId="10" fillId="0" borderId="11" xfId="0" applyFont="1" applyFill="1" applyBorder="1"/>
    <xf numFmtId="0" fontId="8" fillId="0" borderId="4" xfId="0" applyFont="1" applyFill="1" applyBorder="1"/>
    <xf numFmtId="0" fontId="35" fillId="0" borderId="0" xfId="0" applyFont="1"/>
    <xf numFmtId="0" fontId="35" fillId="2" borderId="0" xfId="0" applyFont="1" applyFill="1"/>
    <xf numFmtId="167" fontId="3" fillId="0" borderId="3" xfId="1" applyNumberFormat="1" applyFont="1" applyBorder="1" applyAlignment="1">
      <alignment horizontal="center"/>
    </xf>
    <xf numFmtId="166" fontId="36" fillId="0" borderId="13" xfId="1" applyNumberFormat="1" applyFont="1" applyBorder="1"/>
    <xf numFmtId="0" fontId="38" fillId="0" borderId="0" xfId="0" applyFont="1" applyFill="1" applyBorder="1"/>
    <xf numFmtId="0" fontId="39" fillId="0" borderId="8" xfId="0" applyFont="1" applyFill="1" applyBorder="1"/>
    <xf numFmtId="166" fontId="3" fillId="0" borderId="3" xfId="1" applyNumberFormat="1" applyFont="1" applyFill="1" applyBorder="1" applyAlignment="1"/>
    <xf numFmtId="0" fontId="38" fillId="0" borderId="0" xfId="0" applyFont="1" applyFill="1"/>
    <xf numFmtId="0" fontId="7" fillId="0" borderId="9" xfId="0" applyFont="1" applyFill="1" applyBorder="1"/>
    <xf numFmtId="0" fontId="10" fillId="0" borderId="11" xfId="0" applyFont="1" applyFill="1" applyBorder="1" applyAlignment="1">
      <alignment horizontal="justify" vertical="distributed"/>
    </xf>
    <xf numFmtId="166" fontId="3" fillId="0" borderId="5" xfId="1" applyNumberFormat="1" applyFont="1" applyFill="1" applyBorder="1" applyAlignment="1"/>
    <xf numFmtId="0" fontId="9" fillId="0" borderId="0" xfId="0" applyFont="1" applyFill="1" applyBorder="1" applyAlignment="1">
      <alignment horizontal="center" wrapText="1"/>
    </xf>
    <xf numFmtId="167" fontId="3" fillId="0" borderId="3" xfId="1" applyNumberFormat="1" applyFont="1" applyFill="1" applyBorder="1" applyAlignment="1">
      <alignment horizontal="center" wrapText="1"/>
    </xf>
    <xf numFmtId="0" fontId="9" fillId="0" borderId="10" xfId="0" applyFont="1" applyFill="1" applyBorder="1" applyAlignment="1">
      <alignment horizontal="center"/>
    </xf>
    <xf numFmtId="167" fontId="6" fillId="0" borderId="8" xfId="1" applyNumberFormat="1" applyFont="1" applyFill="1" applyBorder="1" applyAlignment="1">
      <alignment horizontal="center"/>
    </xf>
    <xf numFmtId="167" fontId="3" fillId="0" borderId="8" xfId="1" applyNumberFormat="1" applyFont="1" applyFill="1" applyBorder="1" applyAlignment="1">
      <alignment horizontal="center" wrapText="1"/>
    </xf>
    <xf numFmtId="0" fontId="7" fillId="0" borderId="8" xfId="0" applyFont="1" applyFill="1" applyBorder="1" applyAlignment="1">
      <alignment horizontal="left"/>
    </xf>
    <xf numFmtId="0" fontId="4" fillId="0" borderId="0" xfId="0" applyFont="1" applyFill="1" applyBorder="1"/>
    <xf numFmtId="0" fontId="8" fillId="0" borderId="4" xfId="0" applyFont="1" applyFill="1" applyBorder="1" applyAlignment="1">
      <alignment vertical="distributed"/>
    </xf>
    <xf numFmtId="0" fontId="4" fillId="0" borderId="9" xfId="0" applyFont="1" applyFill="1" applyBorder="1"/>
    <xf numFmtId="0" fontId="4" fillId="0" borderId="10" xfId="0" applyFont="1" applyFill="1" applyBorder="1"/>
    <xf numFmtId="0" fontId="5" fillId="0" borderId="10" xfId="0" applyFont="1" applyFill="1" applyBorder="1"/>
    <xf numFmtId="0" fontId="7" fillId="0" borderId="8" xfId="0" quotePrefix="1" applyFont="1" applyFill="1" applyBorder="1" applyAlignment="1">
      <alignment horizontal="left" vertical="top"/>
    </xf>
    <xf numFmtId="0" fontId="16" fillId="0" borderId="8" xfId="0" applyFont="1" applyFill="1" applyBorder="1" applyAlignment="1">
      <alignment horizontal="center"/>
    </xf>
    <xf numFmtId="0" fontId="38" fillId="0" borderId="7" xfId="0" applyFont="1" applyFill="1" applyBorder="1"/>
    <xf numFmtId="0" fontId="8" fillId="0" borderId="23" xfId="0" applyFont="1" applyBorder="1"/>
    <xf numFmtId="0" fontId="39" fillId="0" borderId="3" xfId="0" applyFont="1" applyBorder="1" applyAlignment="1">
      <alignment horizontal="center"/>
    </xf>
    <xf numFmtId="0" fontId="38" fillId="0" borderId="0" xfId="0" applyFont="1"/>
    <xf numFmtId="0" fontId="38" fillId="2" borderId="0" xfId="0" applyFont="1" applyFill="1"/>
    <xf numFmtId="0" fontId="10" fillId="0" borderId="4" xfId="0" applyFont="1" applyBorder="1"/>
    <xf numFmtId="0" fontId="39" fillId="0" borderId="13" xfId="0" applyFont="1" applyBorder="1" applyAlignment="1">
      <alignment horizontal="center"/>
    </xf>
    <xf numFmtId="0" fontId="38" fillId="0" borderId="0" xfId="0" applyFont="1" applyBorder="1"/>
    <xf numFmtId="0" fontId="10" fillId="0" borderId="4" xfId="0" applyFont="1" applyFill="1" applyBorder="1"/>
    <xf numFmtId="0" fontId="10" fillId="0" borderId="0" xfId="0" applyFont="1" applyFill="1" applyBorder="1" applyAlignment="1">
      <alignment wrapText="1"/>
    </xf>
    <xf numFmtId="0" fontId="7" fillId="0" borderId="14" xfId="0" quotePrefix="1" applyFont="1" applyBorder="1" applyAlignment="1">
      <alignment horizontal="left" vertical="top"/>
    </xf>
    <xf numFmtId="0" fontId="9" fillId="0" borderId="14" xfId="0" applyFont="1" applyFill="1" applyBorder="1" applyAlignment="1">
      <alignment horizontal="center" wrapText="1"/>
    </xf>
    <xf numFmtId="167" fontId="3" fillId="0" borderId="14" xfId="1" applyNumberFormat="1" applyFont="1" applyFill="1" applyBorder="1" applyAlignment="1">
      <alignment horizontal="center" wrapText="1"/>
    </xf>
    <xf numFmtId="166" fontId="3" fillId="0" borderId="13" xfId="1" applyNumberFormat="1" applyFont="1" applyFill="1" applyBorder="1" applyAlignment="1">
      <alignment horizontal="center"/>
    </xf>
    <xf numFmtId="0" fontId="9" fillId="0" borderId="3" xfId="0" applyFont="1" applyFill="1" applyBorder="1" applyAlignment="1">
      <alignment wrapText="1"/>
    </xf>
    <xf numFmtId="167" fontId="3" fillId="0" borderId="9" xfId="1" applyNumberFormat="1" applyFont="1" applyFill="1" applyBorder="1" applyAlignment="1">
      <alignment horizontal="center" wrapText="1"/>
    </xf>
    <xf numFmtId="166" fontId="36" fillId="0" borderId="5" xfId="1" applyNumberFormat="1" applyFont="1" applyFill="1" applyBorder="1" applyAlignment="1"/>
    <xf numFmtId="0" fontId="10" fillId="0" borderId="0" xfId="0" applyFont="1" applyFill="1" applyBorder="1" applyAlignment="1">
      <alignment vertical="center"/>
    </xf>
    <xf numFmtId="0" fontId="10" fillId="0" borderId="10" xfId="0" applyFont="1" applyFill="1" applyBorder="1"/>
    <xf numFmtId="166" fontId="16" fillId="0" borderId="1" xfId="1" applyNumberFormat="1" applyFont="1" applyBorder="1" applyAlignment="1">
      <alignment horizontal="center"/>
    </xf>
    <xf numFmtId="0" fontId="10" fillId="2" borderId="10" xfId="0" applyFont="1" applyFill="1" applyBorder="1" applyAlignment="1">
      <alignment wrapText="1"/>
    </xf>
    <xf numFmtId="0" fontId="28" fillId="4" borderId="24" xfId="0" applyFont="1" applyFill="1" applyBorder="1" applyAlignment="1">
      <alignment horizontal="center"/>
    </xf>
    <xf numFmtId="0" fontId="28" fillId="4" borderId="25" xfId="0" applyFont="1" applyFill="1" applyBorder="1" applyAlignment="1">
      <alignment horizontal="center"/>
    </xf>
    <xf numFmtId="0" fontId="27" fillId="4" borderId="26" xfId="0" applyFont="1" applyFill="1" applyBorder="1" applyAlignment="1">
      <alignment horizontal="center"/>
    </xf>
    <xf numFmtId="0" fontId="0" fillId="0" borderId="27" xfId="0" applyBorder="1"/>
    <xf numFmtId="0" fontId="7" fillId="0" borderId="14" xfId="0" applyFont="1" applyFill="1" applyBorder="1" applyAlignment="1">
      <alignment horizontal="left"/>
    </xf>
    <xf numFmtId="0" fontId="39" fillId="0" borderId="14" xfId="0" applyFont="1" applyBorder="1" applyAlignment="1">
      <alignment horizontal="center"/>
    </xf>
    <xf numFmtId="167" fontId="3" fillId="0" borderId="14" xfId="1" applyNumberFormat="1" applyFont="1" applyBorder="1" applyAlignment="1">
      <alignment horizontal="center"/>
    </xf>
    <xf numFmtId="0" fontId="38" fillId="0" borderId="10" xfId="0" applyFont="1" applyFill="1" applyBorder="1"/>
    <xf numFmtId="0" fontId="39" fillId="0" borderId="9" xfId="0" applyFont="1" applyBorder="1" applyAlignment="1">
      <alignment horizontal="center"/>
    </xf>
    <xf numFmtId="0" fontId="39" fillId="0" borderId="8" xfId="0" applyFont="1" applyBorder="1" applyAlignment="1">
      <alignment horizontal="center"/>
    </xf>
    <xf numFmtId="0" fontId="38" fillId="0" borderId="10" xfId="0" applyFont="1" applyBorder="1"/>
    <xf numFmtId="0" fontId="39" fillId="0" borderId="5" xfId="0" applyFont="1" applyBorder="1" applyAlignment="1">
      <alignment horizontal="center"/>
    </xf>
    <xf numFmtId="167" fontId="0" fillId="0" borderId="0" xfId="1" applyNumberFormat="1" applyFont="1"/>
    <xf numFmtId="167" fontId="35" fillId="0" borderId="0" xfId="1" applyNumberFormat="1" applyFont="1"/>
    <xf numFmtId="167" fontId="0" fillId="0" borderId="0" xfId="1" applyNumberFormat="1" applyFont="1" applyFill="1"/>
    <xf numFmtId="167" fontId="38" fillId="0" borderId="0" xfId="1" applyNumberFormat="1" applyFont="1" applyFill="1"/>
    <xf numFmtId="167" fontId="38" fillId="0" borderId="0" xfId="1" applyNumberFormat="1" applyFont="1"/>
    <xf numFmtId="0" fontId="7" fillId="0" borderId="9" xfId="0" quotePrefix="1" applyFont="1" applyBorder="1" applyAlignment="1">
      <alignment horizontal="left" vertical="top"/>
    </xf>
    <xf numFmtId="166" fontId="3" fillId="0" borderId="8" xfId="1" applyNumberFormat="1" applyFont="1" applyBorder="1" applyAlignment="1">
      <alignment horizontal="center"/>
    </xf>
    <xf numFmtId="43" fontId="0" fillId="0" borderId="0" xfId="1" applyNumberFormat="1" applyFont="1"/>
    <xf numFmtId="43" fontId="0" fillId="0" borderId="0" xfId="1" applyNumberFormat="1" applyFont="1" applyFill="1"/>
    <xf numFmtId="43" fontId="38" fillId="0" borderId="0" xfId="1" applyNumberFormat="1" applyFont="1" applyFill="1"/>
    <xf numFmtId="43" fontId="38" fillId="0" borderId="0" xfId="1" applyNumberFormat="1" applyFont="1"/>
    <xf numFmtId="167" fontId="0" fillId="0" borderId="28" xfId="1" applyNumberFormat="1" applyFont="1" applyBorder="1" applyAlignment="1">
      <alignment horizontal="center"/>
    </xf>
    <xf numFmtId="167" fontId="30" fillId="4" borderId="19" xfId="1" applyNumberFormat="1" applyFont="1" applyFill="1" applyBorder="1" applyAlignment="1">
      <alignment horizontal="center"/>
    </xf>
    <xf numFmtId="167" fontId="0" fillId="5" borderId="0" xfId="1" applyNumberFormat="1" applyFont="1" applyFill="1"/>
    <xf numFmtId="43" fontId="0" fillId="5" borderId="0" xfId="1" applyNumberFormat="1" applyFont="1" applyFill="1"/>
    <xf numFmtId="167" fontId="0" fillId="2" borderId="0" xfId="0" applyNumberFormat="1" applyFill="1"/>
    <xf numFmtId="0" fontId="44" fillId="0" borderId="0" xfId="0" applyFont="1"/>
    <xf numFmtId="0" fontId="9" fillId="0" borderId="13" xfId="0" applyFont="1" applyFill="1" applyBorder="1" applyAlignment="1">
      <alignment horizontal="center"/>
    </xf>
    <xf numFmtId="167" fontId="3" fillId="0" borderId="13" xfId="1" applyNumberFormat="1" applyFont="1" applyFill="1" applyBorder="1" applyAlignment="1">
      <alignment vertical="distributed"/>
    </xf>
    <xf numFmtId="167" fontId="3" fillId="0" borderId="13" xfId="1" applyNumberFormat="1" applyFont="1" applyFill="1" applyBorder="1" applyAlignment="1">
      <alignment horizontal="center"/>
    </xf>
    <xf numFmtId="43" fontId="3" fillId="0" borderId="13" xfId="1" applyNumberFormat="1" applyFont="1" applyBorder="1" applyAlignment="1">
      <alignment horizontal="center"/>
    </xf>
    <xf numFmtId="43" fontId="3" fillId="0" borderId="5" xfId="1" applyNumberFormat="1" applyFont="1" applyBorder="1" applyAlignment="1">
      <alignment horizontal="center"/>
    </xf>
    <xf numFmtId="168" fontId="0" fillId="0" borderId="0" xfId="1" applyNumberFormat="1" applyFont="1"/>
    <xf numFmtId="167" fontId="35" fillId="0" borderId="0" xfId="1" applyNumberFormat="1" applyFont="1" applyFill="1"/>
    <xf numFmtId="166" fontId="0" fillId="0" borderId="0" xfId="1" applyNumberFormat="1" applyFont="1"/>
    <xf numFmtId="166" fontId="3" fillId="0" borderId="3" xfId="1" applyNumberFormat="1" applyFont="1" applyBorder="1" applyAlignment="1">
      <alignment horizontal="center"/>
    </xf>
    <xf numFmtId="166" fontId="3" fillId="0" borderId="8" xfId="1" applyNumberFormat="1" applyFont="1" applyFill="1" applyBorder="1" applyAlignment="1">
      <alignment horizontal="center"/>
    </xf>
    <xf numFmtId="0" fontId="9" fillId="0" borderId="13" xfId="0" applyFont="1" applyBorder="1" applyAlignment="1">
      <alignment horizontal="center"/>
    </xf>
    <xf numFmtId="167" fontId="40" fillId="0" borderId="8" xfId="1" applyNumberFormat="1" applyFont="1" applyFill="1" applyBorder="1" applyAlignment="1">
      <alignment horizontal="center"/>
    </xf>
    <xf numFmtId="167" fontId="3" fillId="2" borderId="13" xfId="1" applyNumberFormat="1" applyFont="1" applyFill="1" applyBorder="1" applyAlignment="1">
      <alignment horizontal="center" wrapText="1"/>
    </xf>
    <xf numFmtId="167" fontId="21" fillId="0" borderId="3" xfId="1" applyNumberFormat="1" applyFont="1" applyBorder="1" applyAlignment="1">
      <alignment horizontal="center"/>
    </xf>
    <xf numFmtId="0" fontId="14" fillId="0" borderId="5" xfId="0" applyFont="1" applyBorder="1" applyAlignment="1">
      <alignment horizontal="center"/>
    </xf>
    <xf numFmtId="0" fontId="26" fillId="0" borderId="0" xfId="0" applyFont="1"/>
    <xf numFmtId="0" fontId="26" fillId="3" borderId="2" xfId="0" applyFont="1" applyFill="1" applyBorder="1"/>
    <xf numFmtId="167" fontId="45" fillId="3" borderId="12" xfId="1" applyNumberFormat="1" applyFont="1" applyFill="1" applyBorder="1" applyAlignment="1">
      <alignment horizontal="center"/>
    </xf>
    <xf numFmtId="0" fontId="29" fillId="3" borderId="12" xfId="0" applyFont="1" applyFill="1" applyBorder="1" applyAlignment="1">
      <alignment horizontal="right"/>
    </xf>
    <xf numFmtId="167" fontId="26" fillId="0" borderId="0" xfId="1" applyNumberFormat="1" applyFont="1"/>
    <xf numFmtId="43" fontId="26" fillId="0" borderId="0" xfId="1" applyNumberFormat="1" applyFont="1"/>
    <xf numFmtId="0" fontId="26" fillId="2" borderId="0" xfId="0" applyFont="1" applyFill="1"/>
    <xf numFmtId="0" fontId="9" fillId="0" borderId="9" xfId="0" applyFont="1" applyFill="1" applyBorder="1" applyAlignment="1">
      <alignment horizontal="center" wrapText="1"/>
    </xf>
    <xf numFmtId="43" fontId="9" fillId="0" borderId="13" xfId="0" applyNumberFormat="1" applyFont="1" applyBorder="1" applyAlignment="1">
      <alignment horizontal="center"/>
    </xf>
    <xf numFmtId="43" fontId="9" fillId="0" borderId="5" xfId="0" applyNumberFormat="1" applyFont="1" applyBorder="1" applyAlignment="1">
      <alignment horizontal="center"/>
    </xf>
    <xf numFmtId="167" fontId="20" fillId="0" borderId="8" xfId="1" applyNumberFormat="1" applyFont="1" applyFill="1" applyBorder="1" applyAlignment="1">
      <alignment horizontal="center"/>
    </xf>
    <xf numFmtId="167" fontId="3" fillId="0" borderId="13" xfId="1" applyNumberFormat="1" applyFont="1" applyFill="1" applyBorder="1" applyAlignment="1">
      <alignment horizontal="center" wrapText="1"/>
    </xf>
    <xf numFmtId="167" fontId="3" fillId="0" borderId="4" xfId="1" applyNumberFormat="1" applyFont="1" applyFill="1" applyBorder="1" applyAlignment="1">
      <alignment horizontal="center"/>
    </xf>
    <xf numFmtId="167" fontId="21" fillId="0" borderId="8" xfId="1" applyNumberFormat="1" applyFont="1" applyFill="1" applyBorder="1" applyAlignment="1">
      <alignment horizontal="center"/>
    </xf>
    <xf numFmtId="167" fontId="3" fillId="0" borderId="10" xfId="1" applyNumberFormat="1" applyFont="1" applyFill="1" applyBorder="1" applyAlignment="1">
      <alignment horizontal="center" wrapText="1"/>
    </xf>
    <xf numFmtId="0" fontId="28" fillId="4" borderId="29" xfId="0" applyFont="1" applyFill="1" applyBorder="1" applyAlignment="1">
      <alignment horizontal="center"/>
    </xf>
    <xf numFmtId="0" fontId="28" fillId="4" borderId="30" xfId="0" applyFont="1" applyFill="1" applyBorder="1" applyAlignment="1">
      <alignment horizontal="center"/>
    </xf>
    <xf numFmtId="0" fontId="9" fillId="0" borderId="8" xfId="0" applyFont="1" applyFill="1" applyBorder="1" applyAlignment="1">
      <alignment horizontal="center"/>
    </xf>
    <xf numFmtId="0" fontId="9" fillId="0" borderId="3" xfId="0" applyFont="1" applyFill="1" applyBorder="1" applyAlignment="1">
      <alignment horizontal="center" wrapText="1"/>
    </xf>
    <xf numFmtId="167" fontId="21" fillId="0" borderId="14" xfId="1" applyNumberFormat="1" applyFont="1" applyFill="1" applyBorder="1" applyAlignment="1">
      <alignment horizontal="center"/>
    </xf>
    <xf numFmtId="43" fontId="3" fillId="0" borderId="13" xfId="1" applyNumberFormat="1" applyFont="1" applyFill="1" applyBorder="1" applyAlignment="1">
      <alignment horizontal="center"/>
    </xf>
    <xf numFmtId="43" fontId="3" fillId="0" borderId="5" xfId="1" applyNumberFormat="1" applyFont="1" applyFill="1" applyBorder="1" applyAlignment="1">
      <alignment horizontal="center"/>
    </xf>
    <xf numFmtId="166" fontId="36" fillId="0" borderId="5" xfId="1" applyNumberFormat="1" applyFont="1" applyFill="1" applyBorder="1"/>
    <xf numFmtId="167" fontId="3" fillId="0" borderId="8" xfId="1" applyNumberFormat="1" applyFont="1" applyFill="1" applyBorder="1" applyAlignment="1">
      <alignment horizontal="center"/>
    </xf>
    <xf numFmtId="167" fontId="20" fillId="0" borderId="14" xfId="1" applyNumberFormat="1" applyFont="1" applyFill="1" applyBorder="1" applyAlignment="1">
      <alignment horizontal="center"/>
    </xf>
    <xf numFmtId="43" fontId="36" fillId="0" borderId="13" xfId="1" applyNumberFormat="1" applyFont="1" applyFill="1" applyBorder="1" applyAlignment="1">
      <alignment horizontal="center"/>
    </xf>
    <xf numFmtId="43" fontId="36" fillId="0" borderId="5" xfId="1" applyNumberFormat="1" applyFont="1" applyFill="1" applyBorder="1" applyAlignment="1">
      <alignment horizontal="center"/>
    </xf>
    <xf numFmtId="166" fontId="3" fillId="0" borderId="13" xfId="1" applyNumberFormat="1" applyFont="1" applyFill="1" applyBorder="1" applyAlignment="1"/>
    <xf numFmtId="167" fontId="3" fillId="0" borderId="7" xfId="1" applyNumberFormat="1" applyFont="1" applyFill="1" applyBorder="1" applyAlignment="1">
      <alignment horizontal="center" wrapText="1"/>
    </xf>
    <xf numFmtId="167" fontId="3" fillId="0" borderId="0" xfId="1" applyNumberFormat="1" applyFont="1" applyFill="1" applyBorder="1" applyAlignment="1">
      <alignment horizontal="center" wrapText="1"/>
    </xf>
    <xf numFmtId="166" fontId="3" fillId="0" borderId="3" xfId="1" applyNumberFormat="1" applyFont="1" applyFill="1" applyBorder="1" applyAlignment="1">
      <alignment horizontal="center"/>
    </xf>
    <xf numFmtId="0" fontId="8" fillId="0" borderId="10" xfId="0" applyFont="1" applyFill="1" applyBorder="1" applyAlignment="1">
      <alignment vertical="distributed"/>
    </xf>
    <xf numFmtId="0" fontId="38" fillId="0" borderId="7" xfId="0" applyFont="1" applyBorder="1"/>
    <xf numFmtId="0" fontId="35" fillId="0" borderId="0" xfId="0" applyFont="1" applyFill="1"/>
    <xf numFmtId="0" fontId="39" fillId="0" borderId="13" xfId="0" applyFont="1" applyFill="1" applyBorder="1" applyAlignment="1">
      <alignment horizontal="center"/>
    </xf>
    <xf numFmtId="166" fontId="36" fillId="0" borderId="5" xfId="1" applyNumberFormat="1" applyFont="1" applyBorder="1"/>
    <xf numFmtId="167" fontId="3" fillId="5" borderId="13" xfId="1" applyNumberFormat="1" applyFont="1" applyFill="1" applyBorder="1" applyAlignment="1">
      <alignment horizontal="center"/>
    </xf>
    <xf numFmtId="166" fontId="3" fillId="5" borderId="13" xfId="1" applyNumberFormat="1" applyFont="1" applyFill="1" applyBorder="1"/>
    <xf numFmtId="166" fontId="3" fillId="5" borderId="13" xfId="1" applyNumberFormat="1" applyFont="1" applyFill="1" applyBorder="1" applyAlignment="1"/>
    <xf numFmtId="0" fontId="28" fillId="4" borderId="31" xfId="0" applyFont="1" applyFill="1" applyBorder="1" applyAlignment="1">
      <alignment horizontal="center"/>
    </xf>
    <xf numFmtId="0" fontId="28" fillId="4" borderId="32" xfId="0" applyFont="1" applyFill="1" applyBorder="1" applyAlignment="1">
      <alignment horizontal="center"/>
    </xf>
    <xf numFmtId="167" fontId="35" fillId="5" borderId="0" xfId="1" applyNumberFormat="1" applyFont="1" applyFill="1"/>
    <xf numFmtId="0" fontId="32" fillId="0" borderId="0" xfId="0" applyFont="1" applyFill="1" applyBorder="1" applyAlignment="1">
      <alignment horizontal="center" vertical="center"/>
    </xf>
    <xf numFmtId="43" fontId="35" fillId="0" borderId="0" xfId="1" applyNumberFormat="1" applyFont="1"/>
    <xf numFmtId="166" fontId="36" fillId="0" borderId="13" xfId="1" applyNumberFormat="1" applyFont="1" applyBorder="1" applyAlignment="1"/>
    <xf numFmtId="167" fontId="30" fillId="0" borderId="18" xfId="0" applyNumberFormat="1" applyFont="1" applyFill="1" applyBorder="1"/>
    <xf numFmtId="167" fontId="30" fillId="0" borderId="19" xfId="1" applyNumberFormat="1" applyFont="1" applyFill="1" applyBorder="1" applyAlignment="1">
      <alignment horizontal="center"/>
    </xf>
    <xf numFmtId="167" fontId="0" fillId="0" borderId="0" xfId="0" applyNumberFormat="1"/>
    <xf numFmtId="166" fontId="3" fillId="5" borderId="5" xfId="1" applyNumberFormat="1" applyFont="1" applyFill="1" applyBorder="1" applyAlignment="1"/>
    <xf numFmtId="0" fontId="35" fillId="5" borderId="0" xfId="0" applyFont="1" applyFill="1"/>
    <xf numFmtId="0" fontId="33" fillId="0" borderId="0" xfId="0" applyFont="1" applyFill="1" applyAlignment="1">
      <alignment horizontal="right"/>
    </xf>
    <xf numFmtId="0" fontId="35" fillId="0" borderId="0" xfId="0" applyFont="1" applyFill="1" applyAlignment="1">
      <alignment horizontal="right"/>
    </xf>
    <xf numFmtId="0" fontId="33" fillId="0" borderId="0" xfId="0" applyFont="1" applyAlignment="1">
      <alignment horizontal="right"/>
    </xf>
    <xf numFmtId="0" fontId="35" fillId="0" borderId="0" xfId="0" applyFont="1" applyAlignment="1"/>
    <xf numFmtId="0" fontId="38" fillId="0" borderId="0" xfId="0" applyFont="1" applyAlignment="1"/>
    <xf numFmtId="0" fontId="47" fillId="0" borderId="9" xfId="0" quotePrefix="1" applyFont="1" applyBorder="1"/>
    <xf numFmtId="0" fontId="36" fillId="0" borderId="10" xfId="0" quotePrefix="1" applyFont="1" applyBorder="1" applyAlignment="1">
      <alignment vertical="top"/>
    </xf>
    <xf numFmtId="0" fontId="46" fillId="0" borderId="10" xfId="0" applyFont="1" applyBorder="1"/>
    <xf numFmtId="0" fontId="48" fillId="0" borderId="5" xfId="0" applyFont="1" applyBorder="1" applyAlignment="1">
      <alignment horizontal="center"/>
    </xf>
    <xf numFmtId="167" fontId="36" fillId="0" borderId="11" xfId="1" applyNumberFormat="1" applyFont="1" applyFill="1" applyBorder="1" applyAlignment="1">
      <alignment horizontal="center"/>
    </xf>
    <xf numFmtId="166" fontId="36" fillId="0" borderId="5" xfId="1" applyNumberFormat="1" applyFont="1" applyBorder="1" applyAlignment="1"/>
    <xf numFmtId="0" fontId="47" fillId="0" borderId="8" xfId="0" quotePrefix="1" applyFont="1" applyFill="1" applyBorder="1" applyAlignment="1">
      <alignment horizontal="left"/>
    </xf>
    <xf numFmtId="0" fontId="35" fillId="0" borderId="0" xfId="0" applyFont="1" applyFill="1" applyBorder="1"/>
    <xf numFmtId="0" fontId="49" fillId="0" borderId="13" xfId="0" applyFont="1" applyBorder="1" applyAlignment="1">
      <alignment horizontal="center"/>
    </xf>
    <xf numFmtId="167" fontId="36" fillId="0" borderId="13" xfId="1" applyNumberFormat="1" applyFont="1" applyBorder="1" applyAlignment="1">
      <alignment horizontal="center"/>
    </xf>
    <xf numFmtId="166" fontId="36" fillId="0" borderId="13" xfId="1" applyNumberFormat="1" applyFont="1" applyFill="1" applyBorder="1"/>
    <xf numFmtId="0" fontId="47" fillId="0" borderId="9" xfId="0" applyFont="1" applyBorder="1" applyAlignment="1">
      <alignment vertical="top"/>
    </xf>
    <xf numFmtId="0" fontId="46" fillId="0" borderId="11" xfId="0" applyFont="1" applyBorder="1" applyAlignment="1">
      <alignment vertical="distributed"/>
    </xf>
    <xf numFmtId="0" fontId="48" fillId="0" borderId="9" xfId="0" applyFont="1" applyFill="1" applyBorder="1" applyAlignment="1">
      <alignment horizontal="center"/>
    </xf>
    <xf numFmtId="166" fontId="36" fillId="0" borderId="9" xfId="1" applyNumberFormat="1" applyFont="1" applyBorder="1"/>
    <xf numFmtId="167" fontId="38" fillId="5" borderId="0" xfId="1" applyNumberFormat="1" applyFont="1" applyFill="1"/>
    <xf numFmtId="0" fontId="39" fillId="0" borderId="8" xfId="0" applyFont="1" applyBorder="1"/>
    <xf numFmtId="166" fontId="38" fillId="0" borderId="0" xfId="1" applyNumberFormat="1" applyFont="1"/>
    <xf numFmtId="0" fontId="38" fillId="3" borderId="2" xfId="0" applyFont="1" applyFill="1" applyBorder="1"/>
    <xf numFmtId="167" fontId="40" fillId="3" borderId="12" xfId="1" applyNumberFormat="1" applyFont="1" applyFill="1" applyBorder="1" applyAlignment="1">
      <alignment horizontal="center"/>
    </xf>
    <xf numFmtId="0" fontId="51" fillId="3" borderId="12" xfId="0" applyFont="1" applyFill="1" applyBorder="1" applyAlignment="1">
      <alignment horizontal="right"/>
    </xf>
    <xf numFmtId="166" fontId="52" fillId="3" borderId="6" xfId="0" applyNumberFormat="1" applyFont="1" applyFill="1" applyBorder="1" applyAlignment="1"/>
    <xf numFmtId="0" fontId="0" fillId="0" borderId="27" xfId="0" applyFont="1" applyBorder="1"/>
    <xf numFmtId="0" fontId="27" fillId="4" borderId="24" xfId="0" applyFont="1" applyFill="1" applyBorder="1" applyAlignment="1">
      <alignment horizontal="center"/>
    </xf>
    <xf numFmtId="0" fontId="27" fillId="4" borderId="25" xfId="0" applyFont="1" applyFill="1" applyBorder="1" applyAlignment="1">
      <alignment horizontal="center"/>
    </xf>
    <xf numFmtId="0" fontId="27" fillId="4" borderId="19" xfId="0" applyFont="1" applyFill="1" applyBorder="1" applyAlignment="1">
      <alignment horizontal="center"/>
    </xf>
    <xf numFmtId="0" fontId="26" fillId="0" borderId="17" xfId="0" applyFont="1" applyFill="1" applyBorder="1"/>
    <xf numFmtId="0" fontId="26" fillId="4" borderId="17" xfId="0" applyFont="1" applyFill="1" applyBorder="1"/>
    <xf numFmtId="0" fontId="53" fillId="0" borderId="0" xfId="0" applyFont="1"/>
    <xf numFmtId="0" fontId="55" fillId="0" borderId="0" xfId="0" applyFont="1" applyAlignment="1">
      <alignment horizontal="left" vertical="center" indent="10"/>
    </xf>
    <xf numFmtId="43" fontId="0" fillId="0" borderId="0" xfId="1" applyNumberFormat="1" applyFont="1" applyAlignment="1">
      <alignment horizontal="left"/>
    </xf>
    <xf numFmtId="165" fontId="0" fillId="0" borderId="0" xfId="1" applyNumberFormat="1" applyFont="1"/>
    <xf numFmtId="43" fontId="0" fillId="0" borderId="0" xfId="1" applyFont="1"/>
    <xf numFmtId="165" fontId="0" fillId="0" borderId="0" xfId="0" applyNumberFormat="1"/>
    <xf numFmtId="0" fontId="28" fillId="4" borderId="1" xfId="0" applyFont="1" applyFill="1" applyBorder="1" applyAlignment="1">
      <alignment horizontal="center"/>
    </xf>
    <xf numFmtId="167" fontId="30" fillId="4" borderId="1" xfId="0" applyNumberFormat="1" applyFont="1" applyFill="1" applyBorder="1"/>
    <xf numFmtId="167" fontId="30" fillId="4" borderId="1" xfId="1" applyNumberFormat="1" applyFont="1" applyFill="1" applyBorder="1" applyAlignment="1">
      <alignment horizontal="center"/>
    </xf>
    <xf numFmtId="0" fontId="0" fillId="0" borderId="1" xfId="0" applyBorder="1"/>
    <xf numFmtId="0" fontId="29" fillId="4" borderId="1" xfId="0" applyFont="1" applyFill="1" applyBorder="1"/>
    <xf numFmtId="0" fontId="59" fillId="0" borderId="0" xfId="0" applyFont="1" applyFill="1" applyBorder="1" applyAlignment="1">
      <alignment horizontal="center" vertical="center"/>
    </xf>
    <xf numFmtId="43" fontId="38" fillId="5" borderId="0" xfId="1" applyNumberFormat="1" applyFont="1" applyFill="1"/>
    <xf numFmtId="0" fontId="27" fillId="4" borderId="1" xfId="0" applyFont="1" applyFill="1" applyBorder="1" applyAlignment="1">
      <alignment horizontal="center"/>
    </xf>
    <xf numFmtId="0" fontId="0" fillId="0" borderId="1" xfId="0" applyFont="1" applyBorder="1"/>
    <xf numFmtId="0" fontId="30" fillId="4" borderId="1" xfId="0" applyFont="1" applyFill="1" applyBorder="1"/>
    <xf numFmtId="0" fontId="61" fillId="4" borderId="1" xfId="0" applyFont="1" applyFill="1" applyBorder="1" applyAlignment="1">
      <alignment horizontal="center"/>
    </xf>
    <xf numFmtId="166" fontId="3" fillId="0" borderId="33" xfId="1" applyNumberFormat="1" applyFont="1" applyBorder="1" applyAlignment="1">
      <alignment horizontal="center"/>
    </xf>
    <xf numFmtId="166" fontId="3" fillId="0" borderId="33" xfId="1" applyNumberFormat="1" applyFont="1" applyFill="1" applyBorder="1"/>
    <xf numFmtId="0" fontId="9" fillId="0" borderId="33" xfId="0" applyFont="1" applyBorder="1" applyAlignment="1">
      <alignment horizontal="center"/>
    </xf>
    <xf numFmtId="0" fontId="9" fillId="0" borderId="34" xfId="0" applyFont="1" applyBorder="1" applyAlignment="1">
      <alignment horizontal="center"/>
    </xf>
    <xf numFmtId="166" fontId="3" fillId="5" borderId="5" xfId="1" applyNumberFormat="1" applyFont="1" applyFill="1" applyBorder="1"/>
    <xf numFmtId="167" fontId="3" fillId="5" borderId="5" xfId="1" applyNumberFormat="1" applyFont="1" applyFill="1" applyBorder="1" applyAlignment="1">
      <alignment horizontal="center"/>
    </xf>
    <xf numFmtId="167" fontId="3" fillId="5" borderId="8" xfId="1" applyNumberFormat="1" applyFont="1" applyFill="1" applyBorder="1" applyAlignment="1">
      <alignment horizontal="center"/>
    </xf>
    <xf numFmtId="0" fontId="26" fillId="0" borderId="0" xfId="0" applyFont="1" applyAlignment="1">
      <alignment horizontal="right"/>
    </xf>
    <xf numFmtId="0" fontId="9" fillId="5" borderId="5" xfId="0" applyFont="1" applyFill="1" applyBorder="1" applyAlignment="1">
      <alignment horizontal="center"/>
    </xf>
    <xf numFmtId="0" fontId="9" fillId="5" borderId="9" xfId="0" applyFont="1" applyFill="1" applyBorder="1" applyAlignment="1">
      <alignment horizontal="center"/>
    </xf>
    <xf numFmtId="167" fontId="3" fillId="5" borderId="9" xfId="1" applyNumberFormat="1" applyFont="1" applyFill="1" applyBorder="1" applyAlignment="1">
      <alignment horizontal="center"/>
    </xf>
    <xf numFmtId="0" fontId="10" fillId="5" borderId="10" xfId="0" applyFont="1" applyFill="1" applyBorder="1"/>
    <xf numFmtId="167" fontId="3" fillId="5" borderId="11" xfId="1" applyNumberFormat="1" applyFont="1" applyFill="1" applyBorder="1" applyAlignment="1">
      <alignment horizontal="center"/>
    </xf>
    <xf numFmtId="0" fontId="39" fillId="5" borderId="9" xfId="0" applyFont="1" applyFill="1" applyBorder="1" applyAlignment="1">
      <alignment horizontal="center"/>
    </xf>
    <xf numFmtId="166" fontId="3" fillId="5" borderId="9" xfId="1" applyNumberFormat="1" applyFont="1" applyFill="1" applyBorder="1"/>
    <xf numFmtId="0" fontId="0" fillId="5" borderId="0" xfId="0" applyFill="1"/>
    <xf numFmtId="0" fontId="38" fillId="5" borderId="0" xfId="0" applyFont="1" applyFill="1"/>
    <xf numFmtId="0" fontId="11" fillId="0" borderId="0" xfId="0" applyFont="1" applyBorder="1"/>
    <xf numFmtId="0" fontId="62" fillId="0" borderId="0" xfId="0" applyFont="1" applyBorder="1"/>
    <xf numFmtId="0" fontId="7" fillId="0" borderId="0" xfId="0" applyFont="1" applyBorder="1" applyAlignment="1">
      <alignment horizontal="left"/>
    </xf>
    <xf numFmtId="0" fontId="7" fillId="0" borderId="0" xfId="0" quotePrefix="1" applyFont="1" applyBorder="1" applyAlignment="1">
      <alignment horizontal="left"/>
    </xf>
    <xf numFmtId="167" fontId="3" fillId="0" borderId="10" xfId="1" applyNumberFormat="1" applyFont="1" applyFill="1" applyBorder="1" applyAlignment="1">
      <alignment vertical="distributed"/>
    </xf>
    <xf numFmtId="167" fontId="3" fillId="0" borderId="10" xfId="1" applyNumberFormat="1" applyFont="1" applyFill="1" applyBorder="1" applyAlignment="1">
      <alignment horizontal="center"/>
    </xf>
    <xf numFmtId="167" fontId="3" fillId="0" borderId="0" xfId="1" applyNumberFormat="1" applyFont="1" applyFill="1" applyBorder="1" applyAlignment="1">
      <alignment horizontal="center"/>
    </xf>
    <xf numFmtId="167" fontId="3" fillId="0" borderId="7" xfId="1" applyNumberFormat="1" applyFont="1" applyFill="1" applyBorder="1" applyAlignment="1">
      <alignment vertical="distributed"/>
    </xf>
    <xf numFmtId="167" fontId="21" fillId="0" borderId="13" xfId="1" applyNumberFormat="1" applyFont="1" applyFill="1" applyBorder="1" applyAlignment="1">
      <alignment horizontal="center"/>
    </xf>
    <xf numFmtId="167" fontId="21" fillId="0" borderId="3" xfId="1" applyNumberFormat="1" applyFont="1" applyFill="1" applyBorder="1" applyAlignment="1">
      <alignment horizontal="center"/>
    </xf>
    <xf numFmtId="167" fontId="21" fillId="0" borderId="5" xfId="1" applyNumberFormat="1" applyFont="1" applyFill="1" applyBorder="1" applyAlignment="1">
      <alignment horizontal="center"/>
    </xf>
    <xf numFmtId="169" fontId="0" fillId="0" borderId="0" xfId="1" applyNumberFormat="1" applyFont="1"/>
    <xf numFmtId="167" fontId="35" fillId="0" borderId="0" xfId="1" applyNumberFormat="1" applyFont="1" applyAlignment="1">
      <alignment horizontal="center"/>
    </xf>
    <xf numFmtId="166" fontId="38" fillId="0" borderId="0" xfId="0" applyNumberFormat="1" applyFont="1"/>
    <xf numFmtId="167" fontId="3" fillId="0" borderId="11" xfId="1" applyNumberFormat="1" applyFont="1" applyFill="1" applyBorder="1"/>
    <xf numFmtId="0" fontId="15" fillId="0" borderId="13" xfId="0" applyFont="1" applyBorder="1"/>
    <xf numFmtId="166" fontId="3" fillId="0" borderId="10" xfId="1" applyNumberFormat="1" applyFont="1" applyBorder="1"/>
    <xf numFmtId="0" fontId="0" fillId="0" borderId="0" xfId="0" applyAlignment="1">
      <alignment horizontal="left"/>
    </xf>
    <xf numFmtId="167" fontId="0" fillId="2" borderId="0" xfId="1" applyNumberFormat="1" applyFont="1" applyFill="1"/>
    <xf numFmtId="0" fontId="9" fillId="0" borderId="9" xfId="0" applyFont="1" applyFill="1" applyBorder="1" applyAlignment="1">
      <alignment horizontal="center" vertical="center"/>
    </xf>
    <xf numFmtId="0" fontId="0" fillId="0" borderId="0" xfId="0" applyFill="1" applyAlignment="1"/>
    <xf numFmtId="0" fontId="7" fillId="5" borderId="8" xfId="0" quotePrefix="1" applyFont="1" applyFill="1" applyBorder="1" applyAlignment="1">
      <alignment horizontal="left"/>
    </xf>
    <xf numFmtId="0" fontId="38" fillId="5" borderId="0" xfId="0" applyFont="1" applyFill="1" applyBorder="1"/>
    <xf numFmtId="0" fontId="10" fillId="5" borderId="4" xfId="0" applyFont="1" applyFill="1" applyBorder="1"/>
    <xf numFmtId="0" fontId="39" fillId="5" borderId="8" xfId="0" applyFont="1" applyFill="1" applyBorder="1" applyAlignment="1">
      <alignment horizontal="center"/>
    </xf>
    <xf numFmtId="165" fontId="38" fillId="2" borderId="0" xfId="0" applyNumberFormat="1" applyFont="1" applyFill="1"/>
    <xf numFmtId="169" fontId="38" fillId="2" borderId="0" xfId="1" applyNumberFormat="1" applyFont="1" applyFill="1"/>
    <xf numFmtId="0" fontId="7" fillId="0" borderId="0" xfId="0" quotePrefix="1" applyFont="1" applyFill="1" applyBorder="1" applyAlignment="1">
      <alignment horizontal="left"/>
    </xf>
    <xf numFmtId="0" fontId="8" fillId="0" borderId="23" xfId="0" applyFont="1" applyBorder="1" applyAlignment="1">
      <alignment horizontal="left"/>
    </xf>
    <xf numFmtId="0" fontId="11" fillId="0" borderId="4" xfId="0" applyFont="1" applyBorder="1"/>
    <xf numFmtId="0" fontId="23" fillId="0" borderId="0" xfId="0" applyFont="1" applyAlignment="1">
      <alignment horizontal="left"/>
    </xf>
    <xf numFmtId="0" fontId="32" fillId="0" borderId="0" xfId="0" applyFont="1" applyFill="1" applyBorder="1" applyAlignment="1">
      <alignment horizontal="left" vertical="center"/>
    </xf>
    <xf numFmtId="0" fontId="4" fillId="0" borderId="2" xfId="0" applyFont="1" applyBorder="1" applyAlignment="1">
      <alignment horizontal="left"/>
    </xf>
    <xf numFmtId="49" fontId="7" fillId="0" borderId="8" xfId="0" quotePrefix="1" applyNumberFormat="1" applyFont="1" applyBorder="1" applyAlignment="1">
      <alignment horizontal="left"/>
    </xf>
    <xf numFmtId="0" fontId="0" fillId="0" borderId="0" xfId="0" applyFill="1" applyAlignment="1">
      <alignment horizontal="left"/>
    </xf>
    <xf numFmtId="0" fontId="7" fillId="0" borderId="9" xfId="0" applyFont="1" applyFill="1" applyBorder="1" applyAlignment="1">
      <alignment horizontal="left"/>
    </xf>
    <xf numFmtId="0" fontId="4" fillId="0" borderId="9" xfId="0" applyFont="1" applyFill="1" applyBorder="1" applyAlignment="1">
      <alignment horizontal="left"/>
    </xf>
    <xf numFmtId="0" fontId="11" fillId="0" borderId="0" xfId="0" applyFont="1" applyBorder="1" applyAlignment="1">
      <alignment horizontal="left"/>
    </xf>
    <xf numFmtId="0" fontId="8" fillId="0" borderId="7" xfId="0" applyFont="1" applyBorder="1" applyAlignment="1">
      <alignment horizontal="left"/>
    </xf>
    <xf numFmtId="0" fontId="10" fillId="2" borderId="10" xfId="0" applyFont="1" applyFill="1" applyBorder="1" applyAlignment="1">
      <alignment horizontal="left" wrapText="1"/>
    </xf>
    <xf numFmtId="0" fontId="7" fillId="0" borderId="9" xfId="0" applyFont="1" applyBorder="1" applyAlignment="1">
      <alignment horizontal="left" vertical="top"/>
    </xf>
    <xf numFmtId="0" fontId="26" fillId="0" borderId="0" xfId="0" applyFont="1" applyAlignment="1">
      <alignment horizontal="left"/>
    </xf>
    <xf numFmtId="0" fontId="59" fillId="0" borderId="0" xfId="0" applyFont="1" applyFill="1" applyBorder="1" applyAlignment="1">
      <alignment horizontal="left" vertical="center"/>
    </xf>
    <xf numFmtId="0" fontId="7" fillId="5" borderId="9" xfId="0" quotePrefix="1" applyFont="1" applyFill="1" applyBorder="1" applyAlignment="1">
      <alignment horizontal="left"/>
    </xf>
    <xf numFmtId="0" fontId="10" fillId="0" borderId="0" xfId="0" applyFont="1" applyFill="1" applyBorder="1" applyAlignment="1">
      <alignment horizontal="left" wrapText="1"/>
    </xf>
    <xf numFmtId="0" fontId="39" fillId="0" borderId="4" xfId="0" applyFont="1" applyBorder="1" applyAlignment="1">
      <alignment horizontal="center"/>
    </xf>
    <xf numFmtId="0" fontId="39" fillId="0" borderId="23" xfId="0" applyFont="1" applyBorder="1" applyAlignment="1">
      <alignment horizontal="center"/>
    </xf>
    <xf numFmtId="0" fontId="15" fillId="0" borderId="0" xfId="0" applyFont="1" applyBorder="1" applyAlignment="1">
      <alignment horizontal="center"/>
    </xf>
    <xf numFmtId="0" fontId="62" fillId="0" borderId="4" xfId="0" applyFont="1" applyBorder="1"/>
    <xf numFmtId="0" fontId="10" fillId="2" borderId="0" xfId="0" applyFont="1" applyFill="1" applyBorder="1" applyAlignment="1">
      <alignment horizontal="left"/>
    </xf>
    <xf numFmtId="0" fontId="10" fillId="2" borderId="4" xfId="0" applyFont="1" applyFill="1" applyBorder="1" applyAlignment="1">
      <alignment horizontal="left"/>
    </xf>
    <xf numFmtId="0" fontId="10" fillId="0" borderId="0" xfId="0" applyFont="1" applyBorder="1" applyAlignment="1">
      <alignment horizontal="left"/>
    </xf>
    <xf numFmtId="0" fontId="0" fillId="0" borderId="0" xfId="0" applyAlignment="1">
      <alignment vertical="center"/>
    </xf>
    <xf numFmtId="0" fontId="5" fillId="0" borderId="6" xfId="0" applyFont="1" applyBorder="1" applyAlignment="1">
      <alignment vertical="center"/>
    </xf>
    <xf numFmtId="0" fontId="8" fillId="0" borderId="0" xfId="0" applyFont="1" applyBorder="1" applyAlignment="1">
      <alignment vertical="center"/>
    </xf>
    <xf numFmtId="0" fontId="5" fillId="0" borderId="12" xfId="0" applyFont="1" applyBorder="1" applyAlignment="1">
      <alignment vertical="center"/>
    </xf>
    <xf numFmtId="0" fontId="10" fillId="0" borderId="0" xfId="0" applyFont="1" applyBorder="1" applyAlignment="1">
      <alignment vertical="center"/>
    </xf>
    <xf numFmtId="0" fontId="10" fillId="0" borderId="10" xfId="0" applyFont="1" applyBorder="1" applyAlignment="1">
      <alignment vertical="center"/>
    </xf>
    <xf numFmtId="0" fontId="0" fillId="0" borderId="0" xfId="0" applyFill="1" applyAlignment="1">
      <alignment vertical="center"/>
    </xf>
    <xf numFmtId="0" fontId="10" fillId="0" borderId="11" xfId="0" applyFont="1" applyBorder="1" applyAlignment="1">
      <alignment vertical="center"/>
    </xf>
    <xf numFmtId="0" fontId="10" fillId="0" borderId="0" xfId="0" applyFont="1" applyBorder="1" applyAlignment="1">
      <alignment horizontal="justify" vertical="center"/>
    </xf>
    <xf numFmtId="0" fontId="10" fillId="0" borderId="11" xfId="0" applyFont="1" applyFill="1" applyBorder="1" applyAlignment="1">
      <alignment horizontal="justify" vertical="center"/>
    </xf>
    <xf numFmtId="0" fontId="38" fillId="0" borderId="0" xfId="0" applyFont="1" applyAlignment="1">
      <alignment vertical="center"/>
    </xf>
    <xf numFmtId="0" fontId="10" fillId="0" borderId="11" xfId="0" applyFont="1" applyFill="1" applyBorder="1" applyAlignment="1">
      <alignment vertical="center"/>
    </xf>
    <xf numFmtId="0" fontId="44" fillId="0" borderId="0" xfId="0" applyFont="1" applyAlignment="1">
      <alignment horizontal="left"/>
    </xf>
    <xf numFmtId="0" fontId="11" fillId="0" borderId="4" xfId="0" applyFont="1" applyFill="1" applyBorder="1"/>
    <xf numFmtId="167" fontId="38" fillId="0" borderId="0" xfId="0" applyNumberFormat="1" applyFont="1"/>
    <xf numFmtId="167" fontId="33" fillId="0" borderId="0" xfId="1" applyNumberFormat="1" applyFont="1"/>
    <xf numFmtId="0" fontId="14" fillId="0" borderId="9" xfId="0" applyFont="1" applyBorder="1" applyAlignment="1">
      <alignment horizontal="center"/>
    </xf>
    <xf numFmtId="167" fontId="21" fillId="0" borderId="10" xfId="1" applyNumberFormat="1" applyFont="1" applyBorder="1" applyAlignment="1">
      <alignment horizontal="center"/>
    </xf>
    <xf numFmtId="166" fontId="3" fillId="0" borderId="11" xfId="1" applyNumberFormat="1" applyFont="1" applyBorder="1" applyAlignment="1"/>
    <xf numFmtId="0" fontId="39" fillId="0" borderId="8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3" borderId="2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15" fillId="0" borderId="3" xfId="0" applyFont="1" applyBorder="1" applyAlignment="1">
      <alignment horizontal="center"/>
    </xf>
    <xf numFmtId="166" fontId="3" fillId="0" borderId="14" xfId="1" applyNumberFormat="1" applyFont="1" applyBorder="1" applyAlignment="1">
      <alignment horizontal="center"/>
    </xf>
    <xf numFmtId="166" fontId="3" fillId="0" borderId="23" xfId="1" applyNumberFormat="1" applyFont="1" applyBorder="1" applyAlignment="1"/>
    <xf numFmtId="0" fontId="10" fillId="0" borderId="8" xfId="0" applyFont="1" applyFill="1" applyBorder="1" applyAlignment="1">
      <alignment vertical="center"/>
    </xf>
    <xf numFmtId="0" fontId="0" fillId="0" borderId="0" xfId="0" applyBorder="1" applyAlignment="1"/>
    <xf numFmtId="0" fontId="26" fillId="0" borderId="0" xfId="0" applyFont="1" applyBorder="1" applyAlignment="1">
      <alignment horizontal="right"/>
    </xf>
    <xf numFmtId="0" fontId="0" fillId="0" borderId="4" xfId="0" applyBorder="1" applyAlignment="1"/>
    <xf numFmtId="0" fontId="0" fillId="0" borderId="4" xfId="0" applyBorder="1"/>
    <xf numFmtId="166" fontId="3" fillId="0" borderId="34" xfId="1" applyNumberFormat="1" applyFont="1" applyBorder="1" applyAlignment="1">
      <alignment horizontal="center"/>
    </xf>
    <xf numFmtId="167" fontId="20" fillId="0" borderId="0" xfId="1" applyNumberFormat="1" applyFont="1" applyBorder="1" applyAlignment="1">
      <alignment horizontal="center"/>
    </xf>
    <xf numFmtId="0" fontId="65" fillId="0" borderId="0" xfId="0" applyFont="1" applyFill="1" applyBorder="1" applyAlignment="1">
      <alignment horizontal="center" vertical="center"/>
    </xf>
    <xf numFmtId="167" fontId="33" fillId="0" borderId="0" xfId="1" applyNumberFormat="1" applyFont="1" applyAlignment="1">
      <alignment vertical="center"/>
    </xf>
    <xf numFmtId="167" fontId="0" fillId="0" borderId="0" xfId="1" applyNumberFormat="1" applyFont="1" applyAlignment="1">
      <alignment vertical="center"/>
    </xf>
    <xf numFmtId="43" fontId="0" fillId="0" borderId="0" xfId="1" applyNumberFormat="1" applyFont="1" applyAlignment="1">
      <alignment vertical="center"/>
    </xf>
    <xf numFmtId="0" fontId="0" fillId="2" borderId="0" xfId="0" applyFill="1" applyAlignment="1">
      <alignment vertical="center"/>
    </xf>
    <xf numFmtId="167" fontId="38" fillId="0" borderId="0" xfId="1" applyNumberFormat="1" applyFont="1" applyAlignment="1">
      <alignment vertical="center"/>
    </xf>
    <xf numFmtId="43" fontId="38" fillId="0" borderId="0" xfId="1" applyNumberFormat="1" applyFont="1" applyAlignment="1">
      <alignment vertical="center"/>
    </xf>
    <xf numFmtId="0" fontId="38" fillId="2" borderId="0" xfId="0" applyFont="1" applyFill="1" applyAlignment="1">
      <alignment vertical="center"/>
    </xf>
    <xf numFmtId="0" fontId="26" fillId="3" borderId="2" xfId="0" applyFont="1" applyFill="1" applyBorder="1" applyAlignment="1">
      <alignment horizontal="center"/>
    </xf>
    <xf numFmtId="0" fontId="0" fillId="0" borderId="0" xfId="0" applyBorder="1" applyAlignment="1">
      <alignment vertical="center"/>
    </xf>
    <xf numFmtId="0" fontId="0" fillId="0" borderId="0" xfId="0" applyBorder="1" applyAlignment="1">
      <alignment vertical="distributed"/>
    </xf>
    <xf numFmtId="0" fontId="58" fillId="0" borderId="0" xfId="0" applyFont="1"/>
    <xf numFmtId="0" fontId="65" fillId="0" borderId="8" xfId="0" applyFont="1" applyFill="1" applyBorder="1" applyAlignment="1">
      <alignment horizontal="left" vertical="center"/>
    </xf>
    <xf numFmtId="0" fontId="58" fillId="0" borderId="0" xfId="0" applyFont="1" applyBorder="1" applyAlignment="1">
      <alignment horizontal="right"/>
    </xf>
    <xf numFmtId="0" fontId="38" fillId="0" borderId="4" xfId="0" applyFont="1" applyBorder="1" applyAlignment="1"/>
    <xf numFmtId="0" fontId="57" fillId="0" borderId="8" xfId="0" applyFont="1" applyBorder="1" applyAlignment="1">
      <alignment horizontal="left"/>
    </xf>
    <xf numFmtId="0" fontId="38" fillId="0" borderId="0" xfId="0" applyFont="1" applyBorder="1" applyAlignment="1"/>
    <xf numFmtId="0" fontId="38" fillId="0" borderId="4" xfId="0" applyFont="1" applyBorder="1" applyAlignment="1">
      <alignment horizontal="right"/>
    </xf>
    <xf numFmtId="0" fontId="51" fillId="4" borderId="1" xfId="0" applyFont="1" applyFill="1" applyBorder="1" applyAlignment="1">
      <alignment horizontal="center"/>
    </xf>
    <xf numFmtId="0" fontId="38" fillId="0" borderId="1" xfId="0" applyFont="1" applyBorder="1"/>
    <xf numFmtId="167" fontId="38" fillId="0" borderId="1" xfId="1" applyNumberFormat="1" applyFont="1" applyBorder="1" applyAlignment="1">
      <alignment horizontal="center"/>
    </xf>
    <xf numFmtId="0" fontId="67" fillId="4" borderId="1" xfId="0" applyFont="1" applyFill="1" applyBorder="1"/>
    <xf numFmtId="167" fontId="68" fillId="4" borderId="1" xfId="0" applyNumberFormat="1" applyFont="1" applyFill="1" applyBorder="1"/>
    <xf numFmtId="167" fontId="68" fillId="4" borderId="1" xfId="1" applyNumberFormat="1" applyFont="1" applyFill="1" applyBorder="1" applyAlignment="1">
      <alignment horizontal="center"/>
    </xf>
    <xf numFmtId="0" fontId="0" fillId="0" borderId="0" xfId="0" applyFont="1"/>
    <xf numFmtId="0" fontId="60" fillId="0" borderId="0" xfId="0" applyFont="1"/>
    <xf numFmtId="0" fontId="26" fillId="4" borderId="1" xfId="0" applyFont="1" applyFill="1" applyBorder="1"/>
    <xf numFmtId="167" fontId="30" fillId="4" borderId="1" xfId="0" applyNumberFormat="1" applyFont="1" applyFill="1" applyBorder="1" applyAlignment="1">
      <alignment horizontal="center"/>
    </xf>
    <xf numFmtId="0" fontId="0" fillId="0" borderId="1" xfId="0" applyBorder="1" applyAlignment="1">
      <alignment wrapText="1"/>
    </xf>
    <xf numFmtId="0" fontId="38" fillId="4" borderId="1" xfId="0" applyFont="1" applyFill="1" applyBorder="1" applyAlignment="1">
      <alignment horizontal="center"/>
    </xf>
    <xf numFmtId="0" fontId="51" fillId="0" borderId="0" xfId="0" applyFont="1"/>
    <xf numFmtId="0" fontId="30" fillId="0" borderId="0" xfId="0" applyFont="1"/>
    <xf numFmtId="167" fontId="26" fillId="4" borderId="1" xfId="0" applyNumberFormat="1" applyFont="1" applyFill="1" applyBorder="1"/>
    <xf numFmtId="167" fontId="26" fillId="4" borderId="1" xfId="1" applyNumberFormat="1" applyFont="1" applyFill="1" applyBorder="1" applyAlignment="1">
      <alignment horizontal="center"/>
    </xf>
    <xf numFmtId="0" fontId="26" fillId="0" borderId="0" xfId="0" applyFont="1" applyAlignment="1">
      <alignment horizontal="right"/>
    </xf>
    <xf numFmtId="166" fontId="3" fillId="0" borderId="8" xfId="1" applyNumberFormat="1" applyFont="1" applyBorder="1" applyAlignment="1">
      <alignment vertical="center"/>
    </xf>
    <xf numFmtId="166" fontId="3" fillId="0" borderId="5" xfId="1" applyNumberFormat="1" applyFont="1" applyBorder="1" applyAlignment="1">
      <alignment vertical="center"/>
    </xf>
    <xf numFmtId="166" fontId="3" fillId="0" borderId="8" xfId="1" applyNumberFormat="1" applyFont="1" applyFill="1" applyBorder="1"/>
    <xf numFmtId="166" fontId="3" fillId="5" borderId="3" xfId="1" applyNumberFormat="1" applyFont="1" applyFill="1" applyBorder="1"/>
    <xf numFmtId="166" fontId="3" fillId="5" borderId="3" xfId="1" applyNumberFormat="1" applyFont="1" applyFill="1" applyBorder="1" applyAlignment="1"/>
    <xf numFmtId="0" fontId="0" fillId="2" borderId="0" xfId="0" applyFont="1" applyFill="1"/>
    <xf numFmtId="167" fontId="1" fillId="0" borderId="0" xfId="1" applyNumberFormat="1" applyFont="1"/>
    <xf numFmtId="43" fontId="1" fillId="0" borderId="0" xfId="1" applyNumberFormat="1" applyFont="1"/>
    <xf numFmtId="0" fontId="0" fillId="0" borderId="0" xfId="0" applyFont="1" applyAlignment="1"/>
    <xf numFmtId="0" fontId="35" fillId="0" borderId="0" xfId="0" applyFont="1" applyAlignment="1">
      <alignment horizontal="right"/>
    </xf>
    <xf numFmtId="167" fontId="0" fillId="0" borderId="0" xfId="0" applyNumberFormat="1" applyFont="1" applyAlignment="1"/>
    <xf numFmtId="166" fontId="3" fillId="0" borderId="33" xfId="1" applyNumberFormat="1" applyFont="1" applyFill="1" applyBorder="1" applyAlignment="1">
      <alignment horizontal="center"/>
    </xf>
    <xf numFmtId="0" fontId="38" fillId="0" borderId="0" xfId="0" applyFont="1" applyFill="1" applyAlignment="1">
      <alignment vertical="center"/>
    </xf>
    <xf numFmtId="167" fontId="38" fillId="0" borderId="0" xfId="1" applyNumberFormat="1" applyFont="1" applyFill="1" applyAlignment="1">
      <alignment vertical="center"/>
    </xf>
    <xf numFmtId="43" fontId="38" fillId="0" borderId="0" xfId="1" applyNumberFormat="1" applyFont="1" applyFill="1" applyAlignment="1">
      <alignment vertical="center"/>
    </xf>
    <xf numFmtId="0" fontId="0" fillId="0" borderId="0" xfId="0" applyFont="1" applyAlignment="1">
      <alignment horizontal="center"/>
    </xf>
    <xf numFmtId="0" fontId="9" fillId="0" borderId="3" xfId="0" applyFont="1" applyFill="1" applyBorder="1" applyAlignment="1">
      <alignment horizontal="center" vertical="center" wrapText="1"/>
    </xf>
    <xf numFmtId="167" fontId="3" fillId="0" borderId="3" xfId="1" applyNumberFormat="1" applyFont="1" applyFill="1" applyBorder="1" applyAlignment="1">
      <alignment horizontal="center" vertical="center" wrapText="1"/>
    </xf>
    <xf numFmtId="166" fontId="3" fillId="0" borderId="3" xfId="1" applyNumberFormat="1" applyFont="1" applyFill="1" applyBorder="1" applyAlignment="1">
      <alignment vertical="center"/>
    </xf>
    <xf numFmtId="0" fontId="9" fillId="0" borderId="9" xfId="0" applyFont="1" applyFill="1" applyBorder="1" applyAlignment="1">
      <alignment horizontal="center" vertical="center" wrapText="1"/>
    </xf>
    <xf numFmtId="167" fontId="3" fillId="0" borderId="9" xfId="1" applyNumberFormat="1" applyFont="1" applyFill="1" applyBorder="1" applyAlignment="1">
      <alignment horizontal="center" vertical="center" wrapText="1"/>
    </xf>
    <xf numFmtId="166" fontId="3" fillId="0" borderId="5" xfId="1" applyNumberFormat="1" applyFont="1" applyFill="1" applyBorder="1" applyAlignment="1">
      <alignment vertical="center"/>
    </xf>
    <xf numFmtId="167" fontId="3" fillId="0" borderId="14" xfId="1" applyNumberFormat="1" applyFont="1" applyFill="1" applyBorder="1" applyAlignment="1">
      <alignment horizontal="center" vertical="center" wrapText="1"/>
    </xf>
    <xf numFmtId="0" fontId="11" fillId="0" borderId="7" xfId="0" applyFont="1" applyBorder="1" applyAlignment="1">
      <alignment vertical="distributed"/>
    </xf>
    <xf numFmtId="0" fontId="10" fillId="0" borderId="7" xfId="0" applyFont="1" applyBorder="1" applyAlignment="1">
      <alignment horizontal="left" vertical="distributed"/>
    </xf>
    <xf numFmtId="167" fontId="21" fillId="0" borderId="0" xfId="1" applyNumberFormat="1" applyFont="1" applyBorder="1" applyAlignment="1">
      <alignment horizontal="center"/>
    </xf>
    <xf numFmtId="167" fontId="21" fillId="0" borderId="7" xfId="1" applyNumberFormat="1" applyFont="1" applyBorder="1" applyAlignment="1">
      <alignment horizontal="center"/>
    </xf>
    <xf numFmtId="0" fontId="10" fillId="0" borderId="14" xfId="0" applyFont="1" applyBorder="1" applyAlignment="1">
      <alignment horizontal="left" vertical="distributed"/>
    </xf>
    <xf numFmtId="0" fontId="11" fillId="0" borderId="7" xfId="0" applyFont="1" applyBorder="1"/>
    <xf numFmtId="0" fontId="14" fillId="0" borderId="3" xfId="0" applyFont="1" applyBorder="1" applyAlignment="1">
      <alignment horizontal="center"/>
    </xf>
    <xf numFmtId="0" fontId="11" fillId="0" borderId="14" xfId="0" applyFont="1" applyBorder="1" applyAlignment="1">
      <alignment horizontal="left" vertical="distributed"/>
    </xf>
    <xf numFmtId="9" fontId="0" fillId="0" borderId="0" xfId="8" applyFont="1"/>
    <xf numFmtId="0" fontId="11" fillId="0" borderId="4" xfId="0" applyFont="1" applyBorder="1" applyAlignment="1">
      <alignment vertical="distributed"/>
    </xf>
    <xf numFmtId="168" fontId="38" fillId="0" borderId="0" xfId="1" applyNumberFormat="1" applyFont="1"/>
    <xf numFmtId="0" fontId="11" fillId="0" borderId="0" xfId="0" applyFont="1" applyBorder="1" applyAlignment="1">
      <alignment vertical="distributed"/>
    </xf>
    <xf numFmtId="166" fontId="3" fillId="0" borderId="4" xfId="1" applyNumberFormat="1" applyFont="1" applyFill="1" applyBorder="1"/>
    <xf numFmtId="0" fontId="9" fillId="5" borderId="13" xfId="0" applyFont="1" applyFill="1" applyBorder="1" applyAlignment="1">
      <alignment horizontal="center"/>
    </xf>
    <xf numFmtId="0" fontId="10" fillId="5" borderId="11" xfId="0" applyFont="1" applyFill="1" applyBorder="1" applyAlignment="1">
      <alignment vertical="distributed"/>
    </xf>
    <xf numFmtId="0" fontId="38" fillId="0" borderId="4" xfId="0" applyFont="1" applyFill="1" applyBorder="1" applyAlignment="1">
      <alignment horizontal="right"/>
    </xf>
    <xf numFmtId="0" fontId="13" fillId="0" borderId="8" xfId="0" applyFont="1" applyBorder="1" applyAlignment="1">
      <alignment horizontal="left"/>
    </xf>
    <xf numFmtId="0" fontId="33" fillId="0" borderId="0" xfId="0" applyFont="1" applyFill="1" applyBorder="1" applyAlignment="1">
      <alignment horizontal="right"/>
    </xf>
    <xf numFmtId="0" fontId="35" fillId="0" borderId="4" xfId="0" applyFont="1" applyFill="1" applyBorder="1" applyAlignment="1">
      <alignment horizontal="right"/>
    </xf>
    <xf numFmtId="166" fontId="3" fillId="0" borderId="0" xfId="1" applyNumberFormat="1" applyFont="1" applyFill="1" applyBorder="1" applyAlignment="1"/>
    <xf numFmtId="0" fontId="9" fillId="2" borderId="3" xfId="0" applyFont="1" applyFill="1" applyBorder="1" applyAlignment="1">
      <alignment horizontal="center" wrapText="1"/>
    </xf>
    <xf numFmtId="0" fontId="10" fillId="0" borderId="7" xfId="0" applyFont="1" applyBorder="1"/>
    <xf numFmtId="0" fontId="0" fillId="0" borderId="0" xfId="0" applyFont="1" applyAlignment="1">
      <alignment horizontal="right"/>
    </xf>
    <xf numFmtId="0" fontId="10" fillId="0" borderId="0" xfId="0" applyFont="1" applyAlignment="1">
      <alignment horizontal="left" vertical="distributed"/>
    </xf>
    <xf numFmtId="0" fontId="10" fillId="0" borderId="10" xfId="0" applyFont="1" applyBorder="1" applyAlignment="1">
      <alignment horizontal="left" vertical="distributed"/>
    </xf>
    <xf numFmtId="0" fontId="11" fillId="0" borderId="10" xfId="0" applyFont="1" applyBorder="1" applyAlignment="1">
      <alignment horizontal="left" vertical="distributed"/>
    </xf>
    <xf numFmtId="43" fontId="9" fillId="0" borderId="13" xfId="0" applyNumberFormat="1" applyFont="1" applyFill="1" applyBorder="1" applyAlignment="1">
      <alignment horizontal="center"/>
    </xf>
    <xf numFmtId="0" fontId="10" fillId="0" borderId="10" xfId="0" applyFont="1" applyFill="1" applyBorder="1" applyAlignment="1">
      <alignment horizontal="left" vertical="distributed"/>
    </xf>
    <xf numFmtId="43" fontId="9" fillId="0" borderId="3" xfId="1" applyFont="1" applyFill="1" applyBorder="1" applyAlignment="1">
      <alignment wrapText="1"/>
    </xf>
    <xf numFmtId="43" fontId="3" fillId="0" borderId="5" xfId="1" applyFont="1" applyFill="1" applyBorder="1" applyAlignment="1"/>
    <xf numFmtId="43" fontId="3" fillId="0" borderId="13" xfId="1" applyFont="1" applyFill="1" applyBorder="1" applyAlignment="1"/>
    <xf numFmtId="43" fontId="12" fillId="3" borderId="12" xfId="1" applyFont="1" applyFill="1" applyBorder="1" applyAlignment="1">
      <alignment horizontal="right"/>
    </xf>
    <xf numFmtId="43" fontId="3" fillId="0" borderId="3" xfId="1" applyFont="1" applyFill="1" applyBorder="1"/>
    <xf numFmtId="43" fontId="3" fillId="0" borderId="5" xfId="1" applyFont="1" applyFill="1" applyBorder="1"/>
    <xf numFmtId="43" fontId="3" fillId="0" borderId="3" xfId="1" applyFont="1" applyBorder="1"/>
    <xf numFmtId="43" fontId="3" fillId="0" borderId="0" xfId="1" applyFont="1" applyBorder="1" applyAlignment="1"/>
    <xf numFmtId="43" fontId="2" fillId="0" borderId="0" xfId="1" applyFont="1" applyBorder="1" applyAlignment="1"/>
    <xf numFmtId="43" fontId="3" fillId="0" borderId="5" xfId="1" applyFont="1" applyBorder="1"/>
    <xf numFmtId="43" fontId="3" fillId="0" borderId="13" xfId="1" applyFont="1" applyBorder="1"/>
    <xf numFmtId="43" fontId="3" fillId="2" borderId="5" xfId="1" applyFont="1" applyFill="1" applyBorder="1"/>
    <xf numFmtId="43" fontId="3" fillId="0" borderId="13" xfId="1" applyFont="1" applyFill="1" applyBorder="1"/>
    <xf numFmtId="43" fontId="3" fillId="0" borderId="8" xfId="1" applyFont="1" applyBorder="1"/>
    <xf numFmtId="43" fontId="29" fillId="3" borderId="12" xfId="1" applyFont="1" applyFill="1" applyBorder="1" applyAlignment="1">
      <alignment horizontal="right"/>
    </xf>
    <xf numFmtId="43" fontId="3" fillId="0" borderId="5" xfId="1" applyFont="1" applyBorder="1" applyAlignment="1">
      <alignment horizontal="center"/>
    </xf>
    <xf numFmtId="43" fontId="0" fillId="0" borderId="0" xfId="1" applyFont="1" applyAlignment="1"/>
    <xf numFmtId="43" fontId="0" fillId="0" borderId="0" xfId="1" applyFont="1" applyAlignment="1">
      <alignment horizontal="right"/>
    </xf>
    <xf numFmtId="43" fontId="26" fillId="0" borderId="0" xfId="1" applyFont="1" applyAlignment="1">
      <alignment horizontal="right"/>
    </xf>
    <xf numFmtId="43" fontId="16" fillId="0" borderId="1" xfId="1" applyFont="1" applyBorder="1" applyAlignment="1">
      <alignment horizontal="center"/>
    </xf>
    <xf numFmtId="43" fontId="3" fillId="0" borderId="13" xfId="1" applyFont="1" applyBorder="1" applyAlignment="1"/>
    <xf numFmtId="43" fontId="3" fillId="0" borderId="5" xfId="1" applyFont="1" applyBorder="1" applyAlignment="1"/>
    <xf numFmtId="43" fontId="3" fillId="0" borderId="3" xfId="1" applyFont="1" applyBorder="1" applyAlignment="1"/>
    <xf numFmtId="43" fontId="12" fillId="0" borderId="0" xfId="1" applyFont="1" applyFill="1" applyBorder="1" applyAlignment="1">
      <alignment horizontal="right"/>
    </xf>
    <xf numFmtId="43" fontId="16" fillId="2" borderId="1" xfId="1" applyFont="1" applyFill="1" applyBorder="1" applyAlignment="1">
      <alignment horizontal="center"/>
    </xf>
    <xf numFmtId="43" fontId="3" fillId="5" borderId="5" xfId="1" applyFont="1" applyFill="1" applyBorder="1"/>
    <xf numFmtId="43" fontId="19" fillId="0" borderId="1" xfId="1" applyFont="1" applyBorder="1" applyAlignment="1">
      <alignment horizontal="center"/>
    </xf>
    <xf numFmtId="43" fontId="3" fillId="0" borderId="4" xfId="1" applyFont="1" applyBorder="1"/>
    <xf numFmtId="43" fontId="3" fillId="0" borderId="14" xfId="1" applyFont="1" applyBorder="1"/>
    <xf numFmtId="43" fontId="3" fillId="0" borderId="9" xfId="1" applyFont="1" applyBorder="1"/>
    <xf numFmtId="43" fontId="3" fillId="0" borderId="8" xfId="1" applyFont="1" applyFill="1" applyBorder="1"/>
    <xf numFmtId="43" fontId="12" fillId="3" borderId="10" xfId="1" applyFont="1" applyFill="1" applyBorder="1" applyAlignment="1">
      <alignment horizontal="right"/>
    </xf>
    <xf numFmtId="167" fontId="0" fillId="0" borderId="0" xfId="1" applyNumberFormat="1" applyFont="1" applyAlignment="1"/>
    <xf numFmtId="43" fontId="35" fillId="0" borderId="0" xfId="1" applyFont="1" applyAlignment="1">
      <alignment horizontal="right"/>
    </xf>
    <xf numFmtId="43" fontId="36" fillId="0" borderId="5" xfId="1" applyFont="1" applyFill="1" applyBorder="1" applyAlignment="1"/>
    <xf numFmtId="43" fontId="3" fillId="0" borderId="10" xfId="1" applyFont="1" applyBorder="1"/>
    <xf numFmtId="43" fontId="3" fillId="5" borderId="13" xfId="1" applyFont="1" applyFill="1" applyBorder="1"/>
    <xf numFmtId="43" fontId="3" fillId="5" borderId="9" xfId="1" applyFont="1" applyFill="1" applyBorder="1"/>
    <xf numFmtId="0" fontId="0" fillId="5" borderId="0" xfId="0" applyFont="1" applyFill="1" applyAlignment="1"/>
    <xf numFmtId="0" fontId="7" fillId="5" borderId="8" xfId="0" quotePrefix="1" applyFont="1" applyFill="1" applyBorder="1"/>
    <xf numFmtId="0" fontId="10" fillId="5" borderId="4" xfId="0" applyFont="1" applyFill="1" applyBorder="1" applyAlignment="1">
      <alignment vertical="distributed"/>
    </xf>
    <xf numFmtId="43" fontId="3" fillId="5" borderId="13" xfId="1" applyNumberFormat="1" applyFont="1" applyFill="1" applyBorder="1" applyAlignment="1">
      <alignment horizontal="center"/>
    </xf>
    <xf numFmtId="0" fontId="7" fillId="5" borderId="9" xfId="0" quotePrefix="1" applyFont="1" applyFill="1" applyBorder="1"/>
    <xf numFmtId="43" fontId="3" fillId="5" borderId="5" xfId="1" applyNumberFormat="1" applyFont="1" applyFill="1" applyBorder="1" applyAlignment="1">
      <alignment horizontal="center"/>
    </xf>
    <xf numFmtId="0" fontId="7" fillId="5" borderId="14" xfId="0" quotePrefix="1" applyFont="1" applyFill="1" applyBorder="1" applyAlignment="1">
      <alignment horizontal="left"/>
    </xf>
    <xf numFmtId="0" fontId="8" fillId="5" borderId="7" xfId="0" applyFont="1" applyFill="1" applyBorder="1"/>
    <xf numFmtId="0" fontId="39" fillId="5" borderId="14" xfId="0" applyFont="1" applyFill="1" applyBorder="1"/>
    <xf numFmtId="167" fontId="40" fillId="5" borderId="14" xfId="1" applyNumberFormat="1" applyFont="1" applyFill="1" applyBorder="1" applyAlignment="1">
      <alignment horizontal="center"/>
    </xf>
    <xf numFmtId="0" fontId="9" fillId="5" borderId="8" xfId="0" applyFont="1" applyFill="1" applyBorder="1" applyAlignment="1">
      <alignment horizontal="center"/>
    </xf>
    <xf numFmtId="0" fontId="39" fillId="5" borderId="14" xfId="0" applyFont="1" applyFill="1" applyBorder="1" applyAlignment="1">
      <alignment horizontal="center"/>
    </xf>
    <xf numFmtId="167" fontId="3" fillId="5" borderId="14" xfId="1" applyNumberFormat="1" applyFont="1" applyFill="1" applyBorder="1" applyAlignment="1">
      <alignment horizontal="center"/>
    </xf>
    <xf numFmtId="0" fontId="10" fillId="5" borderId="11" xfId="0" applyFont="1" applyFill="1" applyBorder="1" applyAlignment="1">
      <alignment wrapText="1"/>
    </xf>
    <xf numFmtId="0" fontId="39" fillId="5" borderId="10" xfId="0" applyFont="1" applyFill="1" applyBorder="1" applyAlignment="1">
      <alignment horizontal="center"/>
    </xf>
    <xf numFmtId="167" fontId="40" fillId="5" borderId="8" xfId="1" applyNumberFormat="1" applyFont="1" applyFill="1" applyBorder="1" applyAlignment="1">
      <alignment horizontal="center"/>
    </xf>
    <xf numFmtId="0" fontId="10" fillId="5" borderId="7" xfId="0" applyFont="1" applyFill="1" applyBorder="1"/>
    <xf numFmtId="0" fontId="9" fillId="0" borderId="3" xfId="0" applyFont="1" applyFill="1" applyBorder="1" applyAlignment="1">
      <alignment vertical="center" wrapText="1"/>
    </xf>
    <xf numFmtId="166" fontId="3" fillId="0" borderId="13" xfId="1" applyNumberFormat="1" applyFont="1" applyBorder="1" applyAlignment="1">
      <alignment vertical="center"/>
    </xf>
    <xf numFmtId="0" fontId="0" fillId="3" borderId="2" xfId="0" applyFill="1" applyBorder="1" applyAlignment="1">
      <alignment horizontal="center" vertical="center"/>
    </xf>
    <xf numFmtId="167" fontId="20" fillId="3" borderId="12" xfId="1" applyNumberFormat="1" applyFont="1" applyFill="1" applyBorder="1" applyAlignment="1">
      <alignment horizontal="center" vertical="center"/>
    </xf>
    <xf numFmtId="0" fontId="12" fillId="3" borderId="12" xfId="0" applyFont="1" applyFill="1" applyBorder="1" applyAlignment="1">
      <alignment horizontal="right" vertical="center"/>
    </xf>
    <xf numFmtId="166" fontId="22" fillId="3" borderId="6" xfId="0" applyNumberFormat="1" applyFont="1" applyFill="1" applyBorder="1" applyAlignment="1">
      <alignment vertical="center"/>
    </xf>
    <xf numFmtId="0" fontId="10" fillId="0" borderId="8" xfId="0" applyFont="1" applyFill="1" applyBorder="1" applyAlignment="1">
      <alignment horizontal="left" vertical="center"/>
    </xf>
    <xf numFmtId="0" fontId="10" fillId="0" borderId="9" xfId="0" applyFont="1" applyFill="1" applyBorder="1" applyAlignment="1">
      <alignment horizontal="left" vertical="center"/>
    </xf>
    <xf numFmtId="166" fontId="3" fillId="0" borderId="3" xfId="1" applyNumberFormat="1" applyFont="1" applyBorder="1" applyAlignment="1">
      <alignment horizontal="center" vertical="center"/>
    </xf>
    <xf numFmtId="166" fontId="3" fillId="0" borderId="3" xfId="1" applyNumberFormat="1" applyFont="1" applyBorder="1" applyAlignment="1">
      <alignment vertical="center"/>
    </xf>
    <xf numFmtId="0" fontId="10" fillId="0" borderId="9" xfId="0" applyFont="1" applyBorder="1" applyAlignment="1">
      <alignment vertical="center"/>
    </xf>
    <xf numFmtId="166" fontId="3" fillId="0" borderId="5" xfId="1" applyNumberFormat="1" applyFont="1" applyBorder="1" applyAlignment="1">
      <alignment horizontal="center" vertical="center"/>
    </xf>
    <xf numFmtId="167" fontId="3" fillId="0" borderId="8" xfId="1" applyNumberFormat="1" applyFont="1" applyBorder="1" applyAlignment="1">
      <alignment horizontal="center" vertical="center"/>
    </xf>
    <xf numFmtId="0" fontId="9" fillId="0" borderId="5" xfId="0" applyFont="1" applyFill="1" applyBorder="1" applyAlignment="1">
      <alignment horizontal="center" vertical="center"/>
    </xf>
    <xf numFmtId="167" fontId="3" fillId="0" borderId="11" xfId="1" applyNumberFormat="1" applyFont="1" applyFill="1" applyBorder="1" applyAlignment="1">
      <alignment horizontal="center" vertical="center"/>
    </xf>
    <xf numFmtId="167" fontId="3" fillId="0" borderId="9" xfId="1" applyNumberFormat="1" applyFont="1" applyBorder="1" applyAlignment="1">
      <alignment horizontal="center" vertical="center"/>
    </xf>
    <xf numFmtId="167" fontId="3" fillId="0" borderId="5" xfId="1" applyNumberFormat="1" applyFont="1" applyBorder="1" applyAlignment="1">
      <alignment horizontal="center" vertical="center"/>
    </xf>
    <xf numFmtId="0" fontId="11" fillId="0" borderId="14" xfId="0" applyFont="1" applyFill="1" applyBorder="1" applyAlignment="1">
      <alignment vertical="center"/>
    </xf>
    <xf numFmtId="166" fontId="3" fillId="0" borderId="13" xfId="1" applyNumberFormat="1" applyFont="1" applyFill="1" applyBorder="1" applyAlignment="1">
      <alignment vertical="center"/>
    </xf>
    <xf numFmtId="167" fontId="21" fillId="0" borderId="14" xfId="1" applyNumberFormat="1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167" fontId="3" fillId="0" borderId="5" xfId="1" applyNumberFormat="1" applyFont="1" applyFill="1" applyBorder="1" applyAlignment="1">
      <alignment horizontal="center" vertical="center"/>
    </xf>
    <xf numFmtId="167" fontId="3" fillId="0" borderId="13" xfId="1" applyNumberFormat="1" applyFont="1" applyBorder="1" applyAlignment="1">
      <alignment horizontal="center" vertical="center"/>
    </xf>
    <xf numFmtId="166" fontId="3" fillId="0" borderId="4" xfId="1" applyNumberFormat="1" applyFont="1" applyBorder="1" applyAlignment="1">
      <alignment vertical="center"/>
    </xf>
    <xf numFmtId="0" fontId="0" fillId="3" borderId="9" xfId="0" applyFill="1" applyBorder="1" applyAlignment="1">
      <alignment horizontal="center" vertical="center"/>
    </xf>
    <xf numFmtId="167" fontId="20" fillId="3" borderId="10" xfId="1" applyNumberFormat="1" applyFont="1" applyFill="1" applyBorder="1" applyAlignment="1">
      <alignment horizontal="center" vertical="center"/>
    </xf>
    <xf numFmtId="0" fontId="12" fillId="3" borderId="10" xfId="0" applyFont="1" applyFill="1" applyBorder="1" applyAlignment="1">
      <alignment horizontal="right" vertical="center"/>
    </xf>
    <xf numFmtId="0" fontId="9" fillId="0" borderId="8" xfId="0" applyFont="1" applyFill="1" applyBorder="1" applyAlignment="1">
      <alignment horizontal="center" vertical="center" wrapText="1"/>
    </xf>
    <xf numFmtId="167" fontId="3" fillId="0" borderId="8" xfId="1" applyNumberFormat="1" applyFont="1" applyFill="1" applyBorder="1" applyAlignment="1">
      <alignment horizontal="center" vertical="center" wrapText="1"/>
    </xf>
    <xf numFmtId="167" fontId="3" fillId="0" borderId="9" xfId="1" applyNumberFormat="1" applyFont="1" applyFill="1" applyBorder="1" applyAlignment="1">
      <alignment horizontal="center" vertical="center"/>
    </xf>
    <xf numFmtId="167" fontId="3" fillId="0" borderId="3" xfId="1" applyNumberFormat="1" applyFont="1" applyBorder="1" applyAlignment="1">
      <alignment horizontal="center" vertical="center"/>
    </xf>
    <xf numFmtId="166" fontId="3" fillId="0" borderId="13" xfId="1" applyNumberFormat="1" applyFont="1" applyBorder="1" applyAlignment="1">
      <alignment horizontal="center" vertical="center"/>
    </xf>
    <xf numFmtId="167" fontId="3" fillId="0" borderId="14" xfId="1" applyNumberFormat="1" applyFont="1" applyBorder="1" applyAlignment="1">
      <alignment horizontal="center" vertical="center"/>
    </xf>
    <xf numFmtId="166" fontId="3" fillId="0" borderId="14" xfId="1" applyNumberFormat="1" applyFont="1" applyBorder="1" applyAlignment="1">
      <alignment vertical="center"/>
    </xf>
    <xf numFmtId="0" fontId="0" fillId="0" borderId="10" xfId="0" applyBorder="1" applyAlignment="1">
      <alignment vertical="center"/>
    </xf>
    <xf numFmtId="0" fontId="7" fillId="0" borderId="8" xfId="0" quotePrefix="1" applyFont="1" applyBorder="1" applyAlignment="1">
      <alignment horizontal="left" vertical="center"/>
    </xf>
    <xf numFmtId="166" fontId="3" fillId="0" borderId="8" xfId="1" applyNumberFormat="1" applyFont="1" applyBorder="1" applyAlignment="1">
      <alignment horizontal="center" vertical="center"/>
    </xf>
    <xf numFmtId="0" fontId="11" fillId="0" borderId="0" xfId="0" applyFont="1"/>
    <xf numFmtId="0" fontId="11" fillId="0" borderId="0" xfId="0" applyFont="1" applyFill="1"/>
    <xf numFmtId="0" fontId="11" fillId="0" borderId="23" xfId="0" applyFont="1" applyBorder="1"/>
    <xf numFmtId="0" fontId="11" fillId="0" borderId="14" xfId="0" applyFont="1" applyBorder="1" applyAlignment="1">
      <alignment vertical="center"/>
    </xf>
    <xf numFmtId="0" fontId="11" fillId="0" borderId="4" xfId="0" applyFont="1" applyFill="1" applyBorder="1" applyAlignment="1">
      <alignment vertical="distributed"/>
    </xf>
    <xf numFmtId="167" fontId="3" fillId="0" borderId="34" xfId="1" applyNumberFormat="1" applyFont="1" applyBorder="1"/>
    <xf numFmtId="0" fontId="11" fillId="0" borderId="23" xfId="0" applyFont="1" applyBorder="1" applyAlignment="1">
      <alignment horizontal="left"/>
    </xf>
    <xf numFmtId="0" fontId="0" fillId="0" borderId="0" xfId="0" applyAlignment="1">
      <alignment horizontal="left" vertical="center"/>
    </xf>
    <xf numFmtId="0" fontId="10" fillId="0" borderId="0" xfId="0" applyFont="1" applyBorder="1" applyAlignment="1">
      <alignment horizontal="left" vertical="center"/>
    </xf>
    <xf numFmtId="0" fontId="11" fillId="0" borderId="0" xfId="0" applyFont="1" applyBorder="1" applyAlignment="1">
      <alignment horizontal="left" vertical="center"/>
    </xf>
    <xf numFmtId="0" fontId="64" fillId="0" borderId="10" xfId="0" applyFont="1" applyBorder="1" applyAlignment="1">
      <alignment vertical="center"/>
    </xf>
    <xf numFmtId="0" fontId="11" fillId="0" borderId="10" xfId="0" applyFont="1" applyFill="1" applyBorder="1" applyAlignment="1">
      <alignment horizontal="left" vertical="center"/>
    </xf>
    <xf numFmtId="0" fontId="10" fillId="0" borderId="10" xfId="0" applyFont="1" applyFill="1" applyBorder="1" applyAlignment="1">
      <alignment horizontal="left" vertical="center"/>
    </xf>
    <xf numFmtId="0" fontId="11" fillId="0" borderId="0" xfId="0" applyFont="1" applyBorder="1" applyAlignment="1">
      <alignment vertical="center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vertical="center"/>
    </xf>
    <xf numFmtId="0" fontId="7" fillId="0" borderId="0" xfId="0" quotePrefix="1" applyFont="1" applyBorder="1" applyAlignment="1">
      <alignment horizontal="left" vertical="center"/>
    </xf>
    <xf numFmtId="0" fontId="0" fillId="3" borderId="2" xfId="0" applyFill="1" applyBorder="1" applyAlignment="1">
      <alignment vertical="center"/>
    </xf>
    <xf numFmtId="0" fontId="11" fillId="0" borderId="0" xfId="0" applyFont="1" applyBorder="1" applyAlignment="1">
      <alignment vertical="center" wrapText="1"/>
    </xf>
    <xf numFmtId="0" fontId="8" fillId="0" borderId="0" xfId="0" applyFont="1" applyFill="1" applyBorder="1" applyAlignment="1">
      <alignment vertical="center"/>
    </xf>
    <xf numFmtId="0" fontId="11" fillId="0" borderId="14" xfId="0" applyFont="1" applyBorder="1" applyAlignment="1">
      <alignment horizontal="left" vertical="center"/>
    </xf>
    <xf numFmtId="0" fontId="11" fillId="0" borderId="10" xfId="0" applyFont="1" applyBorder="1" applyAlignment="1">
      <alignment vertical="center"/>
    </xf>
    <xf numFmtId="0" fontId="11" fillId="0" borderId="10" xfId="0" applyFont="1" applyBorder="1" applyAlignment="1">
      <alignment horizontal="left" vertical="center"/>
    </xf>
    <xf numFmtId="0" fontId="16" fillId="2" borderId="2" xfId="0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/>
    </xf>
    <xf numFmtId="166" fontId="16" fillId="0" borderId="1" xfId="1" applyNumberFormat="1" applyFont="1" applyBorder="1" applyAlignment="1">
      <alignment horizontal="center" vertical="center"/>
    </xf>
    <xf numFmtId="167" fontId="16" fillId="2" borderId="1" xfId="1" applyNumberFormat="1" applyFont="1" applyFill="1" applyBorder="1" applyAlignment="1">
      <alignment horizontal="center" vertical="center"/>
    </xf>
    <xf numFmtId="0" fontId="7" fillId="0" borderId="9" xfId="0" applyFont="1" applyBorder="1" applyAlignment="1">
      <alignment horizontal="left" vertical="center"/>
    </xf>
    <xf numFmtId="0" fontId="9" fillId="0" borderId="13" xfId="0" applyFont="1" applyBorder="1" applyAlignment="1">
      <alignment horizontal="center" vertical="center"/>
    </xf>
    <xf numFmtId="167" fontId="3" fillId="0" borderId="4" xfId="1" applyNumberFormat="1" applyFont="1" applyFill="1" applyBorder="1" applyAlignment="1">
      <alignment horizontal="center" vertical="center"/>
    </xf>
    <xf numFmtId="0" fontId="35" fillId="0" borderId="0" xfId="0" applyFont="1" applyAlignment="1">
      <alignment vertical="center"/>
    </xf>
    <xf numFmtId="167" fontId="35" fillId="0" borderId="0" xfId="1" applyNumberFormat="1" applyFont="1" applyAlignment="1">
      <alignment vertical="center"/>
    </xf>
    <xf numFmtId="43" fontId="35" fillId="0" borderId="0" xfId="1" applyNumberFormat="1" applyFont="1" applyAlignment="1">
      <alignment vertical="center"/>
    </xf>
    <xf numFmtId="0" fontId="35" fillId="2" borderId="0" xfId="0" applyFont="1" applyFill="1" applyAlignment="1">
      <alignment vertical="center"/>
    </xf>
    <xf numFmtId="0" fontId="9" fillId="0" borderId="13" xfId="0" applyFont="1" applyFill="1" applyBorder="1" applyAlignment="1">
      <alignment horizontal="center" vertical="center"/>
    </xf>
    <xf numFmtId="43" fontId="3" fillId="0" borderId="13" xfId="1" applyNumberFormat="1" applyFont="1" applyBorder="1" applyAlignment="1">
      <alignment horizontal="center" vertical="center"/>
    </xf>
    <xf numFmtId="168" fontId="0" fillId="0" borderId="0" xfId="1" applyNumberFormat="1" applyFont="1" applyAlignment="1">
      <alignment vertical="center"/>
    </xf>
    <xf numFmtId="43" fontId="3" fillId="0" borderId="5" xfId="1" applyNumberFormat="1" applyFont="1" applyBorder="1" applyAlignment="1">
      <alignment horizontal="center" vertical="center"/>
    </xf>
    <xf numFmtId="167" fontId="21" fillId="0" borderId="8" xfId="1" applyNumberFormat="1" applyFont="1" applyBorder="1" applyAlignment="1">
      <alignment horizontal="center" vertical="center"/>
    </xf>
    <xf numFmtId="0" fontId="10" fillId="0" borderId="11" xfId="0" applyFont="1" applyBorder="1" applyAlignment="1">
      <alignment horizontal="left" vertical="center"/>
    </xf>
    <xf numFmtId="0" fontId="7" fillId="0" borderId="0" xfId="0" applyFont="1" applyBorder="1" applyAlignment="1">
      <alignment horizontal="left" vertical="center"/>
    </xf>
    <xf numFmtId="0" fontId="11" fillId="0" borderId="23" xfId="0" applyFont="1" applyBorder="1" applyAlignment="1">
      <alignment vertical="center"/>
    </xf>
    <xf numFmtId="0" fontId="11" fillId="0" borderId="7" xfId="0" applyFont="1" applyBorder="1" applyAlignment="1">
      <alignment horizontal="left" vertical="center"/>
    </xf>
    <xf numFmtId="167" fontId="3" fillId="0" borderId="13" xfId="1" applyNumberFormat="1" applyFont="1" applyFill="1" applyBorder="1" applyAlignment="1">
      <alignment horizontal="center" vertical="center" wrapText="1"/>
    </xf>
    <xf numFmtId="167" fontId="3" fillId="0" borderId="0" xfId="1" applyNumberFormat="1" applyFont="1" applyFill="1" applyBorder="1" applyAlignment="1">
      <alignment horizontal="center" vertical="center" wrapText="1"/>
    </xf>
    <xf numFmtId="167" fontId="3" fillId="0" borderId="5" xfId="1" applyNumberFormat="1" applyFont="1" applyFill="1" applyBorder="1" applyAlignment="1">
      <alignment horizontal="center" vertical="center" wrapText="1"/>
    </xf>
    <xf numFmtId="0" fontId="10" fillId="0" borderId="11" xfId="0" applyFont="1" applyFill="1" applyBorder="1" applyAlignment="1">
      <alignment horizontal="left" vertical="center"/>
    </xf>
    <xf numFmtId="0" fontId="7" fillId="0" borderId="14" xfId="0" applyFont="1" applyFill="1" applyBorder="1"/>
    <xf numFmtId="0" fontId="0" fillId="0" borderId="23" xfId="0" applyFill="1" applyBorder="1"/>
    <xf numFmtId="0" fontId="7" fillId="0" borderId="4" xfId="0" quotePrefix="1" applyFont="1" applyFill="1" applyBorder="1"/>
    <xf numFmtId="0" fontId="7" fillId="0" borderId="11" xfId="0" quotePrefix="1" applyFont="1" applyFill="1" applyBorder="1"/>
    <xf numFmtId="0" fontId="7" fillId="0" borderId="14" xfId="0" quotePrefix="1" applyFont="1" applyFill="1" applyBorder="1"/>
    <xf numFmtId="0" fontId="0" fillId="0" borderId="4" xfId="0" applyFill="1" applyBorder="1"/>
    <xf numFmtId="0" fontId="0" fillId="0" borderId="11" xfId="0" applyFill="1" applyBorder="1"/>
    <xf numFmtId="0" fontId="8" fillId="0" borderId="7" xfId="0" applyFont="1" applyFill="1" applyBorder="1" applyAlignment="1">
      <alignment vertical="distributed"/>
    </xf>
    <xf numFmtId="166" fontId="0" fillId="0" borderId="11" xfId="0" applyNumberFormat="1" applyFill="1" applyBorder="1"/>
    <xf numFmtId="166" fontId="3" fillId="0" borderId="23" xfId="1" applyNumberFormat="1" applyFont="1" applyFill="1" applyBorder="1"/>
    <xf numFmtId="0" fontId="16" fillId="0" borderId="3" xfId="0" applyFont="1" applyFill="1" applyBorder="1" applyAlignment="1">
      <alignment horizontal="center"/>
    </xf>
    <xf numFmtId="0" fontId="0" fillId="0" borderId="3" xfId="0" applyFill="1" applyBorder="1"/>
    <xf numFmtId="167" fontId="3" fillId="0" borderId="4" xfId="1" applyNumberFormat="1" applyFont="1" applyBorder="1" applyAlignment="1">
      <alignment horizontal="center" vertical="center"/>
    </xf>
    <xf numFmtId="0" fontId="10" fillId="0" borderId="4" xfId="0" applyFont="1" applyBorder="1" applyAlignment="1">
      <alignment horizontal="left" vertical="center"/>
    </xf>
    <xf numFmtId="167" fontId="3" fillId="0" borderId="0" xfId="1" applyNumberFormat="1" applyFont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vertical="center"/>
    </xf>
    <xf numFmtId="167" fontId="3" fillId="0" borderId="10" xfId="1" applyNumberFormat="1" applyFont="1" applyBorder="1" applyAlignment="1">
      <alignment horizontal="center" vertical="center"/>
    </xf>
    <xf numFmtId="166" fontId="3" fillId="2" borderId="5" xfId="1" applyNumberFormat="1" applyFont="1" applyFill="1" applyBorder="1" applyAlignment="1">
      <alignment vertical="center"/>
    </xf>
    <xf numFmtId="0" fontId="10" fillId="0" borderId="4" xfId="0" applyFont="1" applyFill="1" applyBorder="1" applyAlignment="1">
      <alignment horizontal="left" vertical="center"/>
    </xf>
    <xf numFmtId="0" fontId="7" fillId="0" borderId="0" xfId="0" quotePrefix="1" applyFont="1" applyFill="1" applyBorder="1" applyAlignment="1">
      <alignment horizontal="left" vertical="center"/>
    </xf>
    <xf numFmtId="167" fontId="20" fillId="0" borderId="0" xfId="1" applyNumberFormat="1" applyFont="1" applyBorder="1" applyAlignment="1">
      <alignment horizontal="center" vertical="center"/>
    </xf>
    <xf numFmtId="167" fontId="21" fillId="0" borderId="0" xfId="1" applyNumberFormat="1" applyFont="1" applyBorder="1" applyAlignment="1">
      <alignment horizontal="center" vertical="center"/>
    </xf>
    <xf numFmtId="167" fontId="21" fillId="0" borderId="7" xfId="1" applyNumberFormat="1" applyFont="1" applyBorder="1" applyAlignment="1">
      <alignment horizontal="center" vertical="center"/>
    </xf>
    <xf numFmtId="166" fontId="3" fillId="0" borderId="23" xfId="1" applyNumberFormat="1" applyFont="1" applyBorder="1" applyAlignment="1">
      <alignment vertical="center"/>
    </xf>
    <xf numFmtId="166" fontId="3" fillId="0" borderId="11" xfId="1" applyNumberFormat="1" applyFont="1" applyBorder="1" applyAlignment="1">
      <alignment vertical="center"/>
    </xf>
    <xf numFmtId="167" fontId="3" fillId="0" borderId="7" xfId="1" applyNumberFormat="1" applyFont="1" applyFill="1" applyBorder="1" applyAlignment="1">
      <alignment horizontal="center" vertical="center" wrapText="1"/>
    </xf>
    <xf numFmtId="166" fontId="3" fillId="0" borderId="4" xfId="1" applyNumberFormat="1" applyFont="1" applyFill="1" applyBorder="1" applyAlignment="1">
      <alignment horizontal="center" vertical="center"/>
    </xf>
    <xf numFmtId="166" fontId="3" fillId="0" borderId="9" xfId="1" applyNumberFormat="1" applyFont="1" applyBorder="1" applyAlignment="1">
      <alignment vertical="center"/>
    </xf>
    <xf numFmtId="0" fontId="11" fillId="0" borderId="14" xfId="0" applyFont="1" applyFill="1" applyBorder="1" applyAlignment="1">
      <alignment horizontal="left" vertical="center"/>
    </xf>
    <xf numFmtId="0" fontId="7" fillId="0" borderId="9" xfId="0" quotePrefix="1" applyFont="1" applyBorder="1" applyAlignment="1">
      <alignment vertical="center"/>
    </xf>
    <xf numFmtId="0" fontId="7" fillId="0" borderId="0" xfId="0" quotePrefix="1" applyFont="1" applyBorder="1" applyAlignment="1">
      <alignment vertical="center"/>
    </xf>
    <xf numFmtId="0" fontId="11" fillId="0" borderId="0" xfId="0" applyFont="1" applyBorder="1" applyAlignment="1">
      <alignment horizontal="left" vertical="center" wrapText="1"/>
    </xf>
    <xf numFmtId="0" fontId="10" fillId="0" borderId="0" xfId="0" applyFont="1" applyFill="1" applyBorder="1" applyAlignment="1">
      <alignment horizontal="left" vertical="center"/>
    </xf>
    <xf numFmtId="0" fontId="10" fillId="0" borderId="8" xfId="0" applyFont="1" applyBorder="1" applyAlignment="1">
      <alignment horizontal="left" vertical="center"/>
    </xf>
    <xf numFmtId="0" fontId="10" fillId="0" borderId="9" xfId="0" applyFont="1" applyBorder="1" applyAlignment="1">
      <alignment horizontal="left" vertical="center"/>
    </xf>
    <xf numFmtId="0" fontId="11" fillId="0" borderId="23" xfId="0" applyFont="1" applyBorder="1" applyAlignment="1">
      <alignment horizontal="left" vertical="center"/>
    </xf>
    <xf numFmtId="0" fontId="10" fillId="0" borderId="10" xfId="0" applyFont="1" applyBorder="1" applyAlignment="1">
      <alignment horizontal="left" vertical="center"/>
    </xf>
    <xf numFmtId="0" fontId="11" fillId="0" borderId="4" xfId="0" applyFont="1" applyBorder="1" applyAlignment="1">
      <alignment horizontal="left" vertical="center"/>
    </xf>
    <xf numFmtId="0" fontId="11" fillId="0" borderId="8" xfId="0" applyFont="1" applyBorder="1" applyAlignment="1">
      <alignment horizontal="left" vertical="center"/>
    </xf>
    <xf numFmtId="167" fontId="0" fillId="2" borderId="0" xfId="0" applyNumberFormat="1" applyFill="1" applyAlignment="1">
      <alignment vertical="center"/>
    </xf>
    <xf numFmtId="167" fontId="21" fillId="0" borderId="13" xfId="1" applyNumberFormat="1" applyFont="1" applyBorder="1" applyAlignment="1">
      <alignment horizontal="center" vertical="center"/>
    </xf>
    <xf numFmtId="167" fontId="21" fillId="0" borderId="5" xfId="1" applyNumberFormat="1" applyFont="1" applyBorder="1" applyAlignment="1">
      <alignment horizontal="center" vertical="center"/>
    </xf>
    <xf numFmtId="167" fontId="3" fillId="0" borderId="13" xfId="1" applyNumberFormat="1" applyFont="1" applyFill="1" applyBorder="1" applyAlignment="1">
      <alignment horizontal="center" vertical="center"/>
    </xf>
    <xf numFmtId="0" fontId="7" fillId="0" borderId="8" xfId="0" quotePrefix="1" applyFont="1" applyFill="1" applyBorder="1" applyAlignment="1">
      <alignment horizontal="left" vertical="center"/>
    </xf>
    <xf numFmtId="166" fontId="3" fillId="5" borderId="5" xfId="1" applyNumberFormat="1" applyFont="1" applyFill="1" applyBorder="1" applyAlignment="1">
      <alignment vertical="center"/>
    </xf>
    <xf numFmtId="0" fontId="7" fillId="0" borderId="0" xfId="0" quotePrefix="1" applyFont="1" applyFill="1" applyBorder="1" applyAlignment="1">
      <alignment vertical="center"/>
    </xf>
    <xf numFmtId="0" fontId="7" fillId="0" borderId="8" xfId="0" applyFont="1" applyBorder="1" applyAlignment="1">
      <alignment horizontal="left" vertical="center"/>
    </xf>
    <xf numFmtId="0" fontId="10" fillId="0" borderId="0" xfId="0" applyFont="1" applyFill="1" applyBorder="1" applyAlignment="1">
      <alignment horizontal="left" vertical="center" wrapText="1"/>
    </xf>
    <xf numFmtId="0" fontId="10" fillId="0" borderId="9" xfId="0" applyFont="1" applyFill="1" applyBorder="1" applyAlignment="1">
      <alignment horizontal="left" vertical="center" wrapText="1"/>
    </xf>
    <xf numFmtId="0" fontId="10" fillId="0" borderId="11" xfId="0" applyFont="1" applyFill="1" applyBorder="1" applyAlignment="1">
      <alignment horizontal="left" vertical="center" wrapText="1"/>
    </xf>
    <xf numFmtId="0" fontId="11" fillId="0" borderId="4" xfId="0" applyFont="1" applyFill="1" applyBorder="1" applyAlignment="1">
      <alignment horizontal="left" vertical="center"/>
    </xf>
    <xf numFmtId="0" fontId="11" fillId="0" borderId="23" xfId="0" applyFont="1" applyFill="1" applyBorder="1" applyAlignment="1">
      <alignment horizontal="left" vertical="center"/>
    </xf>
    <xf numFmtId="167" fontId="0" fillId="5" borderId="0" xfId="1" applyNumberFormat="1" applyFont="1" applyFill="1" applyAlignment="1">
      <alignment vertical="center"/>
    </xf>
    <xf numFmtId="167" fontId="35" fillId="5" borderId="0" xfId="1" applyNumberFormat="1" applyFont="1" applyFill="1" applyAlignment="1">
      <alignment vertical="center"/>
    </xf>
    <xf numFmtId="0" fontId="7" fillId="0" borderId="9" xfId="0" quotePrefix="1" applyFont="1" applyBorder="1" applyAlignment="1">
      <alignment horizontal="left" vertical="center"/>
    </xf>
    <xf numFmtId="0" fontId="4" fillId="0" borderId="2" xfId="0" applyFont="1" applyBorder="1" applyAlignment="1">
      <alignment vertical="center"/>
    </xf>
    <xf numFmtId="0" fontId="18" fillId="0" borderId="0" xfId="0" applyFont="1" applyAlignment="1">
      <alignment horizontal="right" vertical="center"/>
    </xf>
    <xf numFmtId="0" fontId="7" fillId="0" borderId="9" xfId="0" quotePrefix="1" applyFont="1" applyFill="1" applyBorder="1" applyAlignment="1">
      <alignment horizontal="left" vertical="center"/>
    </xf>
    <xf numFmtId="167" fontId="3" fillId="0" borderId="10" xfId="1" applyNumberFormat="1" applyFont="1" applyFill="1" applyBorder="1" applyAlignment="1">
      <alignment horizontal="center" vertical="center" wrapText="1"/>
    </xf>
    <xf numFmtId="0" fontId="26" fillId="0" borderId="0" xfId="0" applyFont="1" applyAlignment="1">
      <alignment vertical="center"/>
    </xf>
    <xf numFmtId="167" fontId="26" fillId="0" borderId="0" xfId="1" applyNumberFormat="1" applyFont="1" applyAlignment="1">
      <alignment vertical="center"/>
    </xf>
    <xf numFmtId="43" fontId="26" fillId="0" borderId="0" xfId="1" applyNumberFormat="1" applyFont="1" applyAlignment="1">
      <alignment vertical="center"/>
    </xf>
    <xf numFmtId="0" fontId="26" fillId="2" borderId="0" xfId="0" applyFont="1" applyFill="1" applyAlignment="1">
      <alignment vertical="center"/>
    </xf>
    <xf numFmtId="167" fontId="35" fillId="0" borderId="0" xfId="1" applyNumberFormat="1" applyFont="1" applyFill="1" applyAlignment="1">
      <alignment vertical="center"/>
    </xf>
    <xf numFmtId="167" fontId="3" fillId="6" borderId="5" xfId="1" applyNumberFormat="1" applyFont="1" applyFill="1" applyBorder="1" applyAlignment="1">
      <alignment horizontal="center" vertical="center"/>
    </xf>
    <xf numFmtId="0" fontId="11" fillId="0" borderId="23" xfId="0" applyFont="1" applyBorder="1" applyAlignment="1">
      <alignment horizontal="left" vertical="center" wrapText="1"/>
    </xf>
    <xf numFmtId="0" fontId="11" fillId="0" borderId="8" xfId="0" applyFont="1" applyBorder="1" applyAlignment="1">
      <alignment horizontal="left" vertical="center" wrapText="1"/>
    </xf>
    <xf numFmtId="167" fontId="21" fillId="0" borderId="3" xfId="1" applyNumberFormat="1" applyFont="1" applyBorder="1" applyAlignment="1">
      <alignment horizontal="center" vertical="center"/>
    </xf>
    <xf numFmtId="0" fontId="10" fillId="0" borderId="8" xfId="0" applyFont="1" applyFill="1" applyBorder="1" applyAlignment="1">
      <alignment horizontal="left" vertical="center" wrapText="1"/>
    </xf>
    <xf numFmtId="0" fontId="10" fillId="0" borderId="4" xfId="0" applyFont="1" applyFill="1" applyBorder="1" applyAlignment="1">
      <alignment horizontal="left" vertical="center" wrapText="1"/>
    </xf>
    <xf numFmtId="0" fontId="11" fillId="0" borderId="23" xfId="0" applyFont="1" applyBorder="1" applyAlignment="1">
      <alignment vertical="center" wrapText="1"/>
    </xf>
    <xf numFmtId="0" fontId="11" fillId="0" borderId="11" xfId="0" applyFont="1" applyBorder="1" applyAlignment="1">
      <alignment horizontal="left" vertical="center"/>
    </xf>
    <xf numFmtId="0" fontId="53" fillId="0" borderId="9" xfId="0" applyFont="1" applyBorder="1" applyAlignment="1">
      <alignment horizontal="left" vertical="center"/>
    </xf>
    <xf numFmtId="0" fontId="53" fillId="0" borderId="11" xfId="0" applyFont="1" applyBorder="1" applyAlignment="1">
      <alignment horizontal="left" vertical="center"/>
    </xf>
    <xf numFmtId="0" fontId="11" fillId="0" borderId="8" xfId="0" applyFont="1" applyFill="1" applyBorder="1" applyAlignment="1">
      <alignment horizontal="left" vertical="center"/>
    </xf>
    <xf numFmtId="167" fontId="0" fillId="0" borderId="0" xfId="1" applyNumberFormat="1" applyFont="1" applyFill="1" applyAlignment="1">
      <alignment vertical="center"/>
    </xf>
    <xf numFmtId="43" fontId="0" fillId="0" borderId="0" xfId="1" applyNumberFormat="1" applyFont="1" applyFill="1" applyAlignment="1">
      <alignment vertical="center"/>
    </xf>
    <xf numFmtId="0" fontId="11" fillId="0" borderId="14" xfId="0" applyFont="1" applyBorder="1" applyAlignment="1">
      <alignment horizontal="left" vertical="center" wrapText="1"/>
    </xf>
    <xf numFmtId="0" fontId="11" fillId="0" borderId="11" xfId="0" applyFont="1" applyFill="1" applyBorder="1" applyAlignment="1">
      <alignment horizontal="left" vertical="center"/>
    </xf>
    <xf numFmtId="166" fontId="3" fillId="0" borderId="3" xfId="1" applyNumberFormat="1" applyFont="1" applyFill="1" applyBorder="1" applyAlignment="1">
      <alignment vertical="center" wrapText="1"/>
    </xf>
    <xf numFmtId="0" fontId="38" fillId="0" borderId="0" xfId="0" applyFont="1" applyFill="1" applyAlignment="1">
      <alignment vertical="center" wrapText="1"/>
    </xf>
    <xf numFmtId="167" fontId="38" fillId="0" borderId="0" xfId="1" applyNumberFormat="1" applyFont="1" applyFill="1" applyAlignment="1">
      <alignment vertical="center" wrapText="1"/>
    </xf>
    <xf numFmtId="43" fontId="38" fillId="0" borderId="0" xfId="1" applyNumberFormat="1" applyFont="1" applyFill="1" applyAlignment="1">
      <alignment vertical="center" wrapText="1"/>
    </xf>
    <xf numFmtId="43" fontId="33" fillId="0" borderId="0" xfId="1" applyNumberFormat="1" applyFont="1" applyAlignment="1">
      <alignment vertical="center"/>
    </xf>
    <xf numFmtId="167" fontId="36" fillId="6" borderId="5" xfId="1" applyNumberFormat="1" applyFont="1" applyFill="1" applyBorder="1" applyAlignment="1">
      <alignment horizontal="center" vertical="center"/>
    </xf>
    <xf numFmtId="166" fontId="3" fillId="0" borderId="23" xfId="1" applyNumberFormat="1" applyFont="1" applyBorder="1" applyAlignment="1">
      <alignment horizontal="center" vertical="center"/>
    </xf>
    <xf numFmtId="166" fontId="0" fillId="0" borderId="0" xfId="1" applyNumberFormat="1" applyFont="1" applyAlignment="1">
      <alignment vertical="center"/>
    </xf>
    <xf numFmtId="0" fontId="10" fillId="2" borderId="0" xfId="0" applyFont="1" applyFill="1" applyBorder="1" applyAlignment="1">
      <alignment horizontal="left" vertical="center" wrapText="1"/>
    </xf>
    <xf numFmtId="0" fontId="10" fillId="2" borderId="9" xfId="0" applyFont="1" applyFill="1" applyBorder="1" applyAlignment="1">
      <alignment horizontal="left" vertical="center"/>
    </xf>
    <xf numFmtId="0" fontId="10" fillId="2" borderId="11" xfId="0" applyFont="1" applyFill="1" applyBorder="1" applyAlignment="1">
      <alignment horizontal="left" vertical="center"/>
    </xf>
    <xf numFmtId="166" fontId="3" fillId="0" borderId="7" xfId="1" applyNumberFormat="1" applyFont="1" applyBorder="1" applyAlignment="1">
      <alignment vertical="center"/>
    </xf>
    <xf numFmtId="166" fontId="3" fillId="0" borderId="10" xfId="1" applyNumberFormat="1" applyFont="1" applyBorder="1" applyAlignment="1">
      <alignment vertical="center"/>
    </xf>
    <xf numFmtId="167" fontId="3" fillId="0" borderId="4" xfId="1" applyNumberFormat="1" applyFont="1" applyFill="1" applyBorder="1" applyAlignment="1">
      <alignment horizontal="center" vertical="center" wrapText="1"/>
    </xf>
    <xf numFmtId="0" fontId="11" fillId="0" borderId="14" xfId="0" applyFont="1" applyBorder="1" applyAlignment="1">
      <alignment vertical="center" wrapText="1"/>
    </xf>
    <xf numFmtId="166" fontId="3" fillId="0" borderId="41" xfId="1" applyNumberFormat="1" applyFont="1" applyFill="1" applyBorder="1" applyAlignment="1"/>
    <xf numFmtId="166" fontId="3" fillId="0" borderId="34" xfId="1" applyNumberFormat="1" applyFont="1" applyFill="1" applyBorder="1" applyAlignment="1"/>
    <xf numFmtId="166" fontId="3" fillId="0" borderId="34" xfId="1" applyNumberFormat="1" applyFont="1" applyFill="1" applyBorder="1"/>
    <xf numFmtId="167" fontId="3" fillId="0" borderId="36" xfId="1" applyNumberFormat="1" applyFont="1" applyBorder="1"/>
    <xf numFmtId="43" fontId="3" fillId="0" borderId="4" xfId="1" applyNumberFormat="1" applyFont="1" applyBorder="1" applyAlignment="1">
      <alignment horizontal="center" vertical="center"/>
    </xf>
    <xf numFmtId="43" fontId="3" fillId="0" borderId="11" xfId="1" applyNumberFormat="1" applyFont="1" applyBorder="1" applyAlignment="1">
      <alignment horizontal="center" vertical="center"/>
    </xf>
    <xf numFmtId="167" fontId="2" fillId="6" borderId="5" xfId="1" applyNumberFormat="1" applyFont="1" applyFill="1" applyBorder="1" applyAlignment="1">
      <alignment horizontal="center" vertical="center"/>
    </xf>
    <xf numFmtId="0" fontId="35" fillId="5" borderId="0" xfId="0" applyFont="1" applyFill="1" applyAlignment="1">
      <alignment vertical="center"/>
    </xf>
    <xf numFmtId="166" fontId="3" fillId="0" borderId="0" xfId="1" applyNumberFormat="1" applyFont="1" applyBorder="1" applyAlignment="1">
      <alignment vertical="center"/>
    </xf>
    <xf numFmtId="167" fontId="3" fillId="0" borderId="3" xfId="1" applyNumberFormat="1" applyFont="1" applyFill="1" applyBorder="1" applyAlignment="1">
      <alignment horizontal="center" vertical="center"/>
    </xf>
    <xf numFmtId="0" fontId="10" fillId="2" borderId="9" xfId="0" applyFont="1" applyFill="1" applyBorder="1" applyAlignment="1">
      <alignment horizontal="left" vertical="center" wrapText="1"/>
    </xf>
    <xf numFmtId="166" fontId="3" fillId="0" borderId="11" xfId="1" applyNumberFormat="1" applyFont="1" applyBorder="1" applyAlignment="1">
      <alignment horizontal="center" vertical="center"/>
    </xf>
    <xf numFmtId="166" fontId="3" fillId="0" borderId="0" xfId="1" applyNumberFormat="1" applyFont="1" applyBorder="1" applyAlignment="1">
      <alignment horizontal="center" vertical="center"/>
    </xf>
    <xf numFmtId="0" fontId="11" fillId="0" borderId="0" xfId="0" applyFont="1" applyFill="1" applyBorder="1" applyAlignment="1">
      <alignment horizontal="left" vertical="center"/>
    </xf>
    <xf numFmtId="166" fontId="3" fillId="0" borderId="1" xfId="1" applyNumberFormat="1" applyFont="1" applyFill="1" applyBorder="1" applyAlignment="1">
      <alignment vertical="center"/>
    </xf>
    <xf numFmtId="0" fontId="11" fillId="0" borderId="0" xfId="0" applyFont="1" applyFill="1" applyBorder="1" applyAlignment="1">
      <alignment horizontal="left" vertical="center" wrapText="1"/>
    </xf>
    <xf numFmtId="166" fontId="3" fillId="0" borderId="0" xfId="1" applyNumberFormat="1" applyFont="1" applyFill="1" applyBorder="1" applyAlignment="1">
      <alignment horizontal="center" vertical="center"/>
    </xf>
    <xf numFmtId="0" fontId="10" fillId="0" borderId="4" xfId="0" applyFont="1" applyBorder="1" applyAlignment="1">
      <alignment horizontal="left" vertical="center" wrapText="1"/>
    </xf>
    <xf numFmtId="167" fontId="0" fillId="2" borderId="0" xfId="1" applyNumberFormat="1" applyFont="1" applyFill="1" applyAlignment="1">
      <alignment vertical="center"/>
    </xf>
    <xf numFmtId="0" fontId="11" fillId="0" borderId="7" xfId="0" applyFont="1" applyFill="1" applyBorder="1" applyAlignment="1">
      <alignment horizontal="left" vertical="center"/>
    </xf>
    <xf numFmtId="167" fontId="21" fillId="0" borderId="14" xfId="1" applyNumberFormat="1" applyFont="1" applyFill="1" applyBorder="1" applyAlignment="1">
      <alignment horizontal="center" vertical="center"/>
    </xf>
    <xf numFmtId="0" fontId="63" fillId="0" borderId="0" xfId="0" applyFont="1" applyAlignment="1">
      <alignment horizontal="left"/>
    </xf>
    <xf numFmtId="167" fontId="3" fillId="0" borderId="41" xfId="1" applyNumberFormat="1" applyFont="1" applyFill="1" applyBorder="1" applyAlignment="1">
      <alignment horizontal="center" wrapText="1"/>
    </xf>
    <xf numFmtId="0" fontId="9" fillId="0" borderId="41" xfId="0" applyFont="1" applyFill="1" applyBorder="1" applyAlignment="1">
      <alignment wrapText="1"/>
    </xf>
    <xf numFmtId="167" fontId="3" fillId="0" borderId="34" xfId="1" applyNumberFormat="1" applyFont="1" applyFill="1" applyBorder="1" applyAlignment="1">
      <alignment horizontal="center" wrapText="1"/>
    </xf>
    <xf numFmtId="0" fontId="9" fillId="2" borderId="41" xfId="0" applyFont="1" applyFill="1" applyBorder="1" applyAlignment="1">
      <alignment horizontal="center" wrapText="1"/>
    </xf>
    <xf numFmtId="0" fontId="9" fillId="0" borderId="41" xfId="0" applyFont="1" applyBorder="1" applyAlignment="1">
      <alignment horizontal="center"/>
    </xf>
    <xf numFmtId="167" fontId="3" fillId="0" borderId="34" xfId="1" applyNumberFormat="1" applyFont="1" applyFill="1" applyBorder="1" applyAlignment="1">
      <alignment horizontal="center"/>
    </xf>
    <xf numFmtId="0" fontId="9" fillId="0" borderId="33" xfId="0" applyFont="1" applyFill="1" applyBorder="1" applyAlignment="1">
      <alignment horizontal="center"/>
    </xf>
    <xf numFmtId="0" fontId="9" fillId="0" borderId="34" xfId="0" applyFont="1" applyFill="1" applyBorder="1" applyAlignment="1">
      <alignment horizontal="center"/>
    </xf>
    <xf numFmtId="0" fontId="14" fillId="0" borderId="33" xfId="0" applyFont="1" applyBorder="1" applyAlignment="1">
      <alignment horizontal="center"/>
    </xf>
    <xf numFmtId="167" fontId="3" fillId="0" borderId="41" xfId="1" applyNumberFormat="1" applyFont="1" applyFill="1" applyBorder="1" applyAlignment="1">
      <alignment horizontal="center"/>
    </xf>
    <xf numFmtId="167" fontId="3" fillId="0" borderId="33" xfId="1" applyNumberFormat="1" applyFont="1" applyFill="1" applyBorder="1" applyAlignment="1">
      <alignment horizontal="center"/>
    </xf>
    <xf numFmtId="0" fontId="9" fillId="0" borderId="36" xfId="0" applyFont="1" applyBorder="1" applyAlignment="1">
      <alignment horizontal="center"/>
    </xf>
    <xf numFmtId="0" fontId="9" fillId="0" borderId="41" xfId="0" applyFont="1" applyFill="1" applyBorder="1" applyAlignment="1">
      <alignment horizontal="center" wrapText="1"/>
    </xf>
    <xf numFmtId="166" fontId="3" fillId="0" borderId="41" xfId="1" applyNumberFormat="1" applyFont="1" applyBorder="1" applyAlignment="1">
      <alignment horizontal="center"/>
    </xf>
    <xf numFmtId="0" fontId="9" fillId="0" borderId="34" xfId="0" applyFont="1" applyFill="1" applyBorder="1" applyAlignment="1">
      <alignment horizontal="center" vertical="center" wrapText="1"/>
    </xf>
    <xf numFmtId="166" fontId="3" fillId="0" borderId="41" xfId="1" applyNumberFormat="1" applyFont="1" applyFill="1" applyBorder="1"/>
    <xf numFmtId="0" fontId="9" fillId="0" borderId="41" xfId="0" applyFont="1" applyFill="1" applyBorder="1" applyAlignment="1">
      <alignment horizontal="center"/>
    </xf>
    <xf numFmtId="0" fontId="9" fillId="0" borderId="40" xfId="0" applyFont="1" applyFill="1" applyBorder="1" applyAlignment="1">
      <alignment horizontal="center"/>
    </xf>
    <xf numFmtId="167" fontId="3" fillId="0" borderId="40" xfId="1" applyNumberFormat="1" applyFont="1" applyFill="1" applyBorder="1" applyAlignment="1">
      <alignment horizontal="center"/>
    </xf>
    <xf numFmtId="166" fontId="3" fillId="0" borderId="34" xfId="1" applyNumberFormat="1" applyFont="1" applyFill="1" applyBorder="1" applyAlignment="1">
      <alignment horizontal="center"/>
    </xf>
    <xf numFmtId="167" fontId="26" fillId="0" borderId="0" xfId="1" applyNumberFormat="1" applyFont="1" applyAlignment="1">
      <alignment horizontal="right"/>
    </xf>
    <xf numFmtId="167" fontId="9" fillId="0" borderId="41" xfId="1" applyNumberFormat="1" applyFont="1" applyFill="1" applyBorder="1" applyAlignment="1">
      <alignment wrapText="1"/>
    </xf>
    <xf numFmtId="167" fontId="3" fillId="0" borderId="34" xfId="1" applyNumberFormat="1" applyFont="1" applyFill="1" applyBorder="1" applyAlignment="1"/>
    <xf numFmtId="167" fontId="3" fillId="0" borderId="41" xfId="1" applyNumberFormat="1" applyFont="1" applyBorder="1" applyAlignment="1"/>
    <xf numFmtId="167" fontId="3" fillId="0" borderId="34" xfId="1" applyNumberFormat="1" applyFont="1" applyBorder="1" applyAlignment="1"/>
    <xf numFmtId="167" fontId="3" fillId="0" borderId="41" xfId="1" applyNumberFormat="1" applyFont="1" applyBorder="1"/>
    <xf numFmtId="167" fontId="3" fillId="0" borderId="33" xfId="1" applyNumberFormat="1" applyFont="1" applyBorder="1"/>
    <xf numFmtId="167" fontId="3" fillId="0" borderId="34" xfId="1" applyNumberFormat="1" applyFont="1" applyFill="1" applyBorder="1"/>
    <xf numFmtId="167" fontId="3" fillId="0" borderId="41" xfId="1" applyNumberFormat="1" applyFont="1" applyFill="1" applyBorder="1" applyAlignment="1"/>
    <xf numFmtId="167" fontId="22" fillId="0" borderId="13" xfId="1" applyNumberFormat="1" applyFont="1" applyFill="1" applyBorder="1" applyAlignment="1"/>
    <xf numFmtId="167" fontId="3" fillId="0" borderId="33" xfId="1" applyNumberFormat="1" applyFont="1" applyBorder="1" applyAlignment="1"/>
    <xf numFmtId="167" fontId="3" fillId="0" borderId="36" xfId="1" applyNumberFormat="1" applyFont="1" applyBorder="1" applyAlignment="1"/>
    <xf numFmtId="0" fontId="3" fillId="0" borderId="41" xfId="0" applyFont="1" applyBorder="1" applyAlignment="1">
      <alignment vertical="distributed"/>
    </xf>
    <xf numFmtId="167" fontId="71" fillId="2" borderId="1" xfId="1" applyNumberFormat="1" applyFont="1" applyFill="1" applyBorder="1" applyAlignment="1">
      <alignment horizontal="center"/>
    </xf>
    <xf numFmtId="167" fontId="71" fillId="0" borderId="1" xfId="1" applyNumberFormat="1" applyFont="1" applyBorder="1" applyAlignment="1">
      <alignment horizontal="center"/>
    </xf>
    <xf numFmtId="0" fontId="3" fillId="0" borderId="41" xfId="0" applyFont="1" applyBorder="1"/>
    <xf numFmtId="0" fontId="3" fillId="0" borderId="41" xfId="0" applyFont="1" applyBorder="1" applyAlignment="1">
      <alignment horizontal="center"/>
    </xf>
    <xf numFmtId="0" fontId="3" fillId="0" borderId="34" xfId="0" applyFont="1" applyBorder="1"/>
    <xf numFmtId="0" fontId="3" fillId="0" borderId="34" xfId="0" applyFont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77" fillId="2" borderId="1" xfId="0" applyFont="1" applyFill="1" applyBorder="1" applyAlignment="1">
      <alignment horizontal="center"/>
    </xf>
    <xf numFmtId="167" fontId="78" fillId="0" borderId="1" xfId="1" applyNumberFormat="1" applyFont="1" applyBorder="1" applyAlignment="1">
      <alignment horizontal="center"/>
    </xf>
    <xf numFmtId="0" fontId="3" fillId="0" borderId="41" xfId="0" applyFont="1" applyBorder="1" applyAlignment="1">
      <alignment horizontal="left" vertical="distributed"/>
    </xf>
    <xf numFmtId="0" fontId="3" fillId="0" borderId="34" xfId="0" quotePrefix="1" applyFont="1" applyBorder="1" applyAlignment="1">
      <alignment horizontal="left"/>
    </xf>
    <xf numFmtId="0" fontId="3" fillId="0" borderId="13" xfId="0" quotePrefix="1" applyFont="1" applyBorder="1" applyAlignment="1">
      <alignment horizontal="left"/>
    </xf>
    <xf numFmtId="0" fontId="13" fillId="0" borderId="13" xfId="0" applyFont="1" applyBorder="1" applyAlignment="1">
      <alignment horizontal="left"/>
    </xf>
    <xf numFmtId="0" fontId="3" fillId="0" borderId="41" xfId="0" applyFont="1" applyBorder="1" applyAlignment="1">
      <alignment horizontal="left"/>
    </xf>
    <xf numFmtId="0" fontId="3" fillId="0" borderId="34" xfId="0" applyFont="1" applyBorder="1" applyAlignment="1">
      <alignment horizontal="left"/>
    </xf>
    <xf numFmtId="0" fontId="13" fillId="0" borderId="13" xfId="0" applyFont="1" applyFill="1" applyBorder="1" applyAlignment="1">
      <alignment horizontal="left"/>
    </xf>
    <xf numFmtId="0" fontId="13" fillId="0" borderId="13" xfId="0" applyFont="1" applyFill="1" applyBorder="1"/>
    <xf numFmtId="0" fontId="13" fillId="0" borderId="13" xfId="0" applyFont="1" applyFill="1" applyBorder="1" applyAlignment="1">
      <alignment horizontal="center"/>
    </xf>
    <xf numFmtId="0" fontId="3" fillId="0" borderId="34" xfId="0" applyFont="1" applyBorder="1" applyAlignment="1">
      <alignment vertical="distributed"/>
    </xf>
    <xf numFmtId="0" fontId="3" fillId="0" borderId="34" xfId="0" applyFont="1" applyFill="1" applyBorder="1" applyAlignment="1">
      <alignment horizontal="left"/>
    </xf>
    <xf numFmtId="0" fontId="3" fillId="0" borderId="34" xfId="0" applyFont="1" applyFill="1" applyBorder="1"/>
    <xf numFmtId="0" fontId="14" fillId="0" borderId="41" xfId="0" applyFont="1" applyBorder="1" applyAlignment="1">
      <alignment horizontal="center"/>
    </xf>
    <xf numFmtId="0" fontId="3" fillId="0" borderId="33" xfId="0" applyFont="1" applyBorder="1" applyAlignment="1">
      <alignment horizontal="left" vertical="distributed"/>
    </xf>
    <xf numFmtId="0" fontId="3" fillId="0" borderId="33" xfId="0" applyFont="1" applyBorder="1" applyAlignment="1">
      <alignment vertical="distributed"/>
    </xf>
    <xf numFmtId="0" fontId="3" fillId="0" borderId="34" xfId="0" applyFont="1" applyBorder="1" applyAlignment="1">
      <alignment horizontal="left" vertical="distributed"/>
    </xf>
    <xf numFmtId="0" fontId="3" fillId="0" borderId="34" xfId="0" applyFont="1" applyBorder="1" applyAlignment="1">
      <alignment horizontal="justify"/>
    </xf>
    <xf numFmtId="0" fontId="3" fillId="0" borderId="33" xfId="0" applyFont="1" applyBorder="1" applyAlignment="1">
      <alignment horizontal="left"/>
    </xf>
    <xf numFmtId="0" fontId="3" fillId="0" borderId="33" xfId="0" applyFont="1" applyBorder="1"/>
    <xf numFmtId="0" fontId="3" fillId="0" borderId="13" xfId="0" applyFont="1" applyBorder="1" applyAlignment="1">
      <alignment horizontal="left"/>
    </xf>
    <xf numFmtId="0" fontId="3" fillId="0" borderId="36" xfId="0" applyFont="1" applyBorder="1" applyAlignment="1">
      <alignment horizontal="left" vertical="distributed"/>
    </xf>
    <xf numFmtId="0" fontId="3" fillId="0" borderId="41" xfId="0" applyFont="1" applyFill="1" applyBorder="1" applyAlignment="1">
      <alignment horizontal="left" vertical="distributed"/>
    </xf>
    <xf numFmtId="0" fontId="3" fillId="0" borderId="34" xfId="0" applyFont="1" applyFill="1" applyBorder="1" applyAlignment="1">
      <alignment horizontal="justify" vertical="distributed"/>
    </xf>
    <xf numFmtId="0" fontId="3" fillId="0" borderId="36" xfId="0" applyFont="1" applyBorder="1" applyAlignment="1">
      <alignment horizontal="left"/>
    </xf>
    <xf numFmtId="0" fontId="3" fillId="0" borderId="34" xfId="0" quotePrefix="1" applyFont="1" applyFill="1" applyBorder="1" applyAlignment="1">
      <alignment horizontal="left"/>
    </xf>
    <xf numFmtId="0" fontId="3" fillId="0" borderId="33" xfId="0" applyFont="1" applyFill="1" applyBorder="1" applyAlignment="1">
      <alignment horizontal="left" wrapText="1"/>
    </xf>
    <xf numFmtId="0" fontId="3" fillId="0" borderId="33" xfId="0" applyFont="1" applyFill="1" applyBorder="1" applyAlignment="1">
      <alignment wrapText="1"/>
    </xf>
    <xf numFmtId="0" fontId="3" fillId="0" borderId="34" xfId="0" applyFont="1" applyFill="1" applyBorder="1" applyAlignment="1">
      <alignment horizontal="left" wrapText="1"/>
    </xf>
    <xf numFmtId="0" fontId="3" fillId="0" borderId="34" xfId="0" applyFont="1" applyFill="1" applyBorder="1" applyAlignment="1">
      <alignment wrapText="1"/>
    </xf>
    <xf numFmtId="0" fontId="3" fillId="0" borderId="13" xfId="0" quotePrefix="1" applyFont="1" applyFill="1" applyBorder="1" applyAlignment="1">
      <alignment horizontal="left"/>
    </xf>
    <xf numFmtId="0" fontId="3" fillId="0" borderId="13" xfId="0" applyFont="1" applyFill="1" applyBorder="1" applyAlignment="1">
      <alignment vertical="center"/>
    </xf>
    <xf numFmtId="0" fontId="3" fillId="0" borderId="34" xfId="0" applyFont="1" applyBorder="1" applyAlignment="1">
      <alignment horizontal="left" vertical="top"/>
    </xf>
    <xf numFmtId="0" fontId="13" fillId="0" borderId="5" xfId="0" applyFont="1" applyBorder="1" applyAlignment="1">
      <alignment horizontal="left"/>
    </xf>
    <xf numFmtId="0" fontId="13" fillId="0" borderId="0" xfId="0" applyFont="1" applyFill="1" applyAlignment="1"/>
    <xf numFmtId="166" fontId="2" fillId="0" borderId="41" xfId="1" applyNumberFormat="1" applyFont="1" applyFill="1" applyBorder="1" applyAlignment="1"/>
    <xf numFmtId="0" fontId="3" fillId="0" borderId="41" xfId="0" applyFont="1" applyFill="1" applyBorder="1" applyAlignment="1">
      <alignment horizontal="left"/>
    </xf>
    <xf numFmtId="0" fontId="3" fillId="0" borderId="1" xfId="0" quotePrefix="1" applyFont="1" applyFill="1" applyBorder="1" applyAlignment="1">
      <alignment horizontal="left"/>
    </xf>
    <xf numFmtId="0" fontId="3" fillId="0" borderId="1" xfId="0" applyFont="1" applyFill="1" applyBorder="1" applyAlignment="1">
      <alignment vertical="center"/>
    </xf>
    <xf numFmtId="0" fontId="72" fillId="0" borderId="1" xfId="0" applyFont="1" applyBorder="1" applyAlignment="1">
      <alignment horizontal="left"/>
    </xf>
    <xf numFmtId="0" fontId="3" fillId="0" borderId="41" xfId="0" applyFont="1" applyFill="1" applyBorder="1" applyAlignment="1">
      <alignment vertical="distributed"/>
    </xf>
    <xf numFmtId="0" fontId="3" fillId="0" borderId="41" xfId="0" applyFont="1" applyBorder="1" applyAlignment="1">
      <alignment wrapText="1"/>
    </xf>
    <xf numFmtId="0" fontId="3" fillId="0" borderId="41" xfId="0" applyFont="1" applyFill="1" applyBorder="1"/>
    <xf numFmtId="0" fontId="80" fillId="0" borderId="41" xfId="0" applyFont="1" applyBorder="1" applyAlignment="1">
      <alignment vertical="distributed"/>
    </xf>
    <xf numFmtId="0" fontId="80" fillId="0" borderId="34" xfId="0" applyFont="1" applyBorder="1" applyAlignment="1">
      <alignment vertical="distributed"/>
    </xf>
    <xf numFmtId="0" fontId="74" fillId="0" borderId="1" xfId="0" applyFont="1" applyBorder="1"/>
    <xf numFmtId="0" fontId="3" fillId="0" borderId="36" xfId="0" applyFont="1" applyBorder="1" applyAlignment="1">
      <alignment vertical="distributed"/>
    </xf>
    <xf numFmtId="0" fontId="3" fillId="0" borderId="36" xfId="0" applyFont="1" applyBorder="1"/>
    <xf numFmtId="43" fontId="0" fillId="0" borderId="0" xfId="1" applyFont="1" applyFill="1"/>
    <xf numFmtId="0" fontId="66" fillId="0" borderId="0" xfId="0" applyFont="1" applyFill="1" applyBorder="1"/>
    <xf numFmtId="0" fontId="3" fillId="0" borderId="34" xfId="0" applyFont="1" applyFill="1" applyBorder="1" applyAlignment="1">
      <alignment vertical="distributed"/>
    </xf>
    <xf numFmtId="0" fontId="53" fillId="0" borderId="8" xfId="0" applyFont="1" applyFill="1" applyBorder="1" applyAlignment="1">
      <alignment horizontal="left"/>
    </xf>
    <xf numFmtId="0" fontId="13" fillId="0" borderId="0" xfId="0" applyFont="1" applyFill="1" applyBorder="1"/>
    <xf numFmtId="166" fontId="3" fillId="0" borderId="11" xfId="1" applyNumberFormat="1" applyFont="1" applyFill="1" applyBorder="1" applyAlignment="1"/>
    <xf numFmtId="166" fontId="3" fillId="0" borderId="41" xfId="1" applyNumberFormat="1" applyFont="1" applyFill="1" applyBorder="1" applyAlignment="1">
      <alignment horizontal="center"/>
    </xf>
    <xf numFmtId="0" fontId="3" fillId="0" borderId="33" xfId="0" applyFont="1" applyFill="1" applyBorder="1"/>
    <xf numFmtId="166" fontId="3" fillId="0" borderId="33" xfId="1" applyNumberFormat="1" applyFont="1" applyFill="1" applyBorder="1" applyAlignment="1"/>
    <xf numFmtId="0" fontId="3" fillId="0" borderId="33" xfId="0" applyFont="1" applyFill="1" applyBorder="1" applyAlignment="1">
      <alignment vertical="distributed"/>
    </xf>
    <xf numFmtId="0" fontId="3" fillId="0" borderId="34" xfId="0" applyFont="1" applyFill="1" applyBorder="1" applyAlignment="1">
      <alignment horizontal="justify"/>
    </xf>
    <xf numFmtId="167" fontId="0" fillId="0" borderId="0" xfId="0" applyNumberFormat="1" applyFill="1"/>
    <xf numFmtId="0" fontId="3" fillId="0" borderId="41" xfId="0" applyFont="1" applyFill="1" applyBorder="1" applyAlignment="1">
      <alignment wrapText="1"/>
    </xf>
    <xf numFmtId="166" fontId="38" fillId="0" borderId="0" xfId="0" applyNumberFormat="1" applyFont="1" applyFill="1"/>
    <xf numFmtId="167" fontId="21" fillId="0" borderId="41" xfId="1" applyNumberFormat="1" applyFont="1" applyFill="1" applyBorder="1" applyAlignment="1">
      <alignment horizontal="center"/>
    </xf>
    <xf numFmtId="0" fontId="3" fillId="0" borderId="8" xfId="0" applyFont="1" applyFill="1" applyBorder="1"/>
    <xf numFmtId="0" fontId="2" fillId="0" borderId="1" xfId="0" applyFont="1" applyFill="1" applyBorder="1" applyAlignment="1">
      <alignment vertical="center"/>
    </xf>
    <xf numFmtId="0" fontId="13" fillId="0" borderId="10" xfId="0" applyFont="1" applyFill="1" applyBorder="1"/>
    <xf numFmtId="0" fontId="0" fillId="0" borderId="0" xfId="0" applyFill="1" applyAlignment="1">
      <alignment horizontal="center"/>
    </xf>
    <xf numFmtId="0" fontId="26" fillId="0" borderId="0" xfId="0" applyFont="1" applyFill="1" applyAlignment="1">
      <alignment horizontal="right"/>
    </xf>
    <xf numFmtId="0" fontId="3" fillId="0" borderId="3" xfId="0" applyFont="1" applyFill="1" applyBorder="1" applyAlignment="1">
      <alignment wrapText="1"/>
    </xf>
    <xf numFmtId="0" fontId="3" fillId="0" borderId="3" xfId="0" applyFont="1" applyFill="1" applyBorder="1"/>
    <xf numFmtId="0" fontId="38" fillId="0" borderId="0" xfId="0" applyFont="1" applyFill="1" applyBorder="1" applyAlignment="1">
      <alignment vertical="center"/>
    </xf>
    <xf numFmtId="167" fontId="3" fillId="0" borderId="41" xfId="1" applyNumberFormat="1" applyFont="1" applyFill="1" applyBorder="1"/>
    <xf numFmtId="167" fontId="3" fillId="0" borderId="33" xfId="1" applyNumberFormat="1" applyFont="1" applyFill="1" applyBorder="1"/>
    <xf numFmtId="167" fontId="0" fillId="0" borderId="0" xfId="1" applyNumberFormat="1" applyFont="1" applyFill="1" applyAlignment="1"/>
    <xf numFmtId="167" fontId="0" fillId="0" borderId="0" xfId="1" applyNumberFormat="1" applyFont="1" applyFill="1" applyBorder="1"/>
    <xf numFmtId="167" fontId="3" fillId="0" borderId="0" xfId="1" applyNumberFormat="1" applyFont="1" applyFill="1" applyBorder="1" applyAlignment="1"/>
    <xf numFmtId="0" fontId="0" fillId="0" borderId="0" xfId="0" applyFill="1" applyBorder="1" applyAlignment="1">
      <alignment vertical="center"/>
    </xf>
    <xf numFmtId="167" fontId="3" fillId="0" borderId="5" xfId="1" applyNumberFormat="1" applyFont="1" applyFill="1" applyBorder="1" applyAlignment="1"/>
    <xf numFmtId="167" fontId="20" fillId="0" borderId="12" xfId="1" applyNumberFormat="1" applyFont="1" applyFill="1" applyBorder="1" applyAlignment="1">
      <alignment horizontal="center" vertical="center"/>
    </xf>
    <xf numFmtId="167" fontId="20" fillId="0" borderId="0" xfId="1" applyNumberFormat="1" applyFont="1" applyFill="1" applyBorder="1" applyAlignment="1">
      <alignment horizontal="center" vertical="center"/>
    </xf>
    <xf numFmtId="167" fontId="21" fillId="0" borderId="3" xfId="1" applyNumberFormat="1" applyFont="1" applyFill="1" applyBorder="1" applyAlignment="1">
      <alignment horizontal="center" vertical="center"/>
    </xf>
    <xf numFmtId="167" fontId="21" fillId="0" borderId="13" xfId="1" applyNumberFormat="1" applyFont="1" applyFill="1" applyBorder="1" applyAlignment="1">
      <alignment horizontal="center" vertical="center"/>
    </xf>
    <xf numFmtId="0" fontId="10" fillId="0" borderId="8" xfId="0" applyFont="1" applyFill="1" applyBorder="1"/>
    <xf numFmtId="166" fontId="3" fillId="0" borderId="41" xfId="1" applyNumberFormat="1" applyFont="1" applyFill="1" applyBorder="1" applyAlignment="1">
      <alignment vertical="center"/>
    </xf>
    <xf numFmtId="0" fontId="12" fillId="0" borderId="12" xfId="0" applyFont="1" applyFill="1" applyBorder="1" applyAlignment="1">
      <alignment horizontal="right" vertical="center"/>
    </xf>
    <xf numFmtId="166" fontId="22" fillId="0" borderId="6" xfId="0" applyNumberFormat="1" applyFont="1" applyFill="1" applyBorder="1" applyAlignment="1">
      <alignment vertical="center"/>
    </xf>
    <xf numFmtId="166" fontId="3" fillId="0" borderId="34" xfId="1" applyNumberFormat="1" applyFont="1" applyFill="1" applyBorder="1" applyAlignment="1">
      <alignment vertical="center"/>
    </xf>
    <xf numFmtId="0" fontId="21" fillId="0" borderId="0" xfId="0" applyFont="1" applyFill="1"/>
    <xf numFmtId="166" fontId="3" fillId="0" borderId="4" xfId="1" applyNumberFormat="1" applyFont="1" applyFill="1" applyBorder="1" applyAlignment="1">
      <alignment vertical="center"/>
    </xf>
    <xf numFmtId="166" fontId="3" fillId="0" borderId="11" xfId="1" applyNumberFormat="1" applyFont="1" applyFill="1" applyBorder="1" applyAlignment="1">
      <alignment vertical="center"/>
    </xf>
    <xf numFmtId="0" fontId="75" fillId="0" borderId="1" xfId="0" applyFont="1" applyBorder="1" applyAlignment="1">
      <alignment horizontal="left"/>
    </xf>
    <xf numFmtId="0" fontId="14" fillId="0" borderId="41" xfId="0" applyFont="1" applyFill="1" applyBorder="1"/>
    <xf numFmtId="0" fontId="13" fillId="0" borderId="4" xfId="0" applyFont="1" applyFill="1" applyBorder="1" applyAlignment="1"/>
    <xf numFmtId="0" fontId="3" fillId="0" borderId="34" xfId="1" applyNumberFormat="1" applyFont="1" applyFill="1" applyBorder="1" applyAlignment="1">
      <alignment horizontal="center" vertical="center" wrapText="1"/>
    </xf>
    <xf numFmtId="0" fontId="3" fillId="0" borderId="41" xfId="1" applyNumberFormat="1" applyFont="1" applyFill="1" applyBorder="1" applyAlignment="1">
      <alignment horizontal="center" vertical="center" wrapText="1"/>
    </xf>
    <xf numFmtId="0" fontId="66" fillId="0" borderId="5" xfId="0" applyFont="1" applyFill="1" applyBorder="1" applyAlignment="1">
      <alignment horizontal="left"/>
    </xf>
    <xf numFmtId="0" fontId="66" fillId="0" borderId="5" xfId="0" applyFont="1" applyFill="1" applyBorder="1"/>
    <xf numFmtId="167" fontId="3" fillId="0" borderId="5" xfId="1" applyNumberFormat="1" applyFont="1" applyBorder="1"/>
    <xf numFmtId="167" fontId="3" fillId="0" borderId="5" xfId="1" applyNumberFormat="1" applyFont="1" applyBorder="1" applyAlignment="1"/>
    <xf numFmtId="0" fontId="76" fillId="0" borderId="42" xfId="0" applyFont="1" applyBorder="1" applyAlignment="1">
      <alignment horizontal="left"/>
    </xf>
    <xf numFmtId="0" fontId="13" fillId="0" borderId="49" xfId="0" applyFont="1" applyBorder="1"/>
    <xf numFmtId="0" fontId="13" fillId="0" borderId="49" xfId="0" applyFont="1" applyBorder="1" applyAlignment="1">
      <alignment horizontal="center"/>
    </xf>
    <xf numFmtId="167" fontId="13" fillId="0" borderId="49" xfId="1" applyNumberFormat="1" applyFont="1" applyBorder="1" applyAlignment="1">
      <alignment horizontal="right"/>
    </xf>
    <xf numFmtId="167" fontId="13" fillId="0" borderId="50" xfId="1" applyNumberFormat="1" applyFont="1" applyBorder="1" applyAlignment="1"/>
    <xf numFmtId="0" fontId="76" fillId="0" borderId="51" xfId="0" applyFont="1" applyBorder="1" applyAlignment="1">
      <alignment horizontal="left"/>
    </xf>
    <xf numFmtId="0" fontId="13" fillId="0" borderId="52" xfId="0" applyFont="1" applyBorder="1"/>
    <xf numFmtId="0" fontId="13" fillId="0" borderId="52" xfId="0" applyFont="1" applyBorder="1" applyAlignment="1">
      <alignment horizontal="center"/>
    </xf>
    <xf numFmtId="167" fontId="13" fillId="0" borderId="52" xfId="1" applyNumberFormat="1" applyFont="1" applyBorder="1" applyAlignment="1">
      <alignment horizontal="right"/>
    </xf>
    <xf numFmtId="167" fontId="13" fillId="0" borderId="53" xfId="1" applyNumberFormat="1" applyFont="1" applyBorder="1" applyAlignment="1"/>
    <xf numFmtId="0" fontId="76" fillId="0" borderId="43" xfId="0" applyFont="1" applyBorder="1" applyAlignment="1">
      <alignment horizontal="left"/>
    </xf>
    <xf numFmtId="0" fontId="13" fillId="0" borderId="54" xfId="0" applyFont="1" applyBorder="1"/>
    <xf numFmtId="0" fontId="13" fillId="0" borderId="54" xfId="0" applyFont="1" applyBorder="1" applyAlignment="1">
      <alignment horizontal="center"/>
    </xf>
    <xf numFmtId="167" fontId="13" fillId="0" borderId="54" xfId="1" applyNumberFormat="1" applyFont="1" applyBorder="1" applyAlignment="1">
      <alignment horizontal="right"/>
    </xf>
    <xf numFmtId="167" fontId="13" fillId="0" borderId="55" xfId="1" applyNumberFormat="1" applyFont="1" applyBorder="1" applyAlignment="1"/>
    <xf numFmtId="171" fontId="3" fillId="0" borderId="34" xfId="1" applyNumberFormat="1" applyFont="1" applyFill="1" applyBorder="1" applyAlignment="1">
      <alignment vertical="center"/>
    </xf>
    <xf numFmtId="0" fontId="3" fillId="0" borderId="41" xfId="0" applyFont="1" applyFill="1" applyBorder="1" applyAlignment="1">
      <alignment horizontal="left" vertical="center"/>
    </xf>
    <xf numFmtId="0" fontId="3" fillId="0" borderId="34" xfId="0" applyFont="1" applyFill="1" applyBorder="1" applyAlignment="1">
      <alignment horizontal="left" vertical="center"/>
    </xf>
    <xf numFmtId="0" fontId="3" fillId="0" borderId="33" xfId="0" applyFont="1" applyFill="1" applyBorder="1" applyAlignment="1">
      <alignment horizontal="left"/>
    </xf>
    <xf numFmtId="0" fontId="3" fillId="8" borderId="34" xfId="0" applyFont="1" applyFill="1" applyBorder="1" applyAlignment="1">
      <alignment horizontal="center"/>
    </xf>
    <xf numFmtId="0" fontId="3" fillId="8" borderId="41" xfId="0" applyFont="1" applyFill="1" applyBorder="1" applyAlignment="1">
      <alignment horizontal="center"/>
    </xf>
    <xf numFmtId="0" fontId="3" fillId="0" borderId="41" xfId="1" applyNumberFormat="1" applyFont="1" applyFill="1" applyBorder="1" applyAlignment="1">
      <alignment horizontal="center" wrapText="1"/>
    </xf>
    <xf numFmtId="0" fontId="3" fillId="0" borderId="34" xfId="1" applyNumberFormat="1" applyFont="1" applyFill="1" applyBorder="1" applyAlignment="1">
      <alignment horizontal="center"/>
    </xf>
    <xf numFmtId="0" fontId="3" fillId="0" borderId="41" xfId="1" applyNumberFormat="1" applyFont="1" applyFill="1" applyBorder="1" applyAlignment="1">
      <alignment horizontal="center"/>
    </xf>
    <xf numFmtId="0" fontId="3" fillId="0" borderId="33" xfId="1" applyNumberFormat="1" applyFont="1" applyFill="1" applyBorder="1" applyAlignment="1">
      <alignment horizontal="center"/>
    </xf>
    <xf numFmtId="0" fontId="3" fillId="0" borderId="36" xfId="1" applyNumberFormat="1" applyFont="1" applyFill="1" applyBorder="1" applyAlignment="1">
      <alignment horizontal="center"/>
    </xf>
    <xf numFmtId="0" fontId="13" fillId="0" borderId="49" xfId="0" applyFont="1" applyFill="1" applyBorder="1"/>
    <xf numFmtId="0" fontId="13" fillId="0" borderId="49" xfId="0" applyFont="1" applyFill="1" applyBorder="1" applyAlignment="1">
      <alignment horizontal="center"/>
    </xf>
    <xf numFmtId="0" fontId="13" fillId="0" borderId="49" xfId="0" applyNumberFormat="1" applyFont="1" applyFill="1" applyBorder="1" applyAlignment="1">
      <alignment horizontal="center"/>
    </xf>
    <xf numFmtId="167" fontId="13" fillId="0" borderId="49" xfId="1" applyNumberFormat="1" applyFont="1" applyFill="1" applyBorder="1" applyAlignment="1">
      <alignment horizontal="right"/>
    </xf>
    <xf numFmtId="167" fontId="13" fillId="0" borderId="50" xfId="1" applyNumberFormat="1" applyFont="1" applyFill="1" applyBorder="1" applyAlignment="1"/>
    <xf numFmtId="0" fontId="13" fillId="0" borderId="52" xfId="0" applyFont="1" applyFill="1" applyBorder="1"/>
    <xf numFmtId="0" fontId="13" fillId="0" borderId="52" xfId="0" applyFont="1" applyFill="1" applyBorder="1" applyAlignment="1">
      <alignment horizontal="center"/>
    </xf>
    <xf numFmtId="0" fontId="13" fillId="0" borderId="52" xfId="0" applyNumberFormat="1" applyFont="1" applyFill="1" applyBorder="1" applyAlignment="1">
      <alignment horizontal="center"/>
    </xf>
    <xf numFmtId="167" fontId="13" fillId="0" borderId="52" xfId="1" applyNumberFormat="1" applyFont="1" applyFill="1" applyBorder="1" applyAlignment="1">
      <alignment horizontal="right"/>
    </xf>
    <xf numFmtId="167" fontId="13" fillId="0" borderId="53" xfId="1" applyNumberFormat="1" applyFont="1" applyFill="1" applyBorder="1" applyAlignment="1"/>
    <xf numFmtId="0" fontId="13" fillId="0" borderId="54" xfId="0" applyFont="1" applyFill="1" applyBorder="1"/>
    <xf numFmtId="0" fontId="13" fillId="0" borderId="54" xfId="0" applyFont="1" applyFill="1" applyBorder="1" applyAlignment="1">
      <alignment horizontal="center"/>
    </xf>
    <xf numFmtId="0" fontId="13" fillId="0" borderId="54" xfId="1" applyNumberFormat="1" applyFont="1" applyFill="1" applyBorder="1" applyAlignment="1">
      <alignment horizontal="center"/>
    </xf>
    <xf numFmtId="167" fontId="13" fillId="0" borderId="54" xfId="1" applyNumberFormat="1" applyFont="1" applyFill="1" applyBorder="1" applyAlignment="1">
      <alignment horizontal="right"/>
    </xf>
    <xf numFmtId="167" fontId="13" fillId="0" borderId="55" xfId="1" applyNumberFormat="1" applyFont="1" applyFill="1" applyBorder="1" applyAlignment="1"/>
    <xf numFmtId="0" fontId="2" fillId="0" borderId="1" xfId="0" applyFont="1" applyFill="1" applyBorder="1" applyAlignment="1">
      <alignment horizontal="center"/>
    </xf>
    <xf numFmtId="0" fontId="77" fillId="0" borderId="1" xfId="0" applyFont="1" applyFill="1" applyBorder="1" applyAlignment="1">
      <alignment horizontal="center"/>
    </xf>
    <xf numFmtId="0" fontId="78" fillId="0" borderId="1" xfId="0" applyNumberFormat="1" applyFont="1" applyFill="1" applyBorder="1" applyAlignment="1">
      <alignment horizontal="center"/>
    </xf>
    <xf numFmtId="167" fontId="78" fillId="0" borderId="1" xfId="1" applyNumberFormat="1" applyFont="1" applyFill="1" applyBorder="1" applyAlignment="1">
      <alignment horizontal="center"/>
    </xf>
    <xf numFmtId="0" fontId="80" fillId="0" borderId="34" xfId="0" applyFont="1" applyFill="1" applyBorder="1" applyAlignment="1">
      <alignment vertical="distributed"/>
    </xf>
    <xf numFmtId="0" fontId="80" fillId="0" borderId="41" xfId="0" applyFont="1" applyFill="1" applyBorder="1" applyAlignment="1">
      <alignment vertical="distributed"/>
    </xf>
    <xf numFmtId="0" fontId="73" fillId="0" borderId="13" xfId="0" applyFont="1" applyFill="1" applyBorder="1" applyAlignment="1">
      <alignment vertical="distributed"/>
    </xf>
    <xf numFmtId="167" fontId="21" fillId="0" borderId="1" xfId="1" applyNumberFormat="1" applyFont="1" applyFill="1" applyBorder="1" applyAlignment="1">
      <alignment horizontal="center"/>
    </xf>
    <xf numFmtId="0" fontId="21" fillId="0" borderId="1" xfId="1" applyNumberFormat="1" applyFont="1" applyFill="1" applyBorder="1" applyAlignment="1">
      <alignment horizontal="center"/>
    </xf>
    <xf numFmtId="167" fontId="22" fillId="0" borderId="1" xfId="1" applyNumberFormat="1" applyFont="1" applyFill="1" applyBorder="1" applyAlignment="1">
      <alignment horizontal="right"/>
    </xf>
    <xf numFmtId="167" fontId="22" fillId="0" borderId="1" xfId="1" applyNumberFormat="1" applyFont="1" applyFill="1" applyBorder="1" applyAlignment="1"/>
    <xf numFmtId="0" fontId="74" fillId="0" borderId="1" xfId="0" applyFont="1" applyFill="1" applyBorder="1"/>
    <xf numFmtId="167" fontId="71" fillId="0" borderId="1" xfId="1" applyNumberFormat="1" applyFont="1" applyFill="1" applyBorder="1" applyAlignment="1">
      <alignment horizontal="center"/>
    </xf>
    <xf numFmtId="0" fontId="71" fillId="0" borderId="1" xfId="1" applyNumberFormat="1" applyFont="1" applyFill="1" applyBorder="1" applyAlignment="1">
      <alignment horizontal="center"/>
    </xf>
    <xf numFmtId="0" fontId="3" fillId="0" borderId="41" xfId="0" applyFont="1" applyFill="1" applyBorder="1" applyAlignment="1">
      <alignment horizontal="center"/>
    </xf>
    <xf numFmtId="0" fontId="3" fillId="0" borderId="41" xfId="0" applyNumberFormat="1" applyFont="1" applyFill="1" applyBorder="1" applyAlignment="1">
      <alignment horizontal="center"/>
    </xf>
    <xf numFmtId="0" fontId="3" fillId="0" borderId="34" xfId="0" applyFont="1" applyFill="1" applyBorder="1" applyAlignment="1">
      <alignment horizontal="center"/>
    </xf>
    <xf numFmtId="0" fontId="3" fillId="0" borderId="34" xfId="0" applyNumberFormat="1" applyFont="1" applyFill="1" applyBorder="1" applyAlignment="1">
      <alignment horizontal="center"/>
    </xf>
    <xf numFmtId="0" fontId="13" fillId="0" borderId="1" xfId="0" applyFont="1" applyFill="1" applyBorder="1" applyAlignment="1">
      <alignment horizontal="center"/>
    </xf>
    <xf numFmtId="0" fontId="72" fillId="0" borderId="1" xfId="1" applyNumberFormat="1" applyFont="1" applyFill="1" applyBorder="1" applyAlignment="1">
      <alignment horizontal="center"/>
    </xf>
    <xf numFmtId="0" fontId="14" fillId="0" borderId="41" xfId="0" applyFont="1" applyFill="1" applyBorder="1" applyAlignment="1">
      <alignment horizontal="center"/>
    </xf>
    <xf numFmtId="0" fontId="21" fillId="0" borderId="41" xfId="1" applyNumberFormat="1" applyFont="1" applyFill="1" applyBorder="1" applyAlignment="1">
      <alignment horizontal="center"/>
    </xf>
    <xf numFmtId="167" fontId="3" fillId="0" borderId="33" xfId="1" applyNumberFormat="1" applyFont="1" applyFill="1" applyBorder="1" applyAlignment="1"/>
    <xf numFmtId="0" fontId="14" fillId="0" borderId="33" xfId="0" applyFont="1" applyFill="1" applyBorder="1" applyAlignment="1">
      <alignment horizontal="center"/>
    </xf>
    <xf numFmtId="0" fontId="21" fillId="0" borderId="33" xfId="1" applyNumberFormat="1" applyFont="1" applyFill="1" applyBorder="1" applyAlignment="1">
      <alignment horizontal="center"/>
    </xf>
    <xf numFmtId="0" fontId="3" fillId="0" borderId="13" xfId="0" applyFont="1" applyFill="1" applyBorder="1" applyAlignment="1">
      <alignment horizontal="justify"/>
    </xf>
    <xf numFmtId="0" fontId="13" fillId="0" borderId="13" xfId="0" applyFont="1" applyFill="1" applyBorder="1" applyAlignment="1">
      <alignment vertical="distributed"/>
    </xf>
    <xf numFmtId="0" fontId="21" fillId="0" borderId="13" xfId="1" applyNumberFormat="1" applyFont="1" applyFill="1" applyBorder="1" applyAlignment="1">
      <alignment horizontal="center"/>
    </xf>
    <xf numFmtId="167" fontId="13" fillId="0" borderId="13" xfId="1" applyNumberFormat="1" applyFont="1" applyFill="1" applyBorder="1"/>
    <xf numFmtId="0" fontId="9" fillId="0" borderId="36" xfId="0" applyFont="1" applyFill="1" applyBorder="1" applyAlignment="1">
      <alignment horizontal="center"/>
    </xf>
    <xf numFmtId="0" fontId="3" fillId="0" borderId="36" xfId="0" applyFont="1" applyFill="1" applyBorder="1" applyAlignment="1">
      <alignment vertical="distributed"/>
    </xf>
    <xf numFmtId="167" fontId="3" fillId="0" borderId="36" xfId="1" applyNumberFormat="1" applyFont="1" applyFill="1" applyBorder="1"/>
    <xf numFmtId="167" fontId="3" fillId="0" borderId="36" xfId="1" applyNumberFormat="1" applyFont="1" applyFill="1" applyBorder="1" applyAlignment="1"/>
    <xf numFmtId="0" fontId="3" fillId="0" borderId="13" xfId="0" applyFont="1" applyFill="1" applyBorder="1" applyAlignment="1">
      <alignment vertical="distributed"/>
    </xf>
    <xf numFmtId="0" fontId="3" fillId="0" borderId="13" xfId="1" applyNumberFormat="1" applyFont="1" applyFill="1" applyBorder="1" applyAlignment="1">
      <alignment horizontal="center"/>
    </xf>
    <xf numFmtId="167" fontId="2" fillId="0" borderId="13" xfId="1" applyNumberFormat="1" applyFont="1" applyFill="1" applyBorder="1" applyAlignment="1"/>
    <xf numFmtId="0" fontId="21" fillId="0" borderId="34" xfId="1" applyNumberFormat="1" applyFont="1" applyFill="1" applyBorder="1" applyAlignment="1">
      <alignment horizontal="center"/>
    </xf>
    <xf numFmtId="0" fontId="3" fillId="0" borderId="36" xfId="0" applyFont="1" applyFill="1" applyBorder="1"/>
    <xf numFmtId="0" fontId="3" fillId="0" borderId="5" xfId="1" applyNumberFormat="1" applyFont="1" applyFill="1" applyBorder="1" applyAlignment="1">
      <alignment horizontal="center"/>
    </xf>
    <xf numFmtId="167" fontId="13" fillId="0" borderId="13" xfId="1" applyNumberFormat="1" applyFont="1" applyFill="1" applyBorder="1" applyAlignment="1"/>
    <xf numFmtId="167" fontId="24" fillId="0" borderId="1" xfId="1" applyNumberFormat="1" applyFont="1" applyFill="1" applyBorder="1" applyAlignment="1"/>
    <xf numFmtId="0" fontId="13" fillId="0" borderId="13" xfId="0" applyNumberFormat="1" applyFont="1" applyFill="1" applyBorder="1" applyAlignment="1">
      <alignment horizontal="center"/>
    </xf>
    <xf numFmtId="0" fontId="13" fillId="0" borderId="5" xfId="0" applyFont="1" applyFill="1" applyBorder="1"/>
    <xf numFmtId="0" fontId="0" fillId="0" borderId="0" xfId="0" applyFont="1" applyFill="1" applyAlignment="1">
      <alignment horizontal="center"/>
    </xf>
    <xf numFmtId="0" fontId="0" fillId="0" borderId="0" xfId="0" applyNumberFormat="1" applyFill="1" applyAlignment="1">
      <alignment horizontal="center"/>
    </xf>
    <xf numFmtId="167" fontId="26" fillId="0" borderId="0" xfId="1" applyNumberFormat="1" applyFont="1" applyFill="1" applyAlignment="1">
      <alignment horizontal="right"/>
    </xf>
    <xf numFmtId="0" fontId="13" fillId="0" borderId="0" xfId="0" applyFont="1" applyFill="1" applyAlignment="1">
      <alignment horizontal="center"/>
    </xf>
    <xf numFmtId="167" fontId="13" fillId="0" borderId="0" xfId="1" applyNumberFormat="1" applyFont="1" applyFill="1" applyAlignment="1">
      <alignment horizontal="right"/>
    </xf>
    <xf numFmtId="167" fontId="13" fillId="0" borderId="0" xfId="1" applyNumberFormat="1" applyFont="1" applyFill="1" applyAlignment="1"/>
    <xf numFmtId="0" fontId="78" fillId="0" borderId="1" xfId="0" applyFont="1" applyFill="1" applyBorder="1" applyAlignment="1">
      <alignment horizontal="center"/>
    </xf>
    <xf numFmtId="43" fontId="3" fillId="0" borderId="33" xfId="1" applyNumberFormat="1" applyFont="1" applyFill="1" applyBorder="1" applyAlignment="1">
      <alignment horizontal="center"/>
    </xf>
    <xf numFmtId="43" fontId="3" fillId="0" borderId="34" xfId="1" applyNumberFormat="1" applyFont="1" applyFill="1" applyBorder="1" applyAlignment="1">
      <alignment horizontal="center"/>
    </xf>
    <xf numFmtId="167" fontId="21" fillId="0" borderId="33" xfId="1" applyNumberFormat="1" applyFont="1" applyFill="1" applyBorder="1" applyAlignment="1">
      <alignment horizontal="center"/>
    </xf>
    <xf numFmtId="167" fontId="21" fillId="0" borderId="34" xfId="1" applyNumberFormat="1" applyFont="1" applyFill="1" applyBorder="1" applyAlignment="1">
      <alignment horizontal="center"/>
    </xf>
    <xf numFmtId="0" fontId="76" fillId="0" borderId="8" xfId="0" applyFont="1" applyFill="1" applyBorder="1" applyAlignment="1">
      <alignment horizontal="left"/>
    </xf>
    <xf numFmtId="0" fontId="21" fillId="0" borderId="0" xfId="0" applyFont="1" applyFill="1" applyBorder="1"/>
    <xf numFmtId="0" fontId="21" fillId="0" borderId="0" xfId="0" applyFont="1" applyFill="1" applyBorder="1" applyAlignment="1"/>
    <xf numFmtId="0" fontId="21" fillId="0" borderId="0" xfId="0" applyFont="1" applyFill="1" applyBorder="1" applyAlignment="1">
      <alignment horizontal="right"/>
    </xf>
    <xf numFmtId="1" fontId="13" fillId="0" borderId="4" xfId="0" applyNumberFormat="1" applyFont="1" applyFill="1" applyBorder="1" applyAlignment="1"/>
    <xf numFmtId="0" fontId="72" fillId="0" borderId="1" xfId="0" applyFont="1" applyFill="1" applyBorder="1" applyAlignment="1">
      <alignment horizontal="left"/>
    </xf>
    <xf numFmtId="166" fontId="78" fillId="0" borderId="1" xfId="1" applyNumberFormat="1" applyFont="1" applyFill="1" applyBorder="1" applyAlignment="1">
      <alignment horizontal="center"/>
    </xf>
    <xf numFmtId="0" fontId="75" fillId="0" borderId="1" xfId="0" applyFont="1" applyFill="1" applyBorder="1" applyAlignment="1">
      <alignment horizontal="left"/>
    </xf>
    <xf numFmtId="0" fontId="75" fillId="0" borderId="1" xfId="0" applyFont="1" applyFill="1" applyBorder="1"/>
    <xf numFmtId="166" fontId="2" fillId="0" borderId="1" xfId="1" applyNumberFormat="1" applyFont="1" applyFill="1" applyBorder="1" applyAlignment="1">
      <alignment horizontal="center"/>
    </xf>
    <xf numFmtId="0" fontId="2" fillId="0" borderId="34" xfId="0" applyFont="1" applyFill="1" applyBorder="1" applyAlignment="1">
      <alignment vertical="distributed"/>
    </xf>
    <xf numFmtId="0" fontId="2" fillId="0" borderId="1" xfId="0" applyFont="1" applyFill="1" applyBorder="1" applyAlignment="1">
      <alignment vertical="distributed"/>
    </xf>
    <xf numFmtId="0" fontId="13" fillId="0" borderId="1" xfId="0" applyFont="1" applyFill="1" applyBorder="1"/>
    <xf numFmtId="0" fontId="13" fillId="0" borderId="1" xfId="0" applyFont="1" applyFill="1" applyBorder="1" applyAlignment="1">
      <alignment horizontal="right"/>
    </xf>
    <xf numFmtId="166" fontId="22" fillId="0" borderId="1" xfId="0" applyNumberFormat="1" applyFont="1" applyFill="1" applyBorder="1" applyAlignment="1"/>
    <xf numFmtId="0" fontId="3" fillId="0" borderId="34" xfId="0" quotePrefix="1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left"/>
    </xf>
    <xf numFmtId="0" fontId="22" fillId="0" borderId="1" xfId="0" applyFont="1" applyFill="1" applyBorder="1" applyAlignment="1">
      <alignment horizontal="right"/>
    </xf>
    <xf numFmtId="0" fontId="3" fillId="0" borderId="33" xfId="0" applyFont="1" applyFill="1" applyBorder="1" applyAlignment="1">
      <alignment horizontal="left" vertical="distributed"/>
    </xf>
    <xf numFmtId="0" fontId="3" fillId="0" borderId="34" xfId="0" applyFont="1" applyFill="1" applyBorder="1" applyAlignment="1">
      <alignment horizontal="left" vertical="distributed"/>
    </xf>
    <xf numFmtId="0" fontId="3" fillId="0" borderId="1" xfId="0" applyFont="1" applyFill="1" applyBorder="1" applyAlignment="1">
      <alignment horizontal="left"/>
    </xf>
    <xf numFmtId="0" fontId="3" fillId="0" borderId="1" xfId="0" applyFont="1" applyFill="1" applyBorder="1" applyAlignment="1">
      <alignment horizontal="justify"/>
    </xf>
    <xf numFmtId="0" fontId="3" fillId="0" borderId="13" xfId="0" applyFont="1" applyFill="1" applyBorder="1" applyAlignment="1">
      <alignment horizontal="left"/>
    </xf>
    <xf numFmtId="0" fontId="13" fillId="0" borderId="1" xfId="0" applyFont="1" applyFill="1" applyBorder="1" applyAlignment="1">
      <alignment vertical="distributed"/>
    </xf>
    <xf numFmtId="0" fontId="3" fillId="0" borderId="41" xfId="0" quotePrefix="1" applyFont="1" applyFill="1" applyBorder="1" applyAlignment="1">
      <alignment horizontal="left"/>
    </xf>
    <xf numFmtId="0" fontId="3" fillId="0" borderId="40" xfId="0" applyFont="1" applyFill="1" applyBorder="1" applyAlignment="1">
      <alignment horizontal="left" vertical="distributed"/>
    </xf>
    <xf numFmtId="0" fontId="3" fillId="0" borderId="40" xfId="0" applyFont="1" applyFill="1" applyBorder="1" applyAlignment="1">
      <alignment vertical="distributed"/>
    </xf>
    <xf numFmtId="166" fontId="3" fillId="0" borderId="40" xfId="1" applyNumberFormat="1" applyFont="1" applyFill="1" applyBorder="1"/>
    <xf numFmtId="166" fontId="3" fillId="0" borderId="40" xfId="1" applyNumberFormat="1" applyFont="1" applyFill="1" applyBorder="1" applyAlignment="1"/>
    <xf numFmtId="166" fontId="2" fillId="0" borderId="13" xfId="1" applyNumberFormat="1" applyFont="1" applyFill="1" applyBorder="1" applyAlignment="1"/>
    <xf numFmtId="0" fontId="14" fillId="0" borderId="34" xfId="0" applyFont="1" applyFill="1" applyBorder="1" applyAlignment="1">
      <alignment horizontal="center"/>
    </xf>
    <xf numFmtId="0" fontId="3" fillId="0" borderId="34" xfId="0" applyFont="1" applyFill="1" applyBorder="1" applyAlignment="1">
      <alignment horizontal="left" vertical="top"/>
    </xf>
    <xf numFmtId="0" fontId="13" fillId="0" borderId="13" xfId="0" applyFont="1" applyFill="1" applyBorder="1" applyAlignment="1"/>
    <xf numFmtId="166" fontId="24" fillId="0" borderId="1" xfId="0" applyNumberFormat="1" applyFont="1" applyFill="1" applyBorder="1" applyAlignment="1"/>
    <xf numFmtId="0" fontId="13" fillId="0" borderId="5" xfId="0" applyFont="1" applyFill="1" applyBorder="1" applyAlignment="1">
      <alignment horizontal="left"/>
    </xf>
    <xf numFmtId="0" fontId="0" fillId="0" borderId="0" xfId="0" applyFont="1" applyFill="1" applyAlignment="1">
      <alignment horizontal="left"/>
    </xf>
    <xf numFmtId="0" fontId="23" fillId="0" borderId="0" xfId="0" applyFont="1" applyFill="1" applyAlignment="1">
      <alignment horizontal="left"/>
    </xf>
    <xf numFmtId="0" fontId="76" fillId="0" borderId="0" xfId="0" applyFont="1" applyFill="1" applyAlignment="1">
      <alignment horizontal="left"/>
    </xf>
    <xf numFmtId="0" fontId="21" fillId="0" borderId="0" xfId="0" applyFont="1" applyFill="1" applyAlignment="1"/>
    <xf numFmtId="0" fontId="21" fillId="0" borderId="0" xfId="0" applyFont="1" applyFill="1" applyAlignment="1">
      <alignment horizontal="right"/>
    </xf>
    <xf numFmtId="0" fontId="63" fillId="0" borderId="0" xfId="0" applyFont="1" applyFill="1" applyAlignment="1">
      <alignment horizontal="left"/>
    </xf>
    <xf numFmtId="0" fontId="44" fillId="0" borderId="0" xfId="0" applyFont="1" applyFill="1" applyAlignment="1">
      <alignment horizontal="left"/>
    </xf>
    <xf numFmtId="0" fontId="11" fillId="0" borderId="4" xfId="0" applyFont="1" applyBorder="1" applyAlignment="1">
      <alignment horizontal="left" vertical="center" wrapText="1"/>
    </xf>
    <xf numFmtId="0" fontId="82" fillId="0" borderId="0" xfId="0" applyFont="1"/>
    <xf numFmtId="166" fontId="3" fillId="0" borderId="36" xfId="1" applyNumberFormat="1" applyFont="1" applyFill="1" applyBorder="1" applyAlignment="1">
      <alignment vertical="center"/>
    </xf>
    <xf numFmtId="0" fontId="13" fillId="0" borderId="0" xfId="0" applyFont="1" applyFill="1" applyBorder="1" applyAlignment="1">
      <alignment horizontal="left"/>
    </xf>
    <xf numFmtId="167" fontId="21" fillId="0" borderId="0" xfId="1" applyNumberFormat="1" applyFont="1" applyFill="1" applyBorder="1" applyAlignment="1">
      <alignment horizontal="center"/>
    </xf>
    <xf numFmtId="0" fontId="13" fillId="0" borderId="0" xfId="0" applyFont="1" applyFill="1" applyBorder="1" applyAlignment="1"/>
    <xf numFmtId="0" fontId="3" fillId="0" borderId="0" xfId="0" quotePrefix="1" applyFont="1" applyFill="1" applyBorder="1" applyAlignment="1">
      <alignment horizontal="left"/>
    </xf>
    <xf numFmtId="0" fontId="3" fillId="0" borderId="0" xfId="0" applyFont="1" applyFill="1" applyBorder="1" applyAlignment="1">
      <alignment vertical="distributed"/>
    </xf>
    <xf numFmtId="0" fontId="3" fillId="0" borderId="11" xfId="0" applyFont="1" applyFill="1" applyBorder="1" applyAlignment="1">
      <alignment vertical="distributed"/>
    </xf>
    <xf numFmtId="0" fontId="3" fillId="0" borderId="11" xfId="0" applyFont="1" applyFill="1" applyBorder="1" applyAlignment="1">
      <alignment vertical="center"/>
    </xf>
    <xf numFmtId="0" fontId="3" fillId="0" borderId="0" xfId="0" quotePrefix="1" applyFont="1" applyFill="1" applyBorder="1" applyAlignment="1">
      <alignment horizontal="left" vertical="center"/>
    </xf>
    <xf numFmtId="0" fontId="2" fillId="0" borderId="0" xfId="0" applyFont="1" applyFill="1" applyBorder="1" applyAlignment="1">
      <alignment vertical="center"/>
    </xf>
    <xf numFmtId="166" fontId="22" fillId="3" borderId="1" xfId="0" applyNumberFormat="1" applyFont="1" applyFill="1" applyBorder="1" applyAlignment="1">
      <alignment vertical="center"/>
    </xf>
    <xf numFmtId="0" fontId="13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justify"/>
    </xf>
    <xf numFmtId="0" fontId="22" fillId="0" borderId="0" xfId="0" applyFont="1" applyFill="1" applyBorder="1" applyAlignment="1">
      <alignment horizontal="right"/>
    </xf>
    <xf numFmtId="0" fontId="3" fillId="0" borderId="0" xfId="0" applyFont="1" applyFill="1" applyBorder="1" applyAlignment="1">
      <alignment horizontal="justify" vertical="center"/>
    </xf>
    <xf numFmtId="0" fontId="13" fillId="0" borderId="0" xfId="0" applyFont="1" applyFill="1" applyBorder="1" applyAlignment="1">
      <alignment vertical="distributed"/>
    </xf>
    <xf numFmtId="166" fontId="2" fillId="0" borderId="0" xfId="1" applyNumberFormat="1" applyFont="1" applyFill="1" applyBorder="1" applyAlignment="1"/>
    <xf numFmtId="0" fontId="3" fillId="0" borderId="9" xfId="0" applyFont="1" applyFill="1" applyBorder="1" applyAlignment="1">
      <alignment vertical="distributed"/>
    </xf>
    <xf numFmtId="0" fontId="3" fillId="0" borderId="9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166" fontId="3" fillId="0" borderId="5" xfId="1" applyNumberFormat="1" applyFont="1" applyFill="1" applyBorder="1" applyAlignment="1">
      <alignment horizontal="center"/>
    </xf>
    <xf numFmtId="166" fontId="3" fillId="0" borderId="23" xfId="1" applyNumberFormat="1" applyFont="1" applyFill="1" applyBorder="1" applyAlignment="1">
      <alignment vertical="center"/>
    </xf>
    <xf numFmtId="166" fontId="3" fillId="0" borderId="14" xfId="1" applyNumberFormat="1" applyFont="1" applyFill="1" applyBorder="1" applyAlignment="1">
      <alignment vertical="center"/>
    </xf>
    <xf numFmtId="167" fontId="3" fillId="0" borderId="23" xfId="1" applyNumberFormat="1" applyFont="1" applyFill="1" applyBorder="1" applyAlignment="1">
      <alignment horizontal="center" vertical="center" wrapText="1"/>
    </xf>
    <xf numFmtId="43" fontId="3" fillId="0" borderId="13" xfId="1" applyNumberFormat="1" applyFont="1" applyFill="1" applyBorder="1" applyAlignment="1">
      <alignment horizontal="center" vertical="center"/>
    </xf>
    <xf numFmtId="43" fontId="3" fillId="0" borderId="5" xfId="1" applyNumberFormat="1" applyFont="1" applyFill="1" applyBorder="1" applyAlignment="1">
      <alignment horizontal="center" vertical="center"/>
    </xf>
    <xf numFmtId="167" fontId="21" fillId="0" borderId="36" xfId="1" applyNumberFormat="1" applyFont="1" applyFill="1" applyBorder="1" applyAlignment="1">
      <alignment horizontal="center" vertical="center"/>
    </xf>
    <xf numFmtId="166" fontId="2" fillId="0" borderId="3" xfId="1" applyNumberFormat="1" applyFont="1" applyFill="1" applyBorder="1" applyAlignment="1">
      <alignment vertical="center"/>
    </xf>
    <xf numFmtId="167" fontId="21" fillId="0" borderId="5" xfId="1" applyNumberFormat="1" applyFont="1" applyFill="1" applyBorder="1" applyAlignment="1">
      <alignment horizontal="center" vertical="center"/>
    </xf>
    <xf numFmtId="167" fontId="13" fillId="0" borderId="0" xfId="1" applyNumberFormat="1" applyFont="1"/>
    <xf numFmtId="43" fontId="13" fillId="0" borderId="0" xfId="1" applyNumberFormat="1" applyFont="1"/>
    <xf numFmtId="0" fontId="13" fillId="2" borderId="0" xfId="0" applyFont="1" applyFill="1"/>
    <xf numFmtId="0" fontId="84" fillId="0" borderId="0" xfId="0" applyFont="1"/>
    <xf numFmtId="0" fontId="79" fillId="0" borderId="2" xfId="0" applyFont="1" applyBorder="1" applyAlignment="1">
      <alignment vertical="center"/>
    </xf>
    <xf numFmtId="0" fontId="13" fillId="0" borderId="0" xfId="0" applyFont="1" applyAlignment="1">
      <alignment vertical="center"/>
    </xf>
    <xf numFmtId="167" fontId="13" fillId="0" borderId="0" xfId="1" applyNumberFormat="1" applyFont="1" applyAlignment="1">
      <alignment vertical="center"/>
    </xf>
    <xf numFmtId="43" fontId="13" fillId="0" borderId="0" xfId="1" applyNumberFormat="1" applyFont="1" applyAlignment="1">
      <alignment vertical="center"/>
    </xf>
    <xf numFmtId="0" fontId="13" fillId="2" borderId="0" xfId="0" applyFont="1" applyFill="1" applyAlignment="1">
      <alignment vertical="center"/>
    </xf>
    <xf numFmtId="167" fontId="85" fillId="5" borderId="0" xfId="1" applyNumberFormat="1" applyFont="1" applyFill="1" applyAlignment="1">
      <alignment vertical="center"/>
    </xf>
    <xf numFmtId="167" fontId="13" fillId="0" borderId="0" xfId="0" applyNumberFormat="1" applyFont="1"/>
    <xf numFmtId="167" fontId="66" fillId="0" borderId="0" xfId="1" applyNumberFormat="1" applyFont="1"/>
    <xf numFmtId="43" fontId="66" fillId="0" borderId="0" xfId="1" applyNumberFormat="1" applyFont="1"/>
    <xf numFmtId="0" fontId="66" fillId="2" borderId="0" xfId="0" applyFont="1" applyFill="1"/>
    <xf numFmtId="0" fontId="66" fillId="0" borderId="0" xfId="0" applyFont="1"/>
    <xf numFmtId="0" fontId="3" fillId="0" borderId="4" xfId="0" applyFont="1" applyFill="1" applyBorder="1" applyAlignment="1">
      <alignment vertical="center"/>
    </xf>
    <xf numFmtId="0" fontId="13" fillId="0" borderId="0" xfId="0" applyFont="1" applyFill="1" applyAlignment="1">
      <alignment vertical="center"/>
    </xf>
    <xf numFmtId="167" fontId="13" fillId="0" borderId="0" xfId="1" applyNumberFormat="1" applyFont="1" applyFill="1" applyAlignment="1">
      <alignment vertical="center"/>
    </xf>
    <xf numFmtId="43" fontId="13" fillId="0" borderId="0" xfId="1" applyNumberFormat="1" applyFont="1" applyFill="1" applyAlignment="1">
      <alignment vertical="center"/>
    </xf>
    <xf numFmtId="167" fontId="85" fillId="0" borderId="0" xfId="1" applyNumberFormat="1" applyFont="1" applyAlignment="1">
      <alignment vertical="center"/>
    </xf>
    <xf numFmtId="0" fontId="66" fillId="0" borderId="0" xfId="0" applyFont="1" applyFill="1" applyAlignment="1">
      <alignment vertical="center"/>
    </xf>
    <xf numFmtId="167" fontId="66" fillId="0" borderId="0" xfId="1" applyNumberFormat="1" applyFont="1" applyFill="1" applyAlignment="1">
      <alignment vertical="center"/>
    </xf>
    <xf numFmtId="43" fontId="66" fillId="0" borderId="0" xfId="1" applyNumberFormat="1" applyFont="1" applyFill="1" applyAlignment="1">
      <alignment vertical="center"/>
    </xf>
    <xf numFmtId="0" fontId="3" fillId="0" borderId="8" xfId="0" applyFont="1" applyFill="1" applyBorder="1" applyAlignment="1">
      <alignment vertical="center"/>
    </xf>
    <xf numFmtId="0" fontId="2" fillId="0" borderId="23" xfId="0" applyFont="1" applyFill="1" applyBorder="1" applyAlignment="1">
      <alignment horizontal="left" vertical="center" wrapText="1"/>
    </xf>
    <xf numFmtId="0" fontId="2" fillId="0" borderId="4" xfId="0" applyFont="1" applyFill="1" applyBorder="1" applyAlignment="1">
      <alignment horizontal="left" vertical="center" wrapText="1"/>
    </xf>
    <xf numFmtId="0" fontId="2" fillId="0" borderId="14" xfId="0" applyFont="1" applyFill="1" applyBorder="1" applyAlignment="1">
      <alignment horizontal="left" vertical="center" wrapText="1"/>
    </xf>
    <xf numFmtId="167" fontId="85" fillId="0" borderId="0" xfId="1" applyNumberFormat="1" applyFont="1"/>
    <xf numFmtId="167" fontId="13" fillId="2" borderId="0" xfId="0" applyNumberFormat="1" applyFont="1" applyFill="1"/>
    <xf numFmtId="0" fontId="2" fillId="0" borderId="8" xfId="0" applyFont="1" applyFill="1" applyBorder="1" applyAlignment="1">
      <alignment horizontal="left" vertical="center" wrapText="1"/>
    </xf>
    <xf numFmtId="0" fontId="66" fillId="0" borderId="0" xfId="0" applyFont="1" applyFill="1"/>
    <xf numFmtId="167" fontId="66" fillId="0" borderId="0" xfId="1" applyNumberFormat="1" applyFont="1" applyFill="1"/>
    <xf numFmtId="43" fontId="66" fillId="0" borderId="0" xfId="1" applyNumberFormat="1" applyFont="1" applyFill="1"/>
    <xf numFmtId="0" fontId="85" fillId="2" borderId="0" xfId="0" applyFont="1" applyFill="1"/>
    <xf numFmtId="0" fontId="85" fillId="0" borderId="0" xfId="0" applyFont="1"/>
    <xf numFmtId="0" fontId="3" fillId="0" borderId="8" xfId="0" applyFont="1" applyFill="1" applyBorder="1" applyAlignment="1">
      <alignment horizontal="justify" vertical="center"/>
    </xf>
    <xf numFmtId="0" fontId="3" fillId="0" borderId="4" xfId="0" applyFont="1" applyFill="1" applyBorder="1" applyAlignment="1">
      <alignment horizontal="justify" vertical="center"/>
    </xf>
    <xf numFmtId="169" fontId="66" fillId="2" borderId="0" xfId="1" applyNumberFormat="1" applyFont="1" applyFill="1"/>
    <xf numFmtId="0" fontId="3" fillId="0" borderId="8" xfId="0" applyFont="1" applyFill="1" applyBorder="1" applyAlignment="1">
      <alignment vertical="center" wrapText="1"/>
    </xf>
    <xf numFmtId="0" fontId="3" fillId="0" borderId="4" xfId="0" applyFont="1" applyFill="1" applyBorder="1" applyAlignment="1">
      <alignment vertical="center" wrapText="1"/>
    </xf>
    <xf numFmtId="165" fontId="66" fillId="2" borderId="0" xfId="0" applyNumberFormat="1" applyFont="1" applyFill="1"/>
    <xf numFmtId="0" fontId="3" fillId="0" borderId="11" xfId="0" applyFont="1" applyFill="1" applyBorder="1" applyAlignment="1">
      <alignment vertical="center" wrapText="1"/>
    </xf>
    <xf numFmtId="0" fontId="3" fillId="0" borderId="4" xfId="0" applyFont="1" applyFill="1" applyBorder="1"/>
    <xf numFmtId="0" fontId="3" fillId="0" borderId="9" xfId="0" applyFont="1" applyFill="1" applyBorder="1" applyAlignment="1">
      <alignment horizontal="left" vertical="center" wrapText="1"/>
    </xf>
    <xf numFmtId="0" fontId="3" fillId="0" borderId="11" xfId="0" applyFont="1" applyFill="1" applyBorder="1" applyAlignment="1">
      <alignment horizontal="left" vertical="center" wrapText="1"/>
    </xf>
    <xf numFmtId="167" fontId="13" fillId="0" borderId="0" xfId="1" applyNumberFormat="1" applyFont="1" applyFill="1"/>
    <xf numFmtId="43" fontId="13" fillId="0" borderId="0" xfId="1" applyNumberFormat="1" applyFont="1" applyFill="1"/>
    <xf numFmtId="0" fontId="3" fillId="0" borderId="8" xfId="0" applyFont="1" applyFill="1" applyBorder="1" applyAlignment="1">
      <alignment horizontal="left" vertical="center" wrapText="1"/>
    </xf>
    <xf numFmtId="0" fontId="3" fillId="0" borderId="4" xfId="0" applyFont="1" applyFill="1" applyBorder="1" applyAlignment="1">
      <alignment horizontal="left" vertical="center" wrapText="1"/>
    </xf>
    <xf numFmtId="166" fontId="13" fillId="0" borderId="0" xfId="0" applyNumberFormat="1" applyFont="1"/>
    <xf numFmtId="0" fontId="13" fillId="0" borderId="0" xfId="0" applyFont="1" applyFill="1" applyAlignment="1">
      <alignment horizontal="left"/>
    </xf>
    <xf numFmtId="43" fontId="13" fillId="0" borderId="0" xfId="1" applyFont="1" applyFill="1"/>
    <xf numFmtId="165" fontId="13" fillId="0" borderId="0" xfId="0" applyNumberFormat="1" applyFont="1"/>
    <xf numFmtId="0" fontId="22" fillId="0" borderId="0" xfId="0" applyFont="1" applyFill="1" applyAlignment="1">
      <alignment horizontal="right"/>
    </xf>
    <xf numFmtId="0" fontId="13" fillId="0" borderId="0" xfId="0" applyFont="1" applyBorder="1"/>
    <xf numFmtId="0" fontId="13" fillId="0" borderId="0" xfId="0" applyFont="1" applyBorder="1" applyAlignment="1"/>
    <xf numFmtId="0" fontId="63" fillId="0" borderId="0" xfId="0" applyFont="1"/>
    <xf numFmtId="167" fontId="13" fillId="0" borderId="0" xfId="1" applyNumberFormat="1" applyFont="1" applyBorder="1"/>
    <xf numFmtId="43" fontId="13" fillId="0" borderId="0" xfId="1" applyNumberFormat="1" applyFont="1" applyBorder="1"/>
    <xf numFmtId="0" fontId="13" fillId="2" borderId="0" xfId="0" applyFont="1" applyFill="1" applyBorder="1"/>
    <xf numFmtId="167" fontId="13" fillId="0" borderId="0" xfId="1" applyNumberFormat="1" applyFont="1" applyFill="1" applyBorder="1"/>
    <xf numFmtId="43" fontId="13" fillId="0" borderId="0" xfId="1" applyNumberFormat="1" applyFont="1" applyFill="1" applyBorder="1"/>
    <xf numFmtId="0" fontId="13" fillId="0" borderId="0" xfId="0" applyFont="1" applyBorder="1" applyAlignment="1">
      <alignment vertical="center"/>
    </xf>
    <xf numFmtId="167" fontId="21" fillId="3" borderId="10" xfId="1" applyNumberFormat="1" applyFont="1" applyFill="1" applyBorder="1" applyAlignment="1">
      <alignment horizontal="center" vertical="center"/>
    </xf>
    <xf numFmtId="171" fontId="3" fillId="5" borderId="5" xfId="1" applyNumberFormat="1" applyFont="1" applyFill="1" applyBorder="1" applyAlignment="1">
      <alignment vertical="center"/>
    </xf>
    <xf numFmtId="0" fontId="13" fillId="0" borderId="7" xfId="0" applyFont="1" applyBorder="1"/>
    <xf numFmtId="167" fontId="13" fillId="0" borderId="7" xfId="1" applyNumberFormat="1" applyFont="1" applyBorder="1"/>
    <xf numFmtId="43" fontId="13" fillId="0" borderId="7" xfId="1" applyNumberFormat="1" applyFont="1" applyBorder="1"/>
    <xf numFmtId="0" fontId="13" fillId="2" borderId="7" xfId="0" applyFont="1" applyFill="1" applyBorder="1"/>
    <xf numFmtId="0" fontId="84" fillId="0" borderId="0" xfId="0" applyFont="1" applyBorder="1"/>
    <xf numFmtId="0" fontId="76" fillId="0" borderId="8" xfId="0" applyFont="1" applyBorder="1" applyAlignment="1">
      <alignment horizontal="left"/>
    </xf>
    <xf numFmtId="0" fontId="21" fillId="0" borderId="0" xfId="0" applyFont="1" applyBorder="1"/>
    <xf numFmtId="0" fontId="21" fillId="0" borderId="0" xfId="0" applyFont="1" applyBorder="1" applyAlignment="1"/>
    <xf numFmtId="0" fontId="21" fillId="0" borderId="0" xfId="0" applyFont="1" applyBorder="1" applyAlignment="1">
      <alignment horizontal="right"/>
    </xf>
    <xf numFmtId="167" fontId="13" fillId="0" borderId="0" xfId="1" applyNumberFormat="1" applyFont="1" applyBorder="1" applyAlignment="1">
      <alignment vertical="center"/>
    </xf>
    <xf numFmtId="43" fontId="13" fillId="0" borderId="0" xfId="1" applyNumberFormat="1" applyFont="1" applyBorder="1" applyAlignment="1">
      <alignment vertical="center"/>
    </xf>
    <xf numFmtId="0" fontId="13" fillId="2" borderId="0" xfId="0" applyFont="1" applyFill="1" applyBorder="1" applyAlignment="1">
      <alignment vertical="center"/>
    </xf>
    <xf numFmtId="0" fontId="22" fillId="0" borderId="0" xfId="0" applyFont="1" applyBorder="1" applyAlignment="1">
      <alignment vertical="center"/>
    </xf>
    <xf numFmtId="167" fontId="22" fillId="0" borderId="0" xfId="1" applyNumberFormat="1" applyFont="1" applyBorder="1" applyAlignment="1">
      <alignment vertical="center"/>
    </xf>
    <xf numFmtId="43" fontId="22" fillId="0" borderId="0" xfId="1" applyNumberFormat="1" applyFont="1" applyBorder="1" applyAlignment="1">
      <alignment vertical="center"/>
    </xf>
    <xf numFmtId="0" fontId="22" fillId="2" borderId="0" xfId="0" applyFont="1" applyFill="1" applyBorder="1" applyAlignment="1">
      <alignment vertical="center"/>
    </xf>
    <xf numFmtId="167" fontId="85" fillId="5" borderId="0" xfId="1" applyNumberFormat="1" applyFont="1" applyFill="1" applyBorder="1" applyAlignment="1">
      <alignment vertical="center"/>
    </xf>
    <xf numFmtId="167" fontId="13" fillId="0" borderId="0" xfId="0" applyNumberFormat="1" applyFont="1" applyBorder="1"/>
    <xf numFmtId="167" fontId="66" fillId="0" borderId="0" xfId="1" applyNumberFormat="1" applyFont="1" applyBorder="1"/>
    <xf numFmtId="43" fontId="66" fillId="0" borderId="0" xfId="1" applyNumberFormat="1" applyFont="1" applyBorder="1"/>
    <xf numFmtId="0" fontId="66" fillId="2" borderId="0" xfId="0" applyFont="1" applyFill="1" applyBorder="1"/>
    <xf numFmtId="0" fontId="66" fillId="0" borderId="0" xfId="0" applyFont="1" applyBorder="1"/>
    <xf numFmtId="167" fontId="85" fillId="0" borderId="0" xfId="1" applyNumberFormat="1" applyFont="1" applyBorder="1"/>
    <xf numFmtId="167" fontId="66" fillId="0" borderId="0" xfId="1" applyNumberFormat="1" applyFont="1" applyFill="1" applyBorder="1"/>
    <xf numFmtId="43" fontId="66" fillId="0" borderId="0" xfId="1" applyNumberFormat="1" applyFont="1" applyFill="1" applyBorder="1"/>
    <xf numFmtId="43" fontId="13" fillId="0" borderId="0" xfId="1" applyFont="1" applyBorder="1"/>
    <xf numFmtId="165" fontId="13" fillId="0" borderId="0" xfId="0" applyNumberFormat="1" applyFont="1" applyBorder="1"/>
    <xf numFmtId="0" fontId="22" fillId="0" borderId="0" xfId="0" applyFont="1" applyBorder="1" applyAlignment="1">
      <alignment horizontal="right"/>
    </xf>
    <xf numFmtId="0" fontId="3" fillId="0" borderId="0" xfId="0" applyFont="1" applyBorder="1" applyAlignment="1">
      <alignment horizontal="justify"/>
    </xf>
    <xf numFmtId="166" fontId="3" fillId="9" borderId="5" xfId="1" applyNumberFormat="1" applyFont="1" applyFill="1" applyBorder="1" applyAlignment="1">
      <alignment vertical="center"/>
    </xf>
    <xf numFmtId="0" fontId="13" fillId="0" borderId="0" xfId="0" applyFont="1" applyBorder="1" applyAlignment="1">
      <alignment horizontal="left" vertical="center"/>
    </xf>
    <xf numFmtId="167" fontId="21" fillId="9" borderId="5" xfId="1" applyNumberFormat="1" applyFont="1" applyFill="1" applyBorder="1" applyAlignment="1">
      <alignment horizontal="center" vertical="center"/>
    </xf>
    <xf numFmtId="167" fontId="85" fillId="0" borderId="0" xfId="1" applyNumberFormat="1" applyFont="1" applyBorder="1" applyAlignment="1">
      <alignment vertical="center"/>
    </xf>
    <xf numFmtId="167" fontId="13" fillId="2" borderId="0" xfId="0" applyNumberFormat="1" applyFont="1" applyFill="1" applyBorder="1" applyAlignment="1">
      <alignment vertical="center"/>
    </xf>
    <xf numFmtId="0" fontId="66" fillId="0" borderId="0" xfId="0" applyFont="1" applyBorder="1" applyAlignment="1">
      <alignment vertical="center"/>
    </xf>
    <xf numFmtId="167" fontId="66" fillId="0" borderId="0" xfId="1" applyNumberFormat="1" applyFont="1" applyBorder="1" applyAlignment="1">
      <alignment vertical="center"/>
    </xf>
    <xf numFmtId="43" fontId="66" fillId="0" borderId="0" xfId="1" applyNumberFormat="1" applyFont="1" applyBorder="1" applyAlignment="1">
      <alignment vertical="center"/>
    </xf>
    <xf numFmtId="0" fontId="66" fillId="2" borderId="0" xfId="0" applyFont="1" applyFill="1" applyBorder="1" applyAlignment="1">
      <alignment vertical="center"/>
    </xf>
    <xf numFmtId="0" fontId="85" fillId="2" borderId="0" xfId="0" applyFont="1" applyFill="1" applyBorder="1" applyAlignment="1">
      <alignment vertical="center"/>
    </xf>
    <xf numFmtId="0" fontId="85" fillId="0" borderId="0" xfId="0" applyFont="1" applyBorder="1" applyAlignment="1">
      <alignment vertical="center"/>
    </xf>
    <xf numFmtId="169" fontId="66" fillId="2" borderId="0" xfId="1" applyNumberFormat="1" applyFont="1" applyFill="1" applyBorder="1" applyAlignment="1">
      <alignment vertical="center"/>
    </xf>
    <xf numFmtId="165" fontId="66" fillId="2" borderId="0" xfId="0" applyNumberFormat="1" applyFont="1" applyFill="1" applyBorder="1" applyAlignment="1">
      <alignment vertical="center"/>
    </xf>
    <xf numFmtId="167" fontId="13" fillId="0" borderId="0" xfId="1" applyNumberFormat="1" applyFont="1" applyFill="1" applyBorder="1" applyAlignment="1">
      <alignment vertical="center"/>
    </xf>
    <xf numFmtId="43" fontId="13" fillId="0" borderId="0" xfId="1" applyNumberFormat="1" applyFont="1" applyFill="1" applyBorder="1" applyAlignment="1">
      <alignment vertical="center"/>
    </xf>
    <xf numFmtId="0" fontId="79" fillId="0" borderId="14" xfId="0" applyFont="1" applyFill="1" applyBorder="1" applyAlignment="1">
      <alignment vertical="center"/>
    </xf>
    <xf numFmtId="167" fontId="0" fillId="0" borderId="0" xfId="1" applyNumberFormat="1" applyFont="1" applyBorder="1" applyAlignment="1">
      <alignment vertical="center"/>
    </xf>
    <xf numFmtId="167" fontId="35" fillId="5" borderId="0" xfId="1" applyNumberFormat="1" applyFont="1" applyFill="1" applyBorder="1" applyAlignment="1">
      <alignment vertical="center"/>
    </xf>
    <xf numFmtId="43" fontId="0" fillId="0" borderId="0" xfId="1" applyNumberFormat="1" applyFont="1" applyBorder="1" applyAlignment="1">
      <alignment vertical="center"/>
    </xf>
    <xf numFmtId="0" fontId="0" fillId="2" borderId="0" xfId="0" applyFill="1" applyBorder="1" applyAlignment="1">
      <alignment vertical="center"/>
    </xf>
    <xf numFmtId="167" fontId="3" fillId="0" borderId="23" xfId="1" applyNumberFormat="1" applyFont="1" applyFill="1" applyBorder="1" applyAlignment="1">
      <alignment vertical="center"/>
    </xf>
    <xf numFmtId="167" fontId="3" fillId="0" borderId="11" xfId="1" applyNumberFormat="1" applyFont="1" applyFill="1" applyBorder="1" applyAlignment="1">
      <alignment vertical="center"/>
    </xf>
    <xf numFmtId="167" fontId="3" fillId="0" borderId="3" xfId="1" applyNumberFormat="1" applyFont="1" applyFill="1" applyBorder="1" applyAlignment="1">
      <alignment vertical="center"/>
    </xf>
    <xf numFmtId="167" fontId="3" fillId="0" borderId="5" xfId="1" applyNumberFormat="1" applyFont="1" applyFill="1" applyBorder="1" applyAlignment="1">
      <alignment vertical="center"/>
    </xf>
    <xf numFmtId="0" fontId="13" fillId="0" borderId="0" xfId="0" applyFont="1" applyFill="1" applyBorder="1" applyAlignment="1">
      <alignment horizontal="center"/>
    </xf>
    <xf numFmtId="167" fontId="13" fillId="0" borderId="0" xfId="1" applyNumberFormat="1" applyFont="1" applyFill="1" applyBorder="1" applyAlignment="1">
      <alignment horizontal="right"/>
    </xf>
    <xf numFmtId="0" fontId="3" fillId="0" borderId="3" xfId="0" applyFont="1" applyFill="1" applyBorder="1" applyAlignment="1">
      <alignment horizontal="center" vertical="center"/>
    </xf>
    <xf numFmtId="167" fontId="3" fillId="0" borderId="13" xfId="1" applyNumberFormat="1" applyFont="1" applyFill="1" applyBorder="1" applyAlignment="1">
      <alignment vertical="center"/>
    </xf>
    <xf numFmtId="167" fontId="2" fillId="0" borderId="0" xfId="1" applyNumberFormat="1" applyFont="1" applyFill="1" applyBorder="1" applyAlignment="1"/>
    <xf numFmtId="167" fontId="3" fillId="0" borderId="4" xfId="1" applyNumberFormat="1" applyFont="1" applyFill="1" applyBorder="1" applyAlignment="1">
      <alignment vertical="center"/>
    </xf>
    <xf numFmtId="167" fontId="21" fillId="0" borderId="0" xfId="1" applyNumberFormat="1" applyFont="1" applyFill="1" applyBorder="1" applyAlignment="1">
      <alignment horizontal="center" vertical="center"/>
    </xf>
    <xf numFmtId="43" fontId="0" fillId="0" borderId="0" xfId="1" applyNumberFormat="1" applyFont="1" applyFill="1" applyBorder="1"/>
    <xf numFmtId="0" fontId="11" fillId="0" borderId="7" xfId="0" applyFont="1" applyBorder="1" applyAlignment="1">
      <alignment horizontal="left" vertical="center" wrapText="1"/>
    </xf>
    <xf numFmtId="0" fontId="10" fillId="0" borderId="8" xfId="0" applyFont="1" applyBorder="1" applyAlignment="1">
      <alignment horizontal="left" vertical="center" wrapText="1"/>
    </xf>
    <xf numFmtId="0" fontId="10" fillId="0" borderId="9" xfId="0" applyFont="1" applyBorder="1" applyAlignment="1">
      <alignment horizontal="left" vertical="center" wrapText="1"/>
    </xf>
    <xf numFmtId="0" fontId="10" fillId="0" borderId="11" xfId="0" applyFont="1" applyBorder="1" applyAlignment="1">
      <alignment horizontal="left" vertical="center" wrapText="1"/>
    </xf>
    <xf numFmtId="0" fontId="11" fillId="0" borderId="11" xfId="0" applyFont="1" applyBorder="1" applyAlignment="1">
      <alignment vertical="center"/>
    </xf>
    <xf numFmtId="169" fontId="3" fillId="0" borderId="9" xfId="1" applyNumberFormat="1" applyFont="1" applyFill="1" applyBorder="1" applyAlignment="1">
      <alignment horizontal="center" vertical="center" wrapText="1"/>
    </xf>
    <xf numFmtId="0" fontId="23" fillId="0" borderId="8" xfId="0" applyFont="1" applyBorder="1" applyAlignment="1">
      <alignment horizontal="left"/>
    </xf>
    <xf numFmtId="0" fontId="0" fillId="0" borderId="8" xfId="0" applyBorder="1" applyAlignment="1">
      <alignment horizontal="left"/>
    </xf>
    <xf numFmtId="0" fontId="0" fillId="0" borderId="8" xfId="0" applyBorder="1" applyAlignment="1">
      <alignment horizontal="left" vertical="center"/>
    </xf>
    <xf numFmtId="0" fontId="0" fillId="0" borderId="9" xfId="0" applyBorder="1" applyAlignment="1">
      <alignment horizontal="left" vertical="center"/>
    </xf>
    <xf numFmtId="0" fontId="10" fillId="0" borderId="10" xfId="0" applyFont="1" applyFill="1" applyBorder="1" applyAlignment="1">
      <alignment vertical="center"/>
    </xf>
    <xf numFmtId="0" fontId="11" fillId="0" borderId="8" xfId="0" applyFont="1" applyFill="1" applyBorder="1" applyAlignment="1">
      <alignment horizontal="left" vertical="center" wrapText="1"/>
    </xf>
    <xf numFmtId="0" fontId="0" fillId="0" borderId="0" xfId="0" applyBorder="1" applyAlignment="1">
      <alignment horizontal="center"/>
    </xf>
    <xf numFmtId="0" fontId="0" fillId="0" borderId="4" xfId="0" applyBorder="1" applyAlignment="1">
      <alignment horizontal="right"/>
    </xf>
    <xf numFmtId="0" fontId="10" fillId="2" borderId="8" xfId="0" applyFont="1" applyFill="1" applyBorder="1" applyAlignment="1">
      <alignment horizontal="left" vertical="center" wrapText="1"/>
    </xf>
    <xf numFmtId="0" fontId="38" fillId="0" borderId="0" xfId="0" applyFont="1" applyBorder="1" applyAlignment="1">
      <alignment horizontal="center"/>
    </xf>
    <xf numFmtId="43" fontId="0" fillId="2" borderId="0" xfId="1" applyNumberFormat="1" applyFont="1" applyFill="1" applyAlignment="1">
      <alignment vertical="center"/>
    </xf>
    <xf numFmtId="167" fontId="3" fillId="0" borderId="3" xfId="1" applyNumberFormat="1" applyFont="1" applyBorder="1" applyAlignment="1">
      <alignment vertical="center"/>
    </xf>
    <xf numFmtId="167" fontId="3" fillId="0" borderId="5" xfId="1" applyNumberFormat="1" applyFont="1" applyBorder="1" applyAlignment="1">
      <alignment vertical="center"/>
    </xf>
    <xf numFmtId="167" fontId="3" fillId="0" borderId="13" xfId="1" applyNumberFormat="1" applyFont="1" applyBorder="1" applyAlignment="1">
      <alignment vertical="center"/>
    </xf>
    <xf numFmtId="0" fontId="64" fillId="0" borderId="0" xfId="10" applyFont="1"/>
    <xf numFmtId="0" fontId="10" fillId="0" borderId="0" xfId="10"/>
    <xf numFmtId="170" fontId="10" fillId="0" borderId="0" xfId="2" applyNumberFormat="1" applyFont="1"/>
    <xf numFmtId="0" fontId="10" fillId="0" borderId="0" xfId="10" applyFont="1"/>
    <xf numFmtId="0" fontId="11" fillId="0" borderId="0" xfId="10" applyFont="1"/>
    <xf numFmtId="3" fontId="11" fillId="0" borderId="0" xfId="10" applyNumberFormat="1" applyFont="1"/>
    <xf numFmtId="165" fontId="10" fillId="0" borderId="0" xfId="2" applyFont="1"/>
    <xf numFmtId="0" fontId="10" fillId="0" borderId="2" xfId="10" applyBorder="1" applyAlignment="1">
      <alignment horizontal="center"/>
    </xf>
    <xf numFmtId="0" fontId="10" fillId="0" borderId="12" xfId="10" applyBorder="1" applyAlignment="1">
      <alignment horizontal="center"/>
    </xf>
    <xf numFmtId="0" fontId="10" fillId="0" borderId="6" xfId="10" applyBorder="1" applyAlignment="1">
      <alignment horizontal="center"/>
    </xf>
    <xf numFmtId="0" fontId="10" fillId="0" borderId="1" xfId="10" applyBorder="1"/>
    <xf numFmtId="0" fontId="10" fillId="0" borderId="1" xfId="10" applyBorder="1" applyAlignment="1">
      <alignment horizontal="center"/>
    </xf>
    <xf numFmtId="0" fontId="10" fillId="0" borderId="13" xfId="10" applyBorder="1"/>
    <xf numFmtId="0" fontId="10" fillId="0" borderId="58" xfId="10" applyFont="1" applyBorder="1"/>
    <xf numFmtId="0" fontId="10" fillId="5" borderId="13" xfId="10" applyFill="1" applyBorder="1"/>
    <xf numFmtId="172" fontId="1" fillId="5" borderId="13" xfId="11" applyFont="1" applyFill="1" applyBorder="1" applyAlignment="1">
      <alignment horizontal="center"/>
    </xf>
    <xf numFmtId="3" fontId="10" fillId="5" borderId="13" xfId="10" applyNumberFormat="1" applyFill="1" applyBorder="1"/>
    <xf numFmtId="3" fontId="10" fillId="0" borderId="13" xfId="10" applyNumberFormat="1" applyBorder="1"/>
    <xf numFmtId="0" fontId="10" fillId="0" borderId="4" xfId="10" applyFont="1" applyBorder="1"/>
    <xf numFmtId="0" fontId="10" fillId="0" borderId="4" xfId="10" applyBorder="1"/>
    <xf numFmtId="0" fontId="10" fillId="0" borderId="58" xfId="10" applyBorder="1"/>
    <xf numFmtId="0" fontId="10" fillId="0" borderId="13" xfId="10" applyBorder="1" applyAlignment="1">
      <alignment horizontal="right"/>
    </xf>
    <xf numFmtId="0" fontId="11" fillId="0" borderId="13" xfId="10" applyFont="1" applyBorder="1"/>
    <xf numFmtId="3" fontId="11" fillId="0" borderId="13" xfId="10" applyNumberFormat="1" applyFont="1" applyBorder="1"/>
    <xf numFmtId="0" fontId="10" fillId="0" borderId="5" xfId="10" applyBorder="1"/>
    <xf numFmtId="170" fontId="1" fillId="0" borderId="0" xfId="2" applyNumberFormat="1" applyFont="1"/>
    <xf numFmtId="173" fontId="1" fillId="0" borderId="0" xfId="11" applyNumberFormat="1" applyFont="1"/>
    <xf numFmtId="0" fontId="79" fillId="0" borderId="0" xfId="0" applyFont="1" applyBorder="1" applyAlignment="1">
      <alignment vertical="center"/>
    </xf>
    <xf numFmtId="43" fontId="13" fillId="2" borderId="0" xfId="1" applyFont="1" applyFill="1" applyAlignment="1">
      <alignment vertical="center"/>
    </xf>
    <xf numFmtId="167" fontId="13" fillId="2" borderId="0" xfId="0" applyNumberFormat="1" applyFont="1" applyFill="1" applyAlignment="1">
      <alignment vertical="center"/>
    </xf>
    <xf numFmtId="165" fontId="13" fillId="2" borderId="0" xfId="0" applyNumberFormat="1" applyFont="1" applyFill="1" applyAlignment="1">
      <alignment vertical="center"/>
    </xf>
    <xf numFmtId="0" fontId="87" fillId="0" borderId="0" xfId="0" applyFont="1"/>
    <xf numFmtId="0" fontId="27" fillId="4" borderId="47" xfId="0" applyFont="1" applyFill="1" applyBorder="1" applyAlignment="1">
      <alignment horizontal="center"/>
    </xf>
    <xf numFmtId="0" fontId="27" fillId="4" borderId="44" xfId="0" applyFont="1" applyFill="1" applyBorder="1" applyAlignment="1">
      <alignment horizontal="center"/>
    </xf>
    <xf numFmtId="0" fontId="0" fillId="0" borderId="11" xfId="0" applyFont="1" applyBorder="1"/>
    <xf numFmtId="0" fontId="26" fillId="0" borderId="57" xfId="0" applyFont="1" applyFill="1" applyBorder="1"/>
    <xf numFmtId="0" fontId="26" fillId="4" borderId="57" xfId="0" applyFont="1" applyFill="1" applyBorder="1"/>
    <xf numFmtId="0" fontId="76" fillId="0" borderId="1" xfId="0" applyFont="1" applyFill="1" applyBorder="1" applyAlignment="1">
      <alignment horizontal="left"/>
    </xf>
    <xf numFmtId="167" fontId="24" fillId="0" borderId="0" xfId="1" applyNumberFormat="1" applyFont="1" applyFill="1" applyAlignment="1">
      <alignment horizontal="right"/>
    </xf>
    <xf numFmtId="167" fontId="22" fillId="0" borderId="0" xfId="1" applyNumberFormat="1" applyFont="1" applyFill="1" applyAlignment="1"/>
    <xf numFmtId="0" fontId="72" fillId="0" borderId="1" xfId="0" applyFont="1" applyFill="1" applyBorder="1" applyAlignment="1">
      <alignment horizontal="left" vertical="center"/>
    </xf>
    <xf numFmtId="0" fontId="2" fillId="0" borderId="6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166" fontId="2" fillId="0" borderId="1" xfId="1" applyNumberFormat="1" applyFont="1" applyFill="1" applyBorder="1" applyAlignment="1">
      <alignment horizontal="center" vertical="center"/>
    </xf>
    <xf numFmtId="0" fontId="79" fillId="0" borderId="1" xfId="0" applyFont="1" applyFill="1" applyBorder="1" applyAlignment="1">
      <alignment vertical="center"/>
    </xf>
    <xf numFmtId="0" fontId="79" fillId="0" borderId="6" xfId="0" applyFont="1" applyFill="1" applyBorder="1" applyAlignment="1">
      <alignment vertical="center"/>
    </xf>
    <xf numFmtId="0" fontId="2" fillId="0" borderId="1" xfId="0" applyFont="1" applyFill="1" applyBorder="1" applyAlignment="1">
      <alignment horizontal="left" vertical="center"/>
    </xf>
    <xf numFmtId="0" fontId="2" fillId="0" borderId="6" xfId="0" applyFont="1" applyFill="1" applyBorder="1" applyAlignment="1">
      <alignment horizontal="left" vertical="center" wrapText="1"/>
    </xf>
    <xf numFmtId="167" fontId="3" fillId="0" borderId="1" xfId="1" applyNumberFormat="1" applyFont="1" applyFill="1" applyBorder="1" applyAlignment="1">
      <alignment vertical="center"/>
    </xf>
    <xf numFmtId="167" fontId="9" fillId="0" borderId="1" xfId="1" applyNumberFormat="1" applyFont="1" applyFill="1" applyBorder="1" applyAlignment="1">
      <alignment vertical="center" wrapText="1"/>
    </xf>
    <xf numFmtId="0" fontId="80" fillId="0" borderId="1" xfId="0" applyFont="1" applyFill="1" applyBorder="1" applyAlignment="1">
      <alignment horizontal="left" vertical="center"/>
    </xf>
    <xf numFmtId="0" fontId="80" fillId="0" borderId="6" xfId="0" applyFont="1" applyFill="1" applyBorder="1" applyAlignment="1">
      <alignment horizontal="left" vertical="center"/>
    </xf>
    <xf numFmtId="167" fontId="3" fillId="0" borderId="1" xfId="1" applyNumberFormat="1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/>
    </xf>
    <xf numFmtId="0" fontId="3" fillId="0" borderId="6" xfId="0" applyFont="1" applyFill="1" applyBorder="1" applyAlignment="1">
      <alignment horizontal="left" vertical="center"/>
    </xf>
    <xf numFmtId="0" fontId="3" fillId="0" borderId="1" xfId="0" quotePrefix="1" applyFont="1" applyFill="1" applyBorder="1" applyAlignment="1">
      <alignment horizontal="left" vertical="center"/>
    </xf>
    <xf numFmtId="0" fontId="73" fillId="0" borderId="6" xfId="0" applyFont="1" applyFill="1" applyBorder="1" applyAlignment="1">
      <alignment vertical="center"/>
    </xf>
    <xf numFmtId="167" fontId="21" fillId="0" borderId="1" xfId="1" applyNumberFormat="1" applyFont="1" applyFill="1" applyBorder="1" applyAlignment="1">
      <alignment horizontal="center" vertical="center"/>
    </xf>
    <xf numFmtId="167" fontId="22" fillId="0" borderId="1" xfId="1" applyNumberFormat="1" applyFont="1" applyFill="1" applyBorder="1" applyAlignment="1">
      <alignment horizontal="right" vertical="center"/>
    </xf>
    <xf numFmtId="167" fontId="22" fillId="0" borderId="1" xfId="1" applyNumberFormat="1" applyFont="1" applyFill="1" applyBorder="1" applyAlignment="1">
      <alignment vertical="center"/>
    </xf>
    <xf numFmtId="0" fontId="74" fillId="0" borderId="6" xfId="0" applyFont="1" applyFill="1" applyBorder="1" applyAlignment="1">
      <alignment vertical="center"/>
    </xf>
    <xf numFmtId="0" fontId="3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left" vertical="center"/>
    </xf>
    <xf numFmtId="0" fontId="13" fillId="0" borderId="6" xfId="0" applyFont="1" applyFill="1" applyBorder="1" applyAlignment="1">
      <alignment vertical="center"/>
    </xf>
    <xf numFmtId="0" fontId="13" fillId="0" borderId="1" xfId="0" applyFont="1" applyFill="1" applyBorder="1" applyAlignment="1">
      <alignment horizontal="center" vertical="center"/>
    </xf>
    <xf numFmtId="167" fontId="72" fillId="0" borderId="1" xfId="1" applyNumberFormat="1" applyFont="1" applyFill="1" applyBorder="1" applyAlignment="1">
      <alignment horizontal="center" vertical="center"/>
    </xf>
    <xf numFmtId="0" fontId="13" fillId="0" borderId="6" xfId="0" applyFont="1" applyFill="1" applyBorder="1"/>
    <xf numFmtId="0" fontId="75" fillId="0" borderId="6" xfId="0" applyFont="1" applyFill="1" applyBorder="1" applyAlignment="1">
      <alignment vertical="center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167" fontId="3" fillId="0" borderId="1" xfId="1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43" fontId="3" fillId="0" borderId="1" xfId="1" applyNumberFormat="1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justify" vertical="center"/>
    </xf>
    <xf numFmtId="0" fontId="79" fillId="0" borderId="6" xfId="0" applyFont="1" applyFill="1" applyBorder="1" applyAlignment="1"/>
    <xf numFmtId="0" fontId="3" fillId="0" borderId="6" xfId="0" applyFont="1" applyFill="1" applyBorder="1" applyAlignment="1">
      <alignment vertical="center"/>
    </xf>
    <xf numFmtId="0" fontId="3" fillId="0" borderId="6" xfId="0" applyFont="1" applyFill="1" applyBorder="1" applyAlignment="1">
      <alignment vertical="distributed"/>
    </xf>
    <xf numFmtId="0" fontId="9" fillId="0" borderId="1" xfId="0" applyFont="1" applyFill="1" applyBorder="1" applyAlignment="1">
      <alignment horizontal="center"/>
    </xf>
    <xf numFmtId="167" fontId="3" fillId="0" borderId="1" xfId="1" applyNumberFormat="1" applyFont="1" applyFill="1" applyBorder="1" applyAlignment="1">
      <alignment horizontal="center"/>
    </xf>
    <xf numFmtId="167" fontId="2" fillId="0" borderId="1" xfId="1" applyNumberFormat="1" applyFont="1" applyFill="1" applyBorder="1" applyAlignment="1"/>
    <xf numFmtId="167" fontId="35" fillId="5" borderId="0" xfId="0" applyNumberFormat="1" applyFont="1" applyFill="1"/>
    <xf numFmtId="0" fontId="2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3" fillId="0" borderId="6" xfId="0" applyFont="1" applyFill="1" applyBorder="1" applyAlignment="1">
      <alignment horizontal="left" vertical="center" wrapText="1"/>
    </xf>
    <xf numFmtId="167" fontId="24" fillId="0" borderId="1" xfId="1" applyNumberFormat="1" applyFont="1" applyFill="1" applyBorder="1" applyAlignment="1">
      <alignment vertical="center"/>
    </xf>
    <xf numFmtId="0" fontId="13" fillId="3" borderId="9" xfId="0" applyFont="1" applyFill="1" applyBorder="1" applyAlignment="1">
      <alignment horizontal="center" vertical="center"/>
    </xf>
    <xf numFmtId="167" fontId="22" fillId="3" borderId="10" xfId="1" applyNumberFormat="1" applyFont="1" applyFill="1" applyBorder="1" applyAlignment="1">
      <alignment horizontal="right" vertical="center"/>
    </xf>
    <xf numFmtId="167" fontId="24" fillId="3" borderId="11" xfId="1" applyNumberFormat="1" applyFont="1" applyFill="1" applyBorder="1" applyAlignment="1">
      <alignment vertical="center"/>
    </xf>
    <xf numFmtId="0" fontId="24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vertical="center"/>
    </xf>
    <xf numFmtId="0" fontId="13" fillId="0" borderId="1" xfId="0" applyFont="1" applyFill="1" applyBorder="1" applyAlignment="1">
      <alignment horizontal="right" vertical="center"/>
    </xf>
    <xf numFmtId="0" fontId="22" fillId="0" borderId="1" xfId="0" applyFont="1" applyFill="1" applyBorder="1" applyAlignment="1">
      <alignment horizontal="right" vertical="center"/>
    </xf>
    <xf numFmtId="166" fontId="22" fillId="0" borderId="1" xfId="0" applyNumberFormat="1" applyFont="1" applyFill="1" applyBorder="1" applyAlignment="1">
      <alignment vertical="center"/>
    </xf>
    <xf numFmtId="0" fontId="14" fillId="0" borderId="1" xfId="0" applyFont="1" applyFill="1" applyBorder="1" applyAlignment="1">
      <alignment vertical="center"/>
    </xf>
    <xf numFmtId="0" fontId="3" fillId="0" borderId="1" xfId="0" applyFont="1" applyFill="1" applyBorder="1" applyAlignment="1">
      <alignment horizontal="justify" vertical="center"/>
    </xf>
    <xf numFmtId="166" fontId="3" fillId="0" borderId="1" xfId="1" applyNumberFormat="1" applyFont="1" applyFill="1" applyBorder="1" applyAlignment="1"/>
    <xf numFmtId="0" fontId="3" fillId="0" borderId="1" xfId="0" applyFont="1" applyFill="1" applyBorder="1" applyAlignment="1">
      <alignment vertical="distributed"/>
    </xf>
    <xf numFmtId="166" fontId="2" fillId="0" borderId="1" xfId="1" applyNumberFormat="1" applyFont="1" applyFill="1" applyBorder="1" applyAlignment="1"/>
    <xf numFmtId="166" fontId="2" fillId="0" borderId="1" xfId="1" applyNumberFormat="1" applyFont="1" applyFill="1" applyBorder="1" applyAlignment="1">
      <alignment vertical="center"/>
    </xf>
    <xf numFmtId="167" fontId="85" fillId="0" borderId="0" xfId="1" applyNumberFormat="1" applyFont="1" applyFill="1"/>
    <xf numFmtId="0" fontId="13" fillId="0" borderId="9" xfId="0" applyFont="1" applyFill="1" applyBorder="1" applyAlignment="1">
      <alignment horizontal="right" vertical="center"/>
    </xf>
    <xf numFmtId="0" fontId="13" fillId="0" borderId="10" xfId="0" applyFont="1" applyFill="1" applyBorder="1" applyAlignment="1">
      <alignment horizontal="right" vertical="center"/>
    </xf>
    <xf numFmtId="0" fontId="22" fillId="0" borderId="10" xfId="0" applyFont="1" applyFill="1" applyBorder="1" applyAlignment="1">
      <alignment horizontal="right" vertical="center"/>
    </xf>
    <xf numFmtId="166" fontId="22" fillId="0" borderId="5" xfId="0" applyNumberFormat="1" applyFont="1" applyFill="1" applyBorder="1" applyAlignment="1">
      <alignment vertical="center"/>
    </xf>
    <xf numFmtId="0" fontId="2" fillId="0" borderId="14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166" fontId="2" fillId="0" borderId="3" xfId="1" applyNumberFormat="1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right" vertical="center"/>
    </xf>
    <xf numFmtId="0" fontId="13" fillId="0" borderId="12" xfId="0" applyFont="1" applyFill="1" applyBorder="1" applyAlignment="1">
      <alignment horizontal="right" vertical="center"/>
    </xf>
    <xf numFmtId="0" fontId="22" fillId="0" borderId="12" xfId="0" applyFont="1" applyFill="1" applyBorder="1" applyAlignment="1">
      <alignment horizontal="right" vertical="center"/>
    </xf>
    <xf numFmtId="167" fontId="10" fillId="0" borderId="0" xfId="1" applyNumberFormat="1" applyFont="1"/>
    <xf numFmtId="0" fontId="6" fillId="2" borderId="1" xfId="0" applyFont="1" applyFill="1" applyBorder="1" applyAlignment="1">
      <alignment horizontal="center" vertical="center"/>
    </xf>
    <xf numFmtId="167" fontId="6" fillId="0" borderId="1" xfId="1" applyNumberFormat="1" applyFont="1" applyBorder="1" applyAlignment="1">
      <alignment horizontal="center" vertical="center"/>
    </xf>
    <xf numFmtId="167" fontId="29" fillId="3" borderId="12" xfId="1" applyNumberFormat="1" applyFont="1" applyFill="1" applyBorder="1" applyAlignment="1">
      <alignment horizontal="right" vertical="center"/>
    </xf>
    <xf numFmtId="0" fontId="11" fillId="0" borderId="14" xfId="0" applyFont="1" applyBorder="1" applyAlignment="1">
      <alignment horizontal="left"/>
    </xf>
    <xf numFmtId="167" fontId="22" fillId="3" borderId="1" xfId="1" applyNumberFormat="1" applyFont="1" applyFill="1" applyBorder="1" applyAlignment="1">
      <alignment vertical="center"/>
    </xf>
    <xf numFmtId="0" fontId="3" fillId="0" borderId="3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/>
    </xf>
    <xf numFmtId="0" fontId="87" fillId="0" borderId="2" xfId="0" applyFont="1" applyBorder="1" applyAlignment="1">
      <alignment horizontal="left" vertical="center"/>
    </xf>
    <xf numFmtId="0" fontId="6" fillId="2" borderId="6" xfId="0" applyFont="1" applyFill="1" applyBorder="1" applyAlignment="1">
      <alignment horizontal="center" vertical="center"/>
    </xf>
    <xf numFmtId="0" fontId="10" fillId="0" borderId="9" xfId="0" applyFont="1" applyBorder="1" applyAlignment="1">
      <alignment horizontal="left" vertical="distributed"/>
    </xf>
    <xf numFmtId="0" fontId="11" fillId="0" borderId="7" xfId="0" applyFont="1" applyBorder="1" applyAlignment="1">
      <alignment horizontal="left"/>
    </xf>
    <xf numFmtId="167" fontId="3" fillId="0" borderId="10" xfId="1" applyNumberFormat="1" applyFont="1" applyFill="1" applyBorder="1" applyAlignment="1">
      <alignment horizontal="center" vertical="center"/>
    </xf>
    <xf numFmtId="167" fontId="21" fillId="0" borderId="10" xfId="1" applyNumberFormat="1" applyFont="1" applyBorder="1" applyAlignment="1">
      <alignment horizontal="center" vertical="center"/>
    </xf>
    <xf numFmtId="167" fontId="3" fillId="0" borderId="7" xfId="1" applyNumberFormat="1" applyFont="1" applyBorder="1" applyAlignment="1">
      <alignment horizontal="center" vertical="center"/>
    </xf>
    <xf numFmtId="0" fontId="34" fillId="0" borderId="9" xfId="0" applyFont="1" applyFill="1" applyBorder="1" applyAlignment="1">
      <alignment horizontal="left" vertical="center"/>
    </xf>
    <xf numFmtId="0" fontId="10" fillId="0" borderId="9" xfId="0" quotePrefix="1" applyFont="1" applyFill="1" applyBorder="1" applyAlignment="1">
      <alignment horizontal="left" vertical="center"/>
    </xf>
    <xf numFmtId="166" fontId="3" fillId="0" borderId="10" xfId="1" applyNumberFormat="1" applyFont="1" applyFill="1" applyBorder="1" applyAlignment="1">
      <alignment horizontal="center" vertical="center"/>
    </xf>
    <xf numFmtId="166" fontId="3" fillId="0" borderId="10" xfId="1" applyNumberFormat="1" applyFont="1" applyFill="1" applyBorder="1" applyAlignment="1">
      <alignment vertical="center"/>
    </xf>
    <xf numFmtId="167" fontId="0" fillId="0" borderId="0" xfId="1" applyNumberFormat="1" applyFont="1" applyBorder="1"/>
    <xf numFmtId="43" fontId="0" fillId="0" borderId="0" xfId="1" applyNumberFormat="1" applyFont="1" applyBorder="1"/>
    <xf numFmtId="0" fontId="0" fillId="0" borderId="0" xfId="0" applyBorder="1" applyAlignment="1">
      <alignment horizontal="left"/>
    </xf>
    <xf numFmtId="0" fontId="11" fillId="0" borderId="7" xfId="0" applyFont="1" applyBorder="1" applyAlignment="1">
      <alignment horizontal="left" vertical="distributed"/>
    </xf>
    <xf numFmtId="0" fontId="11" fillId="0" borderId="9" xfId="0" applyFont="1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0" fillId="3" borderId="2" xfId="0" applyFill="1" applyBorder="1" applyAlignment="1">
      <alignment horizontal="right" vertical="center"/>
    </xf>
    <xf numFmtId="167" fontId="20" fillId="3" borderId="12" xfId="1" applyNumberFormat="1" applyFont="1" applyFill="1" applyBorder="1" applyAlignment="1">
      <alignment horizontal="right" vertical="center"/>
    </xf>
    <xf numFmtId="0" fontId="10" fillId="0" borderId="10" xfId="0" applyFont="1" applyFill="1" applyBorder="1" applyAlignment="1">
      <alignment horizontal="left" vertical="center" wrapText="1"/>
    </xf>
    <xf numFmtId="0" fontId="0" fillId="0" borderId="0" xfId="0" applyFill="1" applyBorder="1" applyAlignment="1">
      <alignment horizontal="left"/>
    </xf>
    <xf numFmtId="174" fontId="0" fillId="0" borderId="0" xfId="0" applyNumberFormat="1"/>
    <xf numFmtId="0" fontId="11" fillId="0" borderId="9" xfId="0" applyFont="1" applyFill="1" applyBorder="1" applyAlignment="1">
      <alignment horizontal="left" vertical="center"/>
    </xf>
    <xf numFmtId="167" fontId="21" fillId="0" borderId="9" xfId="1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0" fontId="11" fillId="0" borderId="14" xfId="0" applyFont="1" applyFill="1" applyBorder="1" applyAlignment="1">
      <alignment horizontal="left"/>
    </xf>
    <xf numFmtId="0" fontId="11" fillId="0" borderId="7" xfId="0" applyFont="1" applyFill="1" applyBorder="1" applyAlignment="1">
      <alignment horizontal="left"/>
    </xf>
    <xf numFmtId="166" fontId="3" fillId="0" borderId="23" xfId="1" applyNumberFormat="1" applyFont="1" applyFill="1" applyBorder="1" applyAlignment="1"/>
    <xf numFmtId="0" fontId="10" fillId="0" borderId="10" xfId="0" applyFont="1" applyFill="1" applyBorder="1" applyAlignment="1">
      <alignment horizontal="justify" vertical="distributed"/>
    </xf>
    <xf numFmtId="166" fontId="3" fillId="0" borderId="9" xfId="1" applyNumberFormat="1" applyFont="1" applyFill="1" applyBorder="1" applyAlignment="1">
      <alignment vertical="center"/>
    </xf>
    <xf numFmtId="167" fontId="3" fillId="0" borderId="11" xfId="1" applyNumberFormat="1" applyFont="1" applyFill="1" applyBorder="1" applyAlignment="1">
      <alignment horizontal="center" vertical="center" wrapText="1"/>
    </xf>
    <xf numFmtId="0" fontId="10" fillId="2" borderId="10" xfId="0" applyFont="1" applyFill="1" applyBorder="1" applyAlignment="1">
      <alignment horizontal="left" vertical="center" wrapText="1"/>
    </xf>
    <xf numFmtId="166" fontId="24" fillId="3" borderId="1" xfId="0" applyNumberFormat="1" applyFont="1" applyFill="1" applyBorder="1" applyAlignment="1">
      <alignment vertical="center"/>
    </xf>
    <xf numFmtId="166" fontId="22" fillId="3" borderId="1" xfId="0" applyNumberFormat="1" applyFont="1" applyFill="1" applyBorder="1" applyAlignment="1">
      <alignment horizontal="right" vertical="center"/>
    </xf>
    <xf numFmtId="167" fontId="0" fillId="0" borderId="0" xfId="1" applyNumberFormat="1" applyFont="1" applyFill="1" applyBorder="1" applyAlignment="1">
      <alignment vertical="center"/>
    </xf>
    <xf numFmtId="43" fontId="0" fillId="0" borderId="0" xfId="1" applyNumberFormat="1" applyFont="1" applyFill="1" applyBorder="1" applyAlignment="1">
      <alignment vertical="center"/>
    </xf>
    <xf numFmtId="167" fontId="38" fillId="0" borderId="0" xfId="1" applyNumberFormat="1" applyFont="1" applyFill="1" applyBorder="1" applyAlignment="1">
      <alignment vertical="center"/>
    </xf>
    <xf numFmtId="43" fontId="38" fillId="0" borderId="0" xfId="1" applyNumberFormat="1" applyFont="1" applyFill="1" applyBorder="1" applyAlignment="1">
      <alignment vertical="center"/>
    </xf>
    <xf numFmtId="0" fontId="11" fillId="0" borderId="7" xfId="0" applyFont="1" applyFill="1" applyBorder="1" applyAlignment="1">
      <alignment horizontal="left" vertical="center" wrapText="1"/>
    </xf>
    <xf numFmtId="0" fontId="11" fillId="0" borderId="14" xfId="0" applyFont="1" applyFill="1" applyBorder="1" applyAlignment="1">
      <alignment horizontal="left" vertical="center" wrapText="1"/>
    </xf>
    <xf numFmtId="167" fontId="0" fillId="5" borderId="0" xfId="1" applyNumberFormat="1" applyFont="1" applyFill="1" applyBorder="1" applyAlignment="1">
      <alignment vertical="center"/>
    </xf>
    <xf numFmtId="0" fontId="38" fillId="0" borderId="0" xfId="0" applyFont="1" applyBorder="1" applyAlignment="1">
      <alignment vertical="center"/>
    </xf>
    <xf numFmtId="167" fontId="38" fillId="0" borderId="0" xfId="1" applyNumberFormat="1" applyFont="1" applyBorder="1" applyAlignment="1">
      <alignment vertical="center"/>
    </xf>
    <xf numFmtId="43" fontId="38" fillId="0" borderId="0" xfId="1" applyNumberFormat="1" applyFont="1" applyBorder="1" applyAlignment="1">
      <alignment vertical="center"/>
    </xf>
    <xf numFmtId="0" fontId="38" fillId="2" borderId="0" xfId="0" applyFont="1" applyFill="1" applyBorder="1" applyAlignment="1">
      <alignment vertical="center"/>
    </xf>
    <xf numFmtId="166" fontId="3" fillId="0" borderId="7" xfId="1" applyNumberFormat="1" applyFont="1" applyFill="1" applyBorder="1" applyAlignment="1">
      <alignment vertical="center"/>
    </xf>
    <xf numFmtId="167" fontId="3" fillId="0" borderId="0" xfId="1" applyNumberFormat="1" applyFont="1" applyFill="1" applyBorder="1" applyAlignment="1">
      <alignment horizontal="center" vertical="center"/>
    </xf>
    <xf numFmtId="43" fontId="3" fillId="0" borderId="0" xfId="1" applyNumberFormat="1" applyFont="1" applyBorder="1" applyAlignment="1">
      <alignment horizontal="center" vertical="center"/>
    </xf>
    <xf numFmtId="168" fontId="0" fillId="0" borderId="0" xfId="1" applyNumberFormat="1" applyFont="1" applyBorder="1" applyAlignment="1">
      <alignment vertical="center"/>
    </xf>
    <xf numFmtId="43" fontId="3" fillId="0" borderId="10" xfId="1" applyNumberFormat="1" applyFont="1" applyBorder="1" applyAlignment="1">
      <alignment horizontal="center" vertical="center"/>
    </xf>
    <xf numFmtId="167" fontId="0" fillId="2" borderId="0" xfId="0" applyNumberFormat="1" applyFill="1" applyBorder="1" applyAlignment="1">
      <alignment vertical="center"/>
    </xf>
    <xf numFmtId="0" fontId="35" fillId="2" borderId="0" xfId="0" applyFont="1" applyFill="1" applyBorder="1" applyAlignment="1">
      <alignment vertical="center"/>
    </xf>
    <xf numFmtId="0" fontId="35" fillId="0" borderId="0" xfId="0" applyFont="1" applyBorder="1" applyAlignment="1">
      <alignment vertical="center"/>
    </xf>
    <xf numFmtId="0" fontId="60" fillId="0" borderId="27" xfId="0" applyFont="1" applyBorder="1"/>
    <xf numFmtId="167" fontId="60" fillId="0" borderId="1" xfId="1" applyNumberFormat="1" applyFont="1" applyBorder="1" applyAlignment="1">
      <alignment horizontal="center"/>
    </xf>
    <xf numFmtId="167" fontId="60" fillId="0" borderId="28" xfId="1" applyNumberFormat="1" applyFont="1" applyBorder="1" applyAlignment="1">
      <alignment horizontal="center"/>
    </xf>
    <xf numFmtId="167" fontId="60" fillId="0" borderId="0" xfId="0" applyNumberFormat="1" applyFont="1"/>
    <xf numFmtId="0" fontId="30" fillId="0" borderId="17" xfId="0" applyFont="1" applyFill="1" applyBorder="1"/>
    <xf numFmtId="0" fontId="30" fillId="4" borderId="17" xfId="0" applyFont="1" applyFill="1" applyBorder="1"/>
    <xf numFmtId="0" fontId="0" fillId="0" borderId="0" xfId="0" applyFont="1" applyAlignment="1">
      <alignment horizontal="right"/>
    </xf>
    <xf numFmtId="0" fontId="88" fillId="0" borderId="0" xfId="0" applyFont="1" applyAlignment="1">
      <alignment vertical="center"/>
    </xf>
    <xf numFmtId="0" fontId="0" fillId="0" borderId="46" xfId="0" applyBorder="1"/>
    <xf numFmtId="0" fontId="0" fillId="0" borderId="47" xfId="0" applyBorder="1"/>
    <xf numFmtId="0" fontId="0" fillId="0" borderId="48" xfId="0" applyBorder="1"/>
    <xf numFmtId="0" fontId="0" fillId="3" borderId="2" xfId="0" applyFill="1" applyBorder="1" applyAlignment="1"/>
    <xf numFmtId="0" fontId="3" fillId="0" borderId="3" xfId="0" applyFont="1" applyFill="1" applyBorder="1" applyAlignment="1">
      <alignment horizontal="center" wrapText="1"/>
    </xf>
    <xf numFmtId="0" fontId="3" fillId="0" borderId="9" xfId="0" applyFont="1" applyFill="1" applyBorder="1" applyAlignment="1">
      <alignment horizontal="center" wrapText="1"/>
    </xf>
    <xf numFmtId="0" fontId="3" fillId="0" borderId="8" xfId="0" applyFont="1" applyFill="1" applyBorder="1" applyAlignment="1">
      <alignment horizont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/>
    </xf>
    <xf numFmtId="166" fontId="3" fillId="5" borderId="10" xfId="1" applyNumberFormat="1" applyFont="1" applyFill="1" applyBorder="1" applyAlignment="1">
      <alignment vertical="center"/>
    </xf>
    <xf numFmtId="167" fontId="3" fillId="0" borderId="7" xfId="1" applyNumberFormat="1" applyFont="1" applyFill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21" fillId="0" borderId="13" xfId="0" applyFont="1" applyBorder="1" applyAlignment="1">
      <alignment horizontal="center" vertical="center"/>
    </xf>
    <xf numFmtId="0" fontId="21" fillId="0" borderId="3" xfId="0" applyFont="1" applyBorder="1" applyAlignment="1">
      <alignment horizontal="center" vertical="center"/>
    </xf>
    <xf numFmtId="167" fontId="2" fillId="0" borderId="7" xfId="1" applyNumberFormat="1" applyFont="1" applyFill="1" applyBorder="1" applyAlignment="1">
      <alignment horizontal="center" vertical="center"/>
    </xf>
    <xf numFmtId="166" fontId="2" fillId="0" borderId="23" xfId="1" applyNumberFormat="1" applyFont="1" applyFill="1" applyBorder="1" applyAlignment="1">
      <alignment vertical="center"/>
    </xf>
    <xf numFmtId="0" fontId="21" fillId="0" borderId="3" xfId="0" applyFont="1" applyBorder="1" applyAlignment="1">
      <alignment vertical="center"/>
    </xf>
    <xf numFmtId="0" fontId="0" fillId="0" borderId="0" xfId="0" applyFont="1" applyBorder="1" applyAlignment="1">
      <alignment vertical="center"/>
    </xf>
    <xf numFmtId="0" fontId="3" fillId="0" borderId="3" xfId="0" applyFont="1" applyFill="1" applyBorder="1" applyAlignment="1">
      <alignment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20" fillId="3" borderId="2" xfId="0" applyFont="1" applyFill="1" applyBorder="1" applyAlignment="1">
      <alignment vertical="center"/>
    </xf>
    <xf numFmtId="167" fontId="21" fillId="0" borderId="7" xfId="1" applyNumberFormat="1" applyFont="1" applyFill="1" applyBorder="1" applyAlignment="1">
      <alignment horizontal="center" vertical="center"/>
    </xf>
    <xf numFmtId="0" fontId="3" fillId="0" borderId="3" xfId="0" applyFont="1" applyFill="1" applyBorder="1" applyAlignment="1">
      <alignment vertical="center"/>
    </xf>
    <xf numFmtId="167" fontId="3" fillId="0" borderId="3" xfId="1" applyNumberFormat="1" applyFont="1" applyFill="1" applyBorder="1" applyAlignment="1">
      <alignment horizontal="center" vertical="center"/>
    </xf>
    <xf numFmtId="167" fontId="3" fillId="0" borderId="13" xfId="1" applyNumberFormat="1" applyFont="1" applyFill="1" applyBorder="1" applyAlignment="1">
      <alignment horizontal="center" vertical="center"/>
    </xf>
    <xf numFmtId="167" fontId="3" fillId="0" borderId="5" xfId="1" applyNumberFormat="1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166" fontId="3" fillId="0" borderId="13" xfId="1" applyNumberFormat="1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right" vertical="center"/>
    </xf>
    <xf numFmtId="166" fontId="22" fillId="0" borderId="0" xfId="0" applyNumberFormat="1" applyFont="1" applyFill="1" applyBorder="1" applyAlignment="1">
      <alignment vertical="center"/>
    </xf>
    <xf numFmtId="0" fontId="3" fillId="0" borderId="3" xfId="0" applyFont="1" applyBorder="1" applyAlignment="1">
      <alignment vertical="center"/>
    </xf>
    <xf numFmtId="0" fontId="21" fillId="0" borderId="13" xfId="0" applyFont="1" applyBorder="1" applyAlignment="1">
      <alignment vertical="center"/>
    </xf>
    <xf numFmtId="0" fontId="69" fillId="0" borderId="9" xfId="0" quotePrefix="1" applyFont="1" applyBorder="1" applyAlignment="1">
      <alignment vertical="center"/>
    </xf>
    <xf numFmtId="167" fontId="3" fillId="5" borderId="9" xfId="1" applyNumberFormat="1" applyFont="1" applyFill="1" applyBorder="1" applyAlignment="1">
      <alignment horizontal="center" vertical="center" wrapText="1"/>
    </xf>
    <xf numFmtId="49" fontId="11" fillId="0" borderId="0" xfId="0" applyNumberFormat="1" applyFont="1" applyAlignment="1">
      <alignment vertical="center"/>
    </xf>
    <xf numFmtId="0" fontId="10" fillId="0" borderId="8" xfId="0" quotePrefix="1" applyFont="1" applyFill="1" applyBorder="1" applyAlignment="1">
      <alignment horizontal="left" vertical="center"/>
    </xf>
    <xf numFmtId="0" fontId="10" fillId="0" borderId="0" xfId="0" quotePrefix="1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 vertical="center"/>
    </xf>
    <xf numFmtId="0" fontId="11" fillId="0" borderId="0" xfId="0" applyFont="1" applyFill="1" applyBorder="1" applyAlignment="1">
      <alignment vertical="center"/>
    </xf>
    <xf numFmtId="0" fontId="10" fillId="0" borderId="0" xfId="0" applyFont="1" applyFill="1" applyBorder="1" applyAlignment="1">
      <alignment horizontal="justify" vertical="center"/>
    </xf>
    <xf numFmtId="0" fontId="21" fillId="0" borderId="3" xfId="0" applyFont="1" applyFill="1" applyBorder="1" applyAlignment="1">
      <alignment horizontal="center" vertical="center"/>
    </xf>
    <xf numFmtId="167" fontId="21" fillId="0" borderId="10" xfId="1" applyNumberFormat="1" applyFont="1" applyFill="1" applyBorder="1" applyAlignment="1">
      <alignment horizontal="center" vertical="center"/>
    </xf>
    <xf numFmtId="0" fontId="21" fillId="0" borderId="7" xfId="0" applyFont="1" applyBorder="1" applyAlignment="1">
      <alignment vertical="center"/>
    </xf>
    <xf numFmtId="167" fontId="3" fillId="0" borderId="3" xfId="1" applyNumberFormat="1" applyFont="1" applyFill="1" applyBorder="1" applyAlignment="1">
      <alignment horizontal="center" vertical="center"/>
    </xf>
    <xf numFmtId="167" fontId="3" fillId="0" borderId="13" xfId="1" applyNumberFormat="1" applyFont="1" applyFill="1" applyBorder="1" applyAlignment="1">
      <alignment horizontal="center" vertical="center"/>
    </xf>
    <xf numFmtId="167" fontId="3" fillId="0" borderId="5" xfId="1" applyNumberFormat="1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166" fontId="3" fillId="0" borderId="3" xfId="1" applyNumberFormat="1" applyFont="1" applyFill="1" applyBorder="1" applyAlignment="1">
      <alignment horizontal="center" vertical="center"/>
    </xf>
    <xf numFmtId="166" fontId="3" fillId="0" borderId="13" xfId="1" applyNumberFormat="1" applyFont="1" applyFill="1" applyBorder="1" applyAlignment="1">
      <alignment horizontal="center" vertical="center"/>
    </xf>
    <xf numFmtId="166" fontId="3" fillId="0" borderId="5" xfId="1" applyNumberFormat="1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justify"/>
    </xf>
    <xf numFmtId="0" fontId="3" fillId="0" borderId="0" xfId="0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horizontal="center" vertical="center"/>
    </xf>
    <xf numFmtId="0" fontId="53" fillId="0" borderId="0" xfId="0" applyFont="1" applyFill="1" applyBorder="1" applyAlignment="1">
      <alignment vertical="center"/>
    </xf>
    <xf numFmtId="0" fontId="21" fillId="0" borderId="5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3" fillId="0" borderId="23" xfId="0" applyFont="1" applyFill="1" applyBorder="1" applyAlignment="1">
      <alignment horizontal="center" vertical="center" wrapText="1"/>
    </xf>
    <xf numFmtId="0" fontId="10" fillId="0" borderId="9" xfId="0" quotePrefix="1" applyFont="1" applyBorder="1" applyAlignment="1">
      <alignment horizontal="left" vertical="center"/>
    </xf>
    <xf numFmtId="0" fontId="3" fillId="0" borderId="8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21" fillId="0" borderId="14" xfId="0" applyFont="1" applyBorder="1" applyAlignment="1">
      <alignment vertical="center"/>
    </xf>
    <xf numFmtId="0" fontId="21" fillId="0" borderId="8" xfId="0" applyFont="1" applyBorder="1" applyAlignment="1">
      <alignment vertical="center"/>
    </xf>
    <xf numFmtId="0" fontId="21" fillId="0" borderId="8" xfId="0" applyFont="1" applyBorder="1" applyAlignment="1">
      <alignment horizontal="center" vertical="center"/>
    </xf>
    <xf numFmtId="0" fontId="11" fillId="0" borderId="23" xfId="0" applyFont="1" applyFill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1" fillId="0" borderId="0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3" fillId="0" borderId="13" xfId="0" applyFont="1" applyBorder="1" applyAlignment="1">
      <alignment vertical="center"/>
    </xf>
    <xf numFmtId="166" fontId="36" fillId="0" borderId="5" xfId="1" applyNumberFormat="1" applyFont="1" applyFill="1" applyBorder="1" applyAlignment="1">
      <alignment vertical="center"/>
    </xf>
    <xf numFmtId="0" fontId="6" fillId="2" borderId="2" xfId="0" applyFont="1" applyFill="1" applyBorder="1" applyAlignment="1">
      <alignment horizontal="center" vertical="center"/>
    </xf>
    <xf numFmtId="0" fontId="21" fillId="0" borderId="3" xfId="0" applyFont="1" applyBorder="1"/>
    <xf numFmtId="0" fontId="3" fillId="0" borderId="5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167" fontId="21" fillId="0" borderId="8" xfId="1" applyNumberFormat="1" applyFont="1" applyFill="1" applyBorder="1" applyAlignment="1">
      <alignment horizontal="center" vertical="center"/>
    </xf>
    <xf numFmtId="167" fontId="3" fillId="0" borderId="8" xfId="1" applyNumberFormat="1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 wrapText="1"/>
    </xf>
    <xf numFmtId="0" fontId="3" fillId="0" borderId="23" xfId="0" applyFont="1" applyFill="1" applyBorder="1" applyAlignment="1">
      <alignment horizontal="center" vertical="center"/>
    </xf>
    <xf numFmtId="0" fontId="21" fillId="0" borderId="4" xfId="0" applyFont="1" applyBorder="1" applyAlignment="1">
      <alignment horizontal="center" vertical="center"/>
    </xf>
    <xf numFmtId="166" fontId="2" fillId="0" borderId="13" xfId="1" applyNumberFormat="1" applyFont="1" applyFill="1" applyBorder="1" applyAlignment="1">
      <alignment vertical="center"/>
    </xf>
    <xf numFmtId="167" fontId="2" fillId="0" borderId="8" xfId="1" applyNumberFormat="1" applyFont="1" applyFill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166" fontId="6" fillId="0" borderId="1" xfId="1" applyNumberFormat="1" applyFont="1" applyBorder="1" applyAlignment="1">
      <alignment horizontal="center" vertical="center"/>
    </xf>
    <xf numFmtId="0" fontId="10" fillId="0" borderId="8" xfId="0" quotePrefix="1" applyFont="1" applyBorder="1" applyAlignment="1">
      <alignment horizontal="left" vertical="center"/>
    </xf>
    <xf numFmtId="0" fontId="21" fillId="0" borderId="7" xfId="0" applyFont="1" applyBorder="1" applyAlignment="1">
      <alignment horizontal="center" vertical="center"/>
    </xf>
    <xf numFmtId="166" fontId="3" fillId="0" borderId="9" xfId="1" applyNumberFormat="1" applyFont="1" applyBorder="1" applyAlignment="1">
      <alignment horizontal="center" vertical="center"/>
    </xf>
    <xf numFmtId="0" fontId="21" fillId="0" borderId="23" xfId="0" applyFont="1" applyBorder="1" applyAlignment="1">
      <alignment horizontal="center" vertical="center"/>
    </xf>
    <xf numFmtId="0" fontId="21" fillId="0" borderId="14" xfId="0" applyFont="1" applyBorder="1" applyAlignment="1">
      <alignment horizontal="center" vertical="center"/>
    </xf>
    <xf numFmtId="167" fontId="3" fillId="0" borderId="14" xfId="1" applyNumberFormat="1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/>
    </xf>
    <xf numFmtId="0" fontId="73" fillId="0" borderId="3" xfId="0" applyFont="1" applyBorder="1" applyAlignment="1">
      <alignment vertical="center"/>
    </xf>
    <xf numFmtId="0" fontId="3" fillId="0" borderId="11" xfId="0" applyFont="1" applyFill="1" applyBorder="1" applyAlignment="1">
      <alignment horizontal="center" vertical="center" wrapText="1"/>
    </xf>
    <xf numFmtId="0" fontId="73" fillId="0" borderId="13" xfId="0" applyFont="1" applyBorder="1" applyAlignment="1">
      <alignment vertical="center"/>
    </xf>
    <xf numFmtId="0" fontId="73" fillId="0" borderId="23" xfId="0" applyFont="1" applyBorder="1" applyAlignment="1">
      <alignment vertical="center"/>
    </xf>
    <xf numFmtId="0" fontId="89" fillId="0" borderId="1" xfId="0" applyFont="1" applyBorder="1" applyAlignment="1">
      <alignment horizontal="left" vertical="center"/>
    </xf>
    <xf numFmtId="0" fontId="64" fillId="0" borderId="9" xfId="0" applyFont="1" applyFill="1" applyBorder="1" applyAlignment="1">
      <alignment horizontal="left" vertical="center"/>
    </xf>
    <xf numFmtId="0" fontId="64" fillId="0" borderId="10" xfId="0" applyFont="1" applyFill="1" applyBorder="1" applyAlignment="1">
      <alignment horizontal="left" vertical="center"/>
    </xf>
    <xf numFmtId="0" fontId="63" fillId="0" borderId="0" xfId="0" applyFont="1" applyFill="1" applyBorder="1" applyAlignment="1">
      <alignment horizontal="left"/>
    </xf>
    <xf numFmtId="0" fontId="63" fillId="0" borderId="0" xfId="0" applyFont="1" applyFill="1" applyBorder="1"/>
    <xf numFmtId="0" fontId="63" fillId="0" borderId="0" xfId="0" applyFont="1" applyFill="1" applyBorder="1" applyAlignment="1">
      <alignment horizontal="left" vertical="center"/>
    </xf>
    <xf numFmtId="0" fontId="63" fillId="0" borderId="0" xfId="0" applyFont="1" applyFill="1" applyBorder="1" applyAlignment="1">
      <alignment vertical="center"/>
    </xf>
    <xf numFmtId="0" fontId="10" fillId="0" borderId="0" xfId="0" applyFont="1" applyFill="1" applyBorder="1" applyAlignment="1">
      <alignment horizontal="left"/>
    </xf>
    <xf numFmtId="0" fontId="53" fillId="0" borderId="0" xfId="0" applyFont="1" applyFill="1" applyBorder="1" applyAlignment="1">
      <alignment horizontal="left"/>
    </xf>
    <xf numFmtId="0" fontId="53" fillId="0" borderId="0" xfId="0" applyFont="1" applyFill="1" applyBorder="1"/>
    <xf numFmtId="0" fontId="34" fillId="0" borderId="10" xfId="0" applyFont="1" applyFill="1" applyBorder="1" applyAlignment="1">
      <alignment horizontal="left" vertical="center"/>
    </xf>
    <xf numFmtId="166" fontId="6" fillId="0" borderId="3" xfId="1" applyNumberFormat="1" applyFont="1" applyBorder="1" applyAlignment="1">
      <alignment horizontal="center" vertical="center"/>
    </xf>
    <xf numFmtId="167" fontId="3" fillId="0" borderId="3" xfId="1" applyNumberFormat="1" applyFont="1" applyFill="1" applyBorder="1" applyAlignment="1">
      <alignment vertical="center" wrapText="1"/>
    </xf>
    <xf numFmtId="167" fontId="21" fillId="0" borderId="0" xfId="1" applyNumberFormat="1" applyFont="1" applyFill="1" applyBorder="1" applyAlignment="1"/>
    <xf numFmtId="0" fontId="21" fillId="0" borderId="0" xfId="0" applyFont="1" applyFill="1" applyBorder="1" applyAlignment="1">
      <alignment horizontal="center"/>
    </xf>
    <xf numFmtId="0" fontId="72" fillId="0" borderId="0" xfId="0" applyFont="1" applyFill="1" applyBorder="1" applyAlignment="1">
      <alignment horizontal="center"/>
    </xf>
    <xf numFmtId="167" fontId="72" fillId="0" borderId="0" xfId="1" applyNumberFormat="1" applyFont="1" applyFill="1" applyBorder="1"/>
    <xf numFmtId="167" fontId="21" fillId="0" borderId="0" xfId="1" applyNumberFormat="1" applyFont="1" applyFill="1" applyBorder="1" applyAlignment="1">
      <alignment horizontal="right"/>
    </xf>
    <xf numFmtId="167" fontId="72" fillId="0" borderId="0" xfId="1" applyNumberFormat="1" applyFont="1" applyFill="1" applyBorder="1" applyAlignment="1"/>
    <xf numFmtId="0" fontId="3" fillId="0" borderId="0" xfId="0" applyFont="1" applyFill="1" applyBorder="1" applyAlignment="1">
      <alignment horizontal="center"/>
    </xf>
    <xf numFmtId="167" fontId="21" fillId="0" borderId="0" xfId="1" applyNumberFormat="1" applyFont="1" applyFill="1" applyBorder="1"/>
    <xf numFmtId="0" fontId="21" fillId="0" borderId="0" xfId="0" applyFont="1" applyFill="1" applyBorder="1" applyAlignment="1">
      <alignment horizontal="center" vertical="center"/>
    </xf>
    <xf numFmtId="167" fontId="72" fillId="0" borderId="0" xfId="1" applyNumberFormat="1" applyFont="1" applyFill="1" applyBorder="1" applyAlignment="1">
      <alignment horizontal="right" vertical="center"/>
    </xf>
    <xf numFmtId="167" fontId="72" fillId="0" borderId="0" xfId="1" applyNumberFormat="1" applyFont="1" applyFill="1" applyBorder="1" applyAlignment="1">
      <alignment vertical="center"/>
    </xf>
    <xf numFmtId="167" fontId="12" fillId="3" borderId="2" xfId="1" applyNumberFormat="1" applyFont="1" applyFill="1" applyBorder="1" applyAlignment="1">
      <alignment horizontal="center" vertical="center"/>
    </xf>
    <xf numFmtId="167" fontId="12" fillId="3" borderId="12" xfId="1" applyNumberFormat="1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12" fillId="3" borderId="2" xfId="0" applyFont="1" applyFill="1" applyBorder="1" applyAlignment="1">
      <alignment horizontal="right" vertical="center"/>
    </xf>
    <xf numFmtId="0" fontId="29" fillId="3" borderId="12" xfId="0" applyFont="1" applyFill="1" applyBorder="1" applyAlignment="1">
      <alignment horizontal="right" vertical="center"/>
    </xf>
    <xf numFmtId="0" fontId="11" fillId="0" borderId="8" xfId="0" applyFont="1" applyFill="1" applyBorder="1" applyAlignment="1">
      <alignment vertical="center"/>
    </xf>
    <xf numFmtId="0" fontId="11" fillId="0" borderId="4" xfId="0" applyFont="1" applyFill="1" applyBorder="1" applyAlignment="1">
      <alignment vertical="center" wrapText="1"/>
    </xf>
    <xf numFmtId="0" fontId="11" fillId="0" borderId="11" xfId="0" applyFont="1" applyFill="1" applyBorder="1" applyAlignment="1">
      <alignment vertical="center"/>
    </xf>
    <xf numFmtId="0" fontId="3" fillId="0" borderId="13" xfId="0" applyFont="1" applyFill="1" applyBorder="1" applyAlignment="1">
      <alignment vertical="center" wrapText="1"/>
    </xf>
    <xf numFmtId="0" fontId="11" fillId="0" borderId="23" xfId="0" applyFont="1" applyFill="1" applyBorder="1" applyAlignment="1">
      <alignment horizontal="left" vertical="center" wrapText="1"/>
    </xf>
    <xf numFmtId="0" fontId="10" fillId="0" borderId="9" xfId="0" applyFont="1" applyFill="1" applyBorder="1" applyAlignment="1">
      <alignment vertical="center"/>
    </xf>
    <xf numFmtId="0" fontId="10" fillId="0" borderId="4" xfId="0" applyFont="1" applyFill="1" applyBorder="1" applyAlignment="1">
      <alignment vertical="center"/>
    </xf>
    <xf numFmtId="0" fontId="21" fillId="0" borderId="23" xfId="0" applyFont="1" applyFill="1" applyBorder="1" applyAlignment="1">
      <alignment vertical="center"/>
    </xf>
    <xf numFmtId="0" fontId="21" fillId="0" borderId="11" xfId="0" applyFont="1" applyFill="1" applyBorder="1" applyAlignment="1">
      <alignment horizontal="center" vertical="center"/>
    </xf>
    <xf numFmtId="0" fontId="10" fillId="0" borderId="35" xfId="0" applyFont="1" applyFill="1" applyBorder="1" applyAlignment="1">
      <alignment vertical="center"/>
    </xf>
    <xf numFmtId="0" fontId="11" fillId="0" borderId="4" xfId="0" applyFont="1" applyFill="1" applyBorder="1" applyAlignment="1">
      <alignment horizontal="left" vertical="center" wrapText="1"/>
    </xf>
    <xf numFmtId="0" fontId="10" fillId="0" borderId="9" xfId="0" applyFont="1" applyFill="1" applyBorder="1" applyAlignment="1">
      <alignment horizontal="justify" vertical="center"/>
    </xf>
    <xf numFmtId="0" fontId="10" fillId="0" borderId="8" xfId="0" applyFont="1" applyFill="1" applyBorder="1" applyAlignment="1">
      <alignment horizontal="justify" vertical="center"/>
    </xf>
    <xf numFmtId="0" fontId="10" fillId="0" borderId="4" xfId="0" applyFont="1" applyFill="1" applyBorder="1" applyAlignment="1">
      <alignment horizontal="justify" vertical="center"/>
    </xf>
    <xf numFmtId="0" fontId="10" fillId="0" borderId="8" xfId="0" applyFont="1" applyFill="1" applyBorder="1" applyAlignment="1">
      <alignment vertical="center" wrapText="1"/>
    </xf>
    <xf numFmtId="0" fontId="10" fillId="0" borderId="4" xfId="0" applyFont="1" applyFill="1" applyBorder="1" applyAlignment="1">
      <alignment vertical="center" wrapText="1"/>
    </xf>
    <xf numFmtId="0" fontId="10" fillId="0" borderId="11" xfId="0" applyFont="1" applyFill="1" applyBorder="1" applyAlignment="1">
      <alignment vertical="center" wrapText="1"/>
    </xf>
    <xf numFmtId="0" fontId="10" fillId="0" borderId="9" xfId="0" applyFont="1" applyFill="1" applyBorder="1" applyAlignment="1">
      <alignment vertical="distributed"/>
    </xf>
    <xf numFmtId="0" fontId="11" fillId="0" borderId="23" xfId="0" applyFont="1" applyFill="1" applyBorder="1" applyAlignment="1">
      <alignment vertical="center" wrapText="1"/>
    </xf>
    <xf numFmtId="0" fontId="63" fillId="0" borderId="0" xfId="0" applyFont="1" applyFill="1" applyBorder="1" applyAlignment="1">
      <alignment vertical="distributed"/>
    </xf>
    <xf numFmtId="0" fontId="10" fillId="0" borderId="0" xfId="0" quotePrefix="1" applyFont="1" applyFill="1" applyBorder="1" applyAlignment="1">
      <alignment horizontal="left"/>
    </xf>
    <xf numFmtId="0" fontId="21" fillId="0" borderId="0" xfId="0" applyFont="1" applyFill="1" applyBorder="1" applyAlignment="1">
      <alignment vertical="center"/>
    </xf>
    <xf numFmtId="166" fontId="72" fillId="0" borderId="0" xfId="0" applyNumberFormat="1" applyFont="1" applyFill="1" applyBorder="1" applyAlignment="1"/>
    <xf numFmtId="0" fontId="72" fillId="0" borderId="0" xfId="0" applyFont="1" applyFill="1" applyBorder="1" applyAlignment="1">
      <alignment horizontal="right"/>
    </xf>
    <xf numFmtId="0" fontId="76" fillId="0" borderId="14" xfId="0" applyFont="1" applyBorder="1" applyAlignment="1">
      <alignment horizontal="left"/>
    </xf>
    <xf numFmtId="0" fontId="21" fillId="0" borderId="7" xfId="0" applyFont="1" applyBorder="1"/>
    <xf numFmtId="0" fontId="21" fillId="0" borderId="7" xfId="0" applyFont="1" applyBorder="1" applyAlignment="1"/>
    <xf numFmtId="0" fontId="21" fillId="0" borderId="7" xfId="0" applyFont="1" applyBorder="1" applyAlignment="1">
      <alignment horizontal="right"/>
    </xf>
    <xf numFmtId="0" fontId="13" fillId="0" borderId="23" xfId="0" applyFont="1" applyBorder="1" applyAlignment="1"/>
    <xf numFmtId="0" fontId="13" fillId="0" borderId="4" xfId="0" applyFont="1" applyBorder="1" applyAlignment="1"/>
    <xf numFmtId="0" fontId="21" fillId="0" borderId="10" xfId="0" applyFont="1" applyBorder="1"/>
    <xf numFmtId="0" fontId="21" fillId="0" borderId="10" xfId="0" applyFont="1" applyBorder="1" applyAlignment="1"/>
    <xf numFmtId="0" fontId="21" fillId="0" borderId="10" xfId="0" applyFont="1" applyBorder="1" applyAlignment="1">
      <alignment horizontal="right"/>
    </xf>
    <xf numFmtId="0" fontId="13" fillId="0" borderId="11" xfId="0" applyFont="1" applyBorder="1" applyAlignment="1"/>
    <xf numFmtId="0" fontId="89" fillId="0" borderId="2" xfId="0" applyFont="1" applyBorder="1" applyAlignment="1">
      <alignment horizontal="left" vertical="center"/>
    </xf>
    <xf numFmtId="0" fontId="11" fillId="0" borderId="11" xfId="0" applyFont="1" applyBorder="1" applyAlignment="1">
      <alignment vertical="center" wrapText="1"/>
    </xf>
    <xf numFmtId="0" fontId="53" fillId="0" borderId="8" xfId="0" applyFont="1" applyBorder="1" applyAlignment="1">
      <alignment horizontal="left"/>
    </xf>
    <xf numFmtId="0" fontId="53" fillId="0" borderId="0" xfId="0" applyFont="1" applyBorder="1"/>
    <xf numFmtId="0" fontId="53" fillId="0" borderId="8" xfId="0" applyFont="1" applyBorder="1" applyAlignment="1">
      <alignment horizontal="left" vertical="center"/>
    </xf>
    <xf numFmtId="0" fontId="53" fillId="0" borderId="0" xfId="0" applyFont="1" applyBorder="1" applyAlignment="1">
      <alignment vertical="center"/>
    </xf>
    <xf numFmtId="0" fontId="53" fillId="0" borderId="0" xfId="0" applyFont="1" applyBorder="1" applyAlignment="1">
      <alignment horizontal="left" vertical="center"/>
    </xf>
    <xf numFmtId="0" fontId="12" fillId="3" borderId="2" xfId="0" applyFont="1" applyFill="1" applyBorder="1" applyAlignment="1">
      <alignment vertical="center"/>
    </xf>
    <xf numFmtId="0" fontId="3" fillId="5" borderId="5" xfId="0" applyFont="1" applyFill="1" applyBorder="1" applyAlignment="1">
      <alignment horizontal="center" vertical="center" wrapText="1"/>
    </xf>
    <xf numFmtId="0" fontId="76" fillId="0" borderId="14" xfId="0" applyFont="1" applyFill="1" applyBorder="1" applyAlignment="1">
      <alignment horizontal="left"/>
    </xf>
    <xf numFmtId="0" fontId="13" fillId="0" borderId="7" xfId="0" applyFont="1" applyFill="1" applyBorder="1"/>
    <xf numFmtId="0" fontId="13" fillId="0" borderId="7" xfId="0" applyFont="1" applyFill="1" applyBorder="1" applyAlignment="1">
      <alignment horizontal="center"/>
    </xf>
    <xf numFmtId="167" fontId="13" fillId="0" borderId="7" xfId="1" applyNumberFormat="1" applyFont="1" applyFill="1" applyBorder="1" applyAlignment="1">
      <alignment horizontal="right"/>
    </xf>
    <xf numFmtId="167" fontId="13" fillId="0" borderId="23" xfId="1" applyNumberFormat="1" applyFont="1" applyFill="1" applyBorder="1" applyAlignment="1"/>
    <xf numFmtId="167" fontId="13" fillId="0" borderId="4" xfId="1" applyNumberFormat="1" applyFont="1" applyFill="1" applyBorder="1" applyAlignment="1"/>
    <xf numFmtId="0" fontId="76" fillId="0" borderId="9" xfId="0" applyFont="1" applyFill="1" applyBorder="1" applyAlignment="1">
      <alignment horizontal="left"/>
    </xf>
    <xf numFmtId="0" fontId="13" fillId="0" borderId="10" xfId="0" applyFont="1" applyFill="1" applyBorder="1" applyAlignment="1">
      <alignment horizontal="center"/>
    </xf>
    <xf numFmtId="167" fontId="13" fillId="0" borderId="10" xfId="1" applyNumberFormat="1" applyFont="1" applyFill="1" applyBorder="1" applyAlignment="1">
      <alignment horizontal="right"/>
    </xf>
    <xf numFmtId="167" fontId="13" fillId="0" borderId="11" xfId="1" applyNumberFormat="1" applyFont="1" applyFill="1" applyBorder="1" applyAlignment="1"/>
    <xf numFmtId="167" fontId="2" fillId="0" borderId="3" xfId="1" applyNumberFormat="1" applyFont="1" applyFill="1" applyBorder="1" applyAlignment="1">
      <alignment horizontal="center" vertical="center"/>
    </xf>
    <xf numFmtId="0" fontId="10" fillId="0" borderId="9" xfId="0" applyFont="1" applyFill="1" applyBorder="1"/>
    <xf numFmtId="0" fontId="3" fillId="0" borderId="5" xfId="0" applyFont="1" applyBorder="1" applyAlignment="1">
      <alignment horizontal="center"/>
    </xf>
    <xf numFmtId="0" fontId="21" fillId="0" borderId="3" xfId="0" applyFont="1" applyFill="1" applyBorder="1" applyAlignment="1">
      <alignment vertical="center"/>
    </xf>
    <xf numFmtId="167" fontId="3" fillId="0" borderId="3" xfId="1" applyNumberFormat="1" applyFont="1" applyFill="1" applyBorder="1" applyAlignment="1">
      <alignment horizontal="center" vertical="center"/>
    </xf>
    <xf numFmtId="167" fontId="3" fillId="0" borderId="13" xfId="1" applyNumberFormat="1" applyFont="1" applyFill="1" applyBorder="1" applyAlignment="1">
      <alignment horizontal="center" vertical="center"/>
    </xf>
    <xf numFmtId="167" fontId="3" fillId="0" borderId="5" xfId="1" applyNumberFormat="1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167" fontId="13" fillId="7" borderId="0" xfId="1" applyNumberFormat="1" applyFont="1" applyFill="1" applyAlignment="1">
      <alignment vertical="center"/>
    </xf>
    <xf numFmtId="43" fontId="13" fillId="7" borderId="0" xfId="1" applyNumberFormat="1" applyFont="1" applyFill="1" applyAlignment="1">
      <alignment vertical="center"/>
    </xf>
    <xf numFmtId="0" fontId="0" fillId="0" borderId="27" xfId="0" applyFont="1" applyBorder="1" applyAlignment="1">
      <alignment wrapText="1"/>
    </xf>
    <xf numFmtId="3" fontId="0" fillId="0" borderId="0" xfId="0" applyNumberFormat="1"/>
    <xf numFmtId="167" fontId="3" fillId="0" borderId="13" xfId="1" applyNumberFormat="1" applyFont="1" applyFill="1" applyBorder="1" applyAlignment="1">
      <alignment horizontal="center" vertical="center"/>
    </xf>
    <xf numFmtId="167" fontId="3" fillId="0" borderId="5" xfId="1" applyNumberFormat="1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169" fontId="3" fillId="5" borderId="9" xfId="1" applyNumberFormat="1" applyFont="1" applyFill="1" applyBorder="1" applyAlignment="1">
      <alignment horizontal="center" vertical="center" wrapText="1"/>
    </xf>
    <xf numFmtId="171" fontId="3" fillId="0" borderId="5" xfId="1" applyNumberFormat="1" applyFont="1" applyBorder="1" applyAlignment="1">
      <alignment vertical="center"/>
    </xf>
    <xf numFmtId="166" fontId="0" fillId="0" borderId="0" xfId="0" applyNumberFormat="1" applyAlignment="1"/>
    <xf numFmtId="166" fontId="3" fillId="0" borderId="13" xfId="1" applyNumberFormat="1" applyFont="1" applyBorder="1" applyAlignment="1">
      <alignment horizontal="center" vertical="center"/>
    </xf>
    <xf numFmtId="167" fontId="3" fillId="0" borderId="3" xfId="1" applyNumberFormat="1" applyFont="1" applyFill="1" applyBorder="1" applyAlignment="1">
      <alignment horizontal="center" vertical="center"/>
    </xf>
    <xf numFmtId="167" fontId="3" fillId="0" borderId="5" xfId="1" applyNumberFormat="1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166" fontId="3" fillId="0" borderId="13" xfId="1" applyNumberFormat="1" applyFont="1" applyFill="1" applyBorder="1" applyAlignment="1">
      <alignment horizontal="center" vertical="center"/>
    </xf>
    <xf numFmtId="171" fontId="3" fillId="0" borderId="10" xfId="1" applyNumberFormat="1" applyFont="1" applyBorder="1" applyAlignment="1">
      <alignment vertical="center"/>
    </xf>
    <xf numFmtId="0" fontId="3" fillId="0" borderId="7" xfId="0" applyFont="1" applyFill="1" applyBorder="1" applyAlignment="1">
      <alignment horizontal="right" vertical="center" wrapText="1"/>
    </xf>
    <xf numFmtId="0" fontId="3" fillId="0" borderId="10" xfId="0" applyFont="1" applyFill="1" applyBorder="1" applyAlignment="1">
      <alignment horizontal="right" vertical="center" wrapText="1"/>
    </xf>
    <xf numFmtId="167" fontId="3" fillId="0" borderId="7" xfId="1" applyNumberFormat="1" applyFont="1" applyFill="1" applyBorder="1" applyAlignment="1">
      <alignment horizontal="right" vertical="center" wrapText="1"/>
    </xf>
    <xf numFmtId="167" fontId="3" fillId="0" borderId="10" xfId="1" applyNumberFormat="1" applyFont="1" applyFill="1" applyBorder="1" applyAlignment="1">
      <alignment horizontal="right" vertical="center" wrapText="1"/>
    </xf>
    <xf numFmtId="166" fontId="3" fillId="0" borderId="7" xfId="1" applyNumberFormat="1" applyFont="1" applyFill="1" applyBorder="1" applyAlignment="1">
      <alignment horizontal="right" vertical="center"/>
    </xf>
    <xf numFmtId="166" fontId="3" fillId="0" borderId="7" xfId="1" applyNumberFormat="1" applyFont="1" applyBorder="1" applyAlignment="1">
      <alignment horizontal="right" vertical="center"/>
    </xf>
    <xf numFmtId="171" fontId="3" fillId="0" borderId="10" xfId="1" applyNumberFormat="1" applyFont="1" applyBorder="1" applyAlignment="1">
      <alignment horizontal="right" vertical="center"/>
    </xf>
    <xf numFmtId="165" fontId="35" fillId="5" borderId="0" xfId="1" applyNumberFormat="1" applyFont="1" applyFill="1"/>
    <xf numFmtId="43" fontId="0" fillId="0" borderId="0" xfId="1" applyNumberFormat="1" applyFont="1" applyAlignment="1"/>
    <xf numFmtId="166" fontId="38" fillId="0" borderId="0" xfId="0" applyNumberFormat="1" applyFont="1" applyFill="1" applyBorder="1" applyAlignment="1">
      <alignment vertical="center"/>
    </xf>
    <xf numFmtId="166" fontId="38" fillId="0" borderId="0" xfId="0" applyNumberFormat="1" applyFont="1" applyBorder="1" applyAlignment="1">
      <alignment vertical="center"/>
    </xf>
    <xf numFmtId="43" fontId="3" fillId="0" borderId="10" xfId="1" applyNumberFormat="1" applyFont="1" applyBorder="1" applyAlignment="1">
      <alignment horizontal="right" vertical="center"/>
    </xf>
    <xf numFmtId="0" fontId="7" fillId="0" borderId="0" xfId="0" applyFont="1" applyFill="1" applyBorder="1" applyAlignment="1">
      <alignment horizontal="left" vertical="center"/>
    </xf>
    <xf numFmtId="0" fontId="0" fillId="0" borderId="2" xfId="0" applyFill="1" applyBorder="1" applyAlignment="1">
      <alignment vertical="center"/>
    </xf>
    <xf numFmtId="0" fontId="7" fillId="0" borderId="0" xfId="0" applyFont="1" applyFill="1" applyBorder="1" applyAlignment="1">
      <alignment horizontal="left"/>
    </xf>
    <xf numFmtId="167" fontId="3" fillId="0" borderId="13" xfId="1" applyNumberFormat="1" applyFont="1" applyFill="1" applyBorder="1" applyAlignment="1">
      <alignment horizontal="center" vertical="center" wrapText="1"/>
    </xf>
    <xf numFmtId="167" fontId="3" fillId="0" borderId="5" xfId="1" applyNumberFormat="1" applyFont="1" applyFill="1" applyBorder="1" applyAlignment="1">
      <alignment horizontal="center" vertical="center" wrapText="1"/>
    </xf>
    <xf numFmtId="167" fontId="3" fillId="0" borderId="3" xfId="1" applyNumberFormat="1" applyFont="1" applyFill="1" applyBorder="1" applyAlignment="1">
      <alignment horizontal="center" vertical="center"/>
    </xf>
    <xf numFmtId="167" fontId="3" fillId="0" borderId="13" xfId="1" applyNumberFormat="1" applyFont="1" applyFill="1" applyBorder="1" applyAlignment="1">
      <alignment horizontal="center" vertical="center"/>
    </xf>
    <xf numFmtId="167" fontId="3" fillId="0" borderId="5" xfId="1" applyNumberFormat="1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167" fontId="90" fillId="0" borderId="0" xfId="1" applyNumberFormat="1" applyFont="1" applyFill="1" applyAlignment="1">
      <alignment vertical="center"/>
    </xf>
    <xf numFmtId="170" fontId="90" fillId="0" borderId="0" xfId="0" applyNumberFormat="1" applyFont="1" applyAlignment="1">
      <alignment vertical="center"/>
    </xf>
    <xf numFmtId="167" fontId="30" fillId="4" borderId="0" xfId="1" applyNumberFormat="1" applyFont="1" applyFill="1" applyBorder="1" applyAlignment="1">
      <alignment horizontal="center"/>
    </xf>
    <xf numFmtId="178" fontId="0" fillId="0" borderId="1" xfId="0" applyNumberFormat="1" applyBorder="1"/>
    <xf numFmtId="164" fontId="0" fillId="0" borderId="1" xfId="0" applyNumberFormat="1" applyBorder="1"/>
    <xf numFmtId="177" fontId="0" fillId="0" borderId="1" xfId="0" applyNumberFormat="1" applyBorder="1"/>
    <xf numFmtId="168" fontId="0" fillId="5" borderId="0" xfId="1" applyNumberFormat="1" applyFont="1" applyFill="1"/>
    <xf numFmtId="176" fontId="0" fillId="0" borderId="5" xfId="0" applyNumberFormat="1" applyBorder="1"/>
    <xf numFmtId="0" fontId="61" fillId="10" borderId="1" xfId="0" applyFont="1" applyFill="1" applyBorder="1" applyAlignment="1">
      <alignment horizontal="center"/>
    </xf>
    <xf numFmtId="0" fontId="61" fillId="10" borderId="1" xfId="0" applyFont="1" applyFill="1" applyBorder="1" applyAlignment="1"/>
    <xf numFmtId="0" fontId="72" fillId="0" borderId="0" xfId="0" applyFont="1" applyBorder="1"/>
    <xf numFmtId="0" fontId="10" fillId="2" borderId="9" xfId="0" applyFont="1" applyFill="1" applyBorder="1"/>
    <xf numFmtId="167" fontId="3" fillId="0" borderId="13" xfId="1" applyNumberFormat="1" applyFont="1" applyBorder="1" applyAlignment="1">
      <alignment horizontal="left"/>
    </xf>
    <xf numFmtId="0" fontId="10" fillId="0" borderId="14" xfId="0" applyFont="1" applyBorder="1"/>
    <xf numFmtId="0" fontId="3" fillId="0" borderId="13" xfId="0" applyFont="1" applyFill="1" applyBorder="1" applyAlignment="1">
      <alignment horizontal="center" vertical="center"/>
    </xf>
    <xf numFmtId="0" fontId="10" fillId="10" borderId="0" xfId="0" applyFont="1" applyFill="1" applyBorder="1" applyAlignment="1">
      <alignment horizontal="left" vertical="center"/>
    </xf>
    <xf numFmtId="166" fontId="3" fillId="10" borderId="13" xfId="1" applyNumberFormat="1" applyFont="1" applyFill="1" applyBorder="1" applyAlignment="1">
      <alignment vertical="center"/>
    </xf>
    <xf numFmtId="0" fontId="10" fillId="10" borderId="8" xfId="0" applyFont="1" applyFill="1" applyBorder="1" applyAlignment="1">
      <alignment horizontal="left" vertical="center"/>
    </xf>
    <xf numFmtId="0" fontId="21" fillId="10" borderId="13" xfId="0" applyFont="1" applyFill="1" applyBorder="1" applyAlignment="1">
      <alignment horizontal="center" vertical="center"/>
    </xf>
    <xf numFmtId="166" fontId="3" fillId="10" borderId="4" xfId="1" applyNumberFormat="1" applyFont="1" applyFill="1" applyBorder="1" applyAlignment="1">
      <alignment vertical="center"/>
    </xf>
    <xf numFmtId="167" fontId="3" fillId="10" borderId="0" xfId="1" applyNumberFormat="1" applyFont="1" applyFill="1" applyBorder="1" applyAlignment="1">
      <alignment horizontal="center" vertical="center"/>
    </xf>
    <xf numFmtId="167" fontId="21" fillId="10" borderId="0" xfId="1" applyNumberFormat="1" applyFont="1" applyFill="1" applyBorder="1" applyAlignment="1">
      <alignment horizontal="center" vertical="center"/>
    </xf>
    <xf numFmtId="0" fontId="13" fillId="0" borderId="0" xfId="0" applyFont="1" applyAlignment="1">
      <alignment horizontal="justify" vertical="center"/>
    </xf>
    <xf numFmtId="0" fontId="66" fillId="0" borderId="8" xfId="0" applyFont="1" applyBorder="1" applyAlignment="1">
      <alignment horizontal="center"/>
    </xf>
    <xf numFmtId="0" fontId="13" fillId="0" borderId="8" xfId="0" applyFont="1" applyBorder="1" applyAlignment="1">
      <alignment horizontal="center"/>
    </xf>
    <xf numFmtId="0" fontId="13" fillId="0" borderId="9" xfId="0" applyFont="1" applyBorder="1" applyAlignment="1">
      <alignment horizontal="center"/>
    </xf>
    <xf numFmtId="0" fontId="13" fillId="2" borderId="0" xfId="0" applyFont="1" applyFill="1" applyAlignment="1">
      <alignment wrapText="1"/>
    </xf>
    <xf numFmtId="0" fontId="66" fillId="2" borderId="0" xfId="0" applyFont="1" applyFill="1" applyAlignment="1">
      <alignment vertical="center"/>
    </xf>
    <xf numFmtId="0" fontId="66" fillId="0" borderId="0" xfId="0" applyFont="1" applyAlignment="1">
      <alignment vertical="center"/>
    </xf>
    <xf numFmtId="0" fontId="22" fillId="2" borderId="0" xfId="0" applyFont="1" applyFill="1" applyAlignment="1">
      <alignment vertical="center"/>
    </xf>
    <xf numFmtId="0" fontId="66" fillId="0" borderId="0" xfId="0" applyFont="1" applyFill="1" applyAlignment="1">
      <alignment vertical="center" wrapText="1"/>
    </xf>
    <xf numFmtId="0" fontId="85" fillId="2" borderId="0" xfId="0" applyFont="1" applyFill="1" applyAlignment="1">
      <alignment vertical="center"/>
    </xf>
    <xf numFmtId="0" fontId="85" fillId="0" borderId="0" xfId="0" applyFont="1" applyAlignment="1">
      <alignment vertical="center"/>
    </xf>
    <xf numFmtId="0" fontId="13" fillId="0" borderId="0" xfId="0" applyFont="1" applyAlignment="1">
      <alignment horizontal="left"/>
    </xf>
    <xf numFmtId="0" fontId="13" fillId="0" borderId="0" xfId="0" applyFont="1" applyAlignment="1">
      <alignment horizontal="center"/>
    </xf>
    <xf numFmtId="0" fontId="13" fillId="0" borderId="0" xfId="0" applyFont="1" applyAlignment="1"/>
    <xf numFmtId="0" fontId="66" fillId="0" borderId="8" xfId="0" applyFont="1" applyBorder="1" applyAlignment="1">
      <alignment horizontal="left"/>
    </xf>
    <xf numFmtId="0" fontId="22" fillId="0" borderId="8" xfId="0" applyFont="1" applyBorder="1" applyAlignment="1"/>
    <xf numFmtId="0" fontId="52" fillId="2" borderId="1" xfId="0" applyFont="1" applyFill="1" applyBorder="1" applyAlignment="1">
      <alignment horizontal="center" vertical="center" wrapText="1"/>
    </xf>
    <xf numFmtId="167" fontId="13" fillId="3" borderId="12" xfId="1" applyNumberFormat="1" applyFont="1" applyFill="1" applyBorder="1" applyAlignment="1">
      <alignment horizontal="center" vertical="center"/>
    </xf>
    <xf numFmtId="0" fontId="66" fillId="0" borderId="0" xfId="0" applyFont="1" applyBorder="1" applyAlignment="1">
      <alignment wrapText="1"/>
    </xf>
    <xf numFmtId="0" fontId="13" fillId="0" borderId="0" xfId="0" applyFont="1" applyBorder="1" applyAlignment="1">
      <alignment wrapText="1"/>
    </xf>
    <xf numFmtId="0" fontId="13" fillId="0" borderId="0" xfId="0" applyFont="1" applyAlignment="1">
      <alignment wrapText="1"/>
    </xf>
    <xf numFmtId="3" fontId="52" fillId="0" borderId="0" xfId="0" applyNumberFormat="1" applyFont="1" applyBorder="1" applyAlignment="1">
      <alignment horizontal="right"/>
    </xf>
    <xf numFmtId="3" fontId="66" fillId="0" borderId="4" xfId="0" applyNumberFormat="1" applyFont="1" applyBorder="1" applyAlignment="1">
      <alignment horizontal="right"/>
    </xf>
    <xf numFmtId="3" fontId="22" fillId="0" borderId="0" xfId="0" applyNumberFormat="1" applyFont="1" applyBorder="1" applyAlignment="1">
      <alignment horizontal="right"/>
    </xf>
    <xf numFmtId="3" fontId="13" fillId="0" borderId="4" xfId="0" applyNumberFormat="1" applyFont="1" applyBorder="1" applyAlignment="1">
      <alignment horizontal="right"/>
    </xf>
    <xf numFmtId="3" fontId="84" fillId="0" borderId="0" xfId="0" applyNumberFormat="1" applyFont="1" applyFill="1" applyBorder="1" applyAlignment="1">
      <alignment horizontal="right"/>
    </xf>
    <xf numFmtId="3" fontId="85" fillId="0" borderId="4" xfId="0" applyNumberFormat="1" applyFont="1" applyFill="1" applyBorder="1" applyAlignment="1">
      <alignment horizontal="right"/>
    </xf>
    <xf numFmtId="3" fontId="52" fillId="2" borderId="1" xfId="0" applyNumberFormat="1" applyFont="1" applyFill="1" applyBorder="1" applyAlignment="1">
      <alignment horizontal="center" vertical="center" wrapText="1"/>
    </xf>
    <xf numFmtId="3" fontId="22" fillId="3" borderId="1" xfId="0" applyNumberFormat="1" applyFont="1" applyFill="1" applyBorder="1" applyAlignment="1">
      <alignment vertical="center"/>
    </xf>
    <xf numFmtId="3" fontId="13" fillId="0" borderId="0" xfId="0" applyNumberFormat="1" applyFont="1"/>
    <xf numFmtId="3" fontId="13" fillId="0" borderId="0" xfId="0" applyNumberFormat="1" applyFont="1" applyAlignment="1"/>
    <xf numFmtId="3" fontId="22" fillId="0" borderId="0" xfId="0" applyNumberFormat="1" applyFont="1" applyAlignment="1">
      <alignment horizontal="right"/>
    </xf>
    <xf numFmtId="0" fontId="66" fillId="0" borderId="41" xfId="0" applyFont="1" applyBorder="1" applyAlignment="1">
      <alignment vertical="center" wrapText="1"/>
    </xf>
    <xf numFmtId="0" fontId="66" fillId="0" borderId="41" xfId="0" applyFont="1" applyFill="1" applyBorder="1" applyAlignment="1">
      <alignment horizontal="center" vertical="center" wrapText="1"/>
    </xf>
    <xf numFmtId="167" fontId="66" fillId="0" borderId="41" xfId="1" applyNumberFormat="1" applyFont="1" applyFill="1" applyBorder="1" applyAlignment="1">
      <alignment horizontal="center" vertical="center" wrapText="1"/>
    </xf>
    <xf numFmtId="3" fontId="66" fillId="0" borderId="41" xfId="0" applyNumberFormat="1" applyFont="1" applyFill="1" applyBorder="1" applyAlignment="1">
      <alignment vertical="center" wrapText="1"/>
    </xf>
    <xf numFmtId="3" fontId="66" fillId="0" borderId="41" xfId="1" applyNumberFormat="1" applyFont="1" applyFill="1" applyBorder="1" applyAlignment="1">
      <alignment vertical="center"/>
    </xf>
    <xf numFmtId="0" fontId="66" fillId="0" borderId="34" xfId="0" applyFont="1" applyBorder="1" applyAlignment="1">
      <alignment vertical="center" wrapText="1"/>
    </xf>
    <xf numFmtId="0" fontId="66" fillId="0" borderId="34" xfId="0" applyFont="1" applyFill="1" applyBorder="1" applyAlignment="1">
      <alignment horizontal="center" vertical="center" wrapText="1"/>
    </xf>
    <xf numFmtId="167" fontId="66" fillId="0" borderId="34" xfId="1" applyNumberFormat="1" applyFont="1" applyFill="1" applyBorder="1" applyAlignment="1">
      <alignment horizontal="center" vertical="center" wrapText="1"/>
    </xf>
    <xf numFmtId="3" fontId="66" fillId="0" borderId="34" xfId="1" applyNumberFormat="1" applyFont="1" applyFill="1" applyBorder="1" applyAlignment="1">
      <alignment vertical="center"/>
    </xf>
    <xf numFmtId="0" fontId="66" fillId="0" borderId="41" xfId="0" applyFont="1" applyBorder="1" applyAlignment="1">
      <alignment horizontal="left" vertical="center" wrapText="1"/>
    </xf>
    <xf numFmtId="166" fontId="66" fillId="0" borderId="41" xfId="1" applyNumberFormat="1" applyFont="1" applyBorder="1" applyAlignment="1">
      <alignment vertical="center"/>
    </xf>
    <xf numFmtId="3" fontId="66" fillId="0" borderId="41" xfId="1" applyNumberFormat="1" applyFont="1" applyBorder="1" applyAlignment="1">
      <alignment vertical="center"/>
    </xf>
    <xf numFmtId="0" fontId="66" fillId="0" borderId="33" xfId="0" applyFont="1" applyBorder="1" applyAlignment="1">
      <alignment horizontal="left" vertical="center" wrapText="1"/>
    </xf>
    <xf numFmtId="0" fontId="66" fillId="0" borderId="33" xfId="0" applyFont="1" applyFill="1" applyBorder="1" applyAlignment="1">
      <alignment horizontal="center" vertical="center" wrapText="1"/>
    </xf>
    <xf numFmtId="167" fontId="66" fillId="0" borderId="33" xfId="1" applyNumberFormat="1" applyFont="1" applyFill="1" applyBorder="1" applyAlignment="1">
      <alignment horizontal="center" vertical="center" wrapText="1"/>
    </xf>
    <xf numFmtId="3" fontId="66" fillId="0" borderId="33" xfId="1" applyNumberFormat="1" applyFont="1" applyFill="1" applyBorder="1" applyAlignment="1">
      <alignment vertical="center"/>
    </xf>
    <xf numFmtId="0" fontId="66" fillId="0" borderId="33" xfId="0" applyFont="1" applyFill="1" applyBorder="1" applyAlignment="1">
      <alignment horizontal="left" vertical="center" wrapText="1"/>
    </xf>
    <xf numFmtId="0" fontId="66" fillId="0" borderId="34" xfId="0" applyFont="1" applyFill="1" applyBorder="1" applyAlignment="1">
      <alignment horizontal="left" vertical="center" wrapText="1"/>
    </xf>
    <xf numFmtId="0" fontId="66" fillId="0" borderId="33" xfId="0" applyFont="1" applyFill="1" applyBorder="1" applyAlignment="1">
      <alignment horizontal="left" vertical="center"/>
    </xf>
    <xf numFmtId="0" fontId="66" fillId="0" borderId="34" xfId="0" applyFont="1" applyFill="1" applyBorder="1" applyAlignment="1">
      <alignment horizontal="left" vertical="center"/>
    </xf>
    <xf numFmtId="0" fontId="66" fillId="0" borderId="41" xfId="0" applyFont="1" applyBorder="1" applyAlignment="1">
      <alignment horizontal="left" vertical="center"/>
    </xf>
    <xf numFmtId="0" fontId="66" fillId="0" borderId="41" xfId="0" applyFont="1" applyBorder="1" applyAlignment="1">
      <alignment horizontal="center" vertical="center"/>
    </xf>
    <xf numFmtId="0" fontId="66" fillId="0" borderId="33" xfId="0" applyFont="1" applyBorder="1" applyAlignment="1">
      <alignment horizontal="left" vertical="center"/>
    </xf>
    <xf numFmtId="0" fontId="66" fillId="0" borderId="33" xfId="0" applyFont="1" applyBorder="1" applyAlignment="1">
      <alignment horizontal="center" vertical="center"/>
    </xf>
    <xf numFmtId="167" fontId="66" fillId="0" borderId="33" xfId="1" applyNumberFormat="1" applyFont="1" applyBorder="1" applyAlignment="1">
      <alignment horizontal="center" vertical="center"/>
    </xf>
    <xf numFmtId="3" fontId="66" fillId="0" borderId="33" xfId="1" applyNumberFormat="1" applyFont="1" applyBorder="1" applyAlignment="1">
      <alignment vertical="center"/>
    </xf>
    <xf numFmtId="167" fontId="66" fillId="0" borderId="33" xfId="1" applyNumberFormat="1" applyFont="1" applyFill="1" applyBorder="1" applyAlignment="1">
      <alignment horizontal="center" vertical="center"/>
    </xf>
    <xf numFmtId="0" fontId="13" fillId="0" borderId="33" xfId="0" applyFont="1" applyBorder="1" applyAlignment="1">
      <alignment horizontal="center" vertical="center"/>
    </xf>
    <xf numFmtId="167" fontId="13" fillId="0" borderId="33" xfId="1" applyNumberFormat="1" applyFont="1" applyBorder="1" applyAlignment="1">
      <alignment horizontal="center" vertical="center"/>
    </xf>
    <xf numFmtId="43" fontId="66" fillId="0" borderId="33" xfId="1" applyNumberFormat="1" applyFont="1" applyBorder="1" applyAlignment="1">
      <alignment horizontal="center" vertical="center"/>
    </xf>
    <xf numFmtId="0" fontId="92" fillId="0" borderId="33" xfId="0" applyFont="1" applyBorder="1" applyAlignment="1">
      <alignment vertical="center"/>
    </xf>
    <xf numFmtId="0" fontId="66" fillId="0" borderId="34" xfId="0" applyFont="1" applyBorder="1" applyAlignment="1">
      <alignment horizontal="left" vertical="center"/>
    </xf>
    <xf numFmtId="0" fontId="66" fillId="0" borderId="34" xfId="0" applyFont="1" applyBorder="1" applyAlignment="1">
      <alignment horizontal="left" vertical="center" wrapText="1"/>
    </xf>
    <xf numFmtId="167" fontId="13" fillId="0" borderId="34" xfId="1" applyNumberFormat="1" applyFont="1" applyBorder="1" applyAlignment="1">
      <alignment horizontal="center" vertical="center"/>
    </xf>
    <xf numFmtId="3" fontId="66" fillId="0" borderId="34" xfId="1" applyNumberFormat="1" applyFont="1" applyBorder="1" applyAlignment="1">
      <alignment vertical="center"/>
    </xf>
    <xf numFmtId="0" fontId="66" fillId="0" borderId="33" xfId="0" applyFont="1" applyFill="1" applyBorder="1" applyAlignment="1">
      <alignment horizontal="center" vertical="center"/>
    </xf>
    <xf numFmtId="3" fontId="66" fillId="0" borderId="33" xfId="1" applyNumberFormat="1" applyFont="1" applyFill="1" applyBorder="1" applyAlignment="1">
      <alignment vertical="center" wrapText="1"/>
    </xf>
    <xf numFmtId="0" fontId="66" fillId="0" borderId="34" xfId="0" applyFont="1" applyBorder="1" applyAlignment="1">
      <alignment horizontal="center" vertical="center"/>
    </xf>
    <xf numFmtId="167" fontId="66" fillId="0" borderId="34" xfId="1" applyNumberFormat="1" applyFont="1" applyFill="1" applyBorder="1" applyAlignment="1">
      <alignment horizontal="center" vertical="center"/>
    </xf>
    <xf numFmtId="166" fontId="66" fillId="0" borderId="33" xfId="1" applyNumberFormat="1" applyFont="1" applyFill="1" applyBorder="1" applyAlignment="1">
      <alignment vertical="center"/>
    </xf>
    <xf numFmtId="0" fontId="66" fillId="0" borderId="33" xfId="0" applyFont="1" applyBorder="1" applyAlignment="1">
      <alignment vertical="center"/>
    </xf>
    <xf numFmtId="0" fontId="66" fillId="0" borderId="41" xfId="0" applyFont="1" applyFill="1" applyBorder="1" applyAlignment="1">
      <alignment horizontal="left" vertical="center"/>
    </xf>
    <xf numFmtId="0" fontId="66" fillId="0" borderId="41" xfId="0" applyFont="1" applyFill="1" applyBorder="1" applyAlignment="1">
      <alignment horizontal="left" vertical="center" wrapText="1"/>
    </xf>
    <xf numFmtId="0" fontId="66" fillId="0" borderId="41" xfId="0" applyFont="1" applyFill="1" applyBorder="1" applyAlignment="1">
      <alignment horizontal="center" vertical="center"/>
    </xf>
    <xf numFmtId="167" fontId="66" fillId="0" borderId="41" xfId="1" applyNumberFormat="1" applyFont="1" applyFill="1" applyBorder="1" applyAlignment="1">
      <alignment horizontal="center" vertical="center"/>
    </xf>
    <xf numFmtId="0" fontId="66" fillId="2" borderId="34" xfId="0" applyFont="1" applyFill="1" applyBorder="1" applyAlignment="1">
      <alignment horizontal="left" vertical="center"/>
    </xf>
    <xf numFmtId="0" fontId="66" fillId="2" borderId="34" xfId="0" applyFont="1" applyFill="1" applyBorder="1" applyAlignment="1">
      <alignment horizontal="left" vertical="center" wrapText="1"/>
    </xf>
    <xf numFmtId="167" fontId="66" fillId="0" borderId="34" xfId="1" applyNumberFormat="1" applyFont="1" applyBorder="1" applyAlignment="1">
      <alignment horizontal="center" vertical="center"/>
    </xf>
    <xf numFmtId="0" fontId="92" fillId="0" borderId="41" xfId="0" applyFont="1" applyBorder="1" applyAlignment="1">
      <alignment vertical="center"/>
    </xf>
    <xf numFmtId="166" fontId="66" fillId="0" borderId="33" xfId="1" applyNumberFormat="1" applyFont="1" applyFill="1" applyBorder="1" applyAlignment="1">
      <alignment horizontal="center" vertical="center"/>
    </xf>
    <xf numFmtId="166" fontId="66" fillId="0" borderId="33" xfId="1" applyNumberFormat="1" applyFont="1" applyBorder="1" applyAlignment="1">
      <alignment vertical="center"/>
    </xf>
    <xf numFmtId="166" fontId="66" fillId="0" borderId="33" xfId="1" applyNumberFormat="1" applyFont="1" applyBorder="1" applyAlignment="1">
      <alignment horizontal="center" vertical="center"/>
    </xf>
    <xf numFmtId="0" fontId="66" fillId="0" borderId="34" xfId="0" applyFont="1" applyFill="1" applyBorder="1" applyAlignment="1">
      <alignment horizontal="center" vertical="center"/>
    </xf>
    <xf numFmtId="166" fontId="66" fillId="0" borderId="34" xfId="1" applyNumberFormat="1" applyFont="1" applyBorder="1" applyAlignment="1">
      <alignment vertical="center"/>
    </xf>
    <xf numFmtId="0" fontId="66" fillId="0" borderId="2" xfId="0" quotePrefix="1" applyFont="1" applyFill="1" applyBorder="1" applyAlignment="1">
      <alignment horizontal="left" vertical="center"/>
    </xf>
    <xf numFmtId="0" fontId="52" fillId="0" borderId="12" xfId="0" applyFont="1" applyFill="1" applyBorder="1" applyAlignment="1">
      <alignment vertical="center" wrapText="1"/>
    </xf>
    <xf numFmtId="0" fontId="13" fillId="3" borderId="12" xfId="0" applyFont="1" applyFill="1" applyBorder="1" applyAlignment="1">
      <alignment horizontal="center" vertical="center"/>
    </xf>
    <xf numFmtId="3" fontId="13" fillId="3" borderId="6" xfId="0" applyNumberFormat="1" applyFont="1" applyFill="1" applyBorder="1" applyAlignment="1">
      <alignment horizontal="right" vertical="center"/>
    </xf>
    <xf numFmtId="3" fontId="66" fillId="0" borderId="41" xfId="1" applyNumberFormat="1" applyFont="1" applyBorder="1" applyAlignment="1">
      <alignment vertical="center" wrapText="1"/>
    </xf>
    <xf numFmtId="3" fontId="66" fillId="0" borderId="33" xfId="1" applyNumberFormat="1" applyFont="1" applyBorder="1" applyAlignment="1">
      <alignment vertical="center" wrapText="1"/>
    </xf>
    <xf numFmtId="0" fontId="52" fillId="2" borderId="1" xfId="0" applyFont="1" applyFill="1" applyBorder="1" applyAlignment="1">
      <alignment horizontal="left" vertical="center" wrapText="1"/>
    </xf>
    <xf numFmtId="3" fontId="66" fillId="0" borderId="40" xfId="1" applyNumberFormat="1" applyFont="1" applyBorder="1" applyAlignment="1">
      <alignment vertical="center"/>
    </xf>
    <xf numFmtId="0" fontId="21" fillId="0" borderId="33" xfId="0" applyFont="1" applyBorder="1" applyAlignment="1">
      <alignment horizontal="left" vertical="center"/>
    </xf>
    <xf numFmtId="0" fontId="93" fillId="0" borderId="33" xfId="0" applyFont="1" applyBorder="1" applyAlignment="1">
      <alignment horizontal="left" vertical="center" wrapText="1"/>
    </xf>
    <xf numFmtId="0" fontId="21" fillId="0" borderId="33" xfId="0" applyFont="1" applyBorder="1" applyAlignment="1">
      <alignment horizontal="center" vertical="center"/>
    </xf>
    <xf numFmtId="3" fontId="21" fillId="0" borderId="33" xfId="0" applyNumberFormat="1" applyFont="1" applyBorder="1" applyAlignment="1">
      <alignment horizontal="left" vertical="center"/>
    </xf>
    <xf numFmtId="0" fontId="93" fillId="0" borderId="33" xfId="0" applyFont="1" applyBorder="1" applyAlignment="1">
      <alignment horizontal="left" vertical="center"/>
    </xf>
    <xf numFmtId="0" fontId="94" fillId="0" borderId="33" xfId="0" applyFont="1" applyBorder="1" applyAlignment="1">
      <alignment horizontal="left" vertical="center" wrapText="1"/>
    </xf>
    <xf numFmtId="0" fontId="21" fillId="0" borderId="33" xfId="0" applyFont="1" applyBorder="1" applyAlignment="1">
      <alignment horizontal="left" vertical="center" wrapText="1"/>
    </xf>
    <xf numFmtId="3" fontId="93" fillId="0" borderId="33" xfId="0" applyNumberFormat="1" applyFont="1" applyBorder="1" applyAlignment="1">
      <alignment horizontal="left" vertical="center"/>
    </xf>
    <xf numFmtId="0" fontId="96" fillId="0" borderId="33" xfId="0" applyFont="1" applyBorder="1" applyAlignment="1">
      <alignment horizontal="center" vertical="center"/>
    </xf>
    <xf numFmtId="0" fontId="72" fillId="0" borderId="33" xfId="0" applyFont="1" applyBorder="1" applyAlignment="1">
      <alignment horizontal="left" vertical="center" wrapText="1"/>
    </xf>
    <xf numFmtId="0" fontId="93" fillId="11" borderId="33" xfId="0" applyFont="1" applyFill="1" applyBorder="1" applyAlignment="1">
      <alignment horizontal="center" vertical="center"/>
    </xf>
    <xf numFmtId="0" fontId="93" fillId="11" borderId="33" xfId="0" applyFont="1" applyFill="1" applyBorder="1" applyAlignment="1">
      <alignment horizontal="right" vertical="center"/>
    </xf>
    <xf numFmtId="0" fontId="96" fillId="11" borderId="33" xfId="0" applyFont="1" applyFill="1" applyBorder="1" applyAlignment="1">
      <alignment horizontal="left" vertical="center"/>
    </xf>
    <xf numFmtId="0" fontId="21" fillId="0" borderId="34" xfId="0" applyFont="1" applyBorder="1" applyAlignment="1">
      <alignment horizontal="left" vertical="center"/>
    </xf>
    <xf numFmtId="0" fontId="72" fillId="0" borderId="34" xfId="0" applyFont="1" applyBorder="1" applyAlignment="1">
      <alignment horizontal="left" vertical="center" wrapText="1"/>
    </xf>
    <xf numFmtId="0" fontId="93" fillId="11" borderId="34" xfId="0" applyFont="1" applyFill="1" applyBorder="1" applyAlignment="1">
      <alignment horizontal="center" vertical="center"/>
    </xf>
    <xf numFmtId="0" fontId="93" fillId="11" borderId="34" xfId="0" applyFont="1" applyFill="1" applyBorder="1" applyAlignment="1">
      <alignment horizontal="right" vertical="center"/>
    </xf>
    <xf numFmtId="0" fontId="96" fillId="11" borderId="34" xfId="0" applyFont="1" applyFill="1" applyBorder="1" applyAlignment="1">
      <alignment horizontal="left" vertical="center"/>
    </xf>
    <xf numFmtId="0" fontId="21" fillId="0" borderId="40" xfId="0" applyFont="1" applyBorder="1" applyAlignment="1">
      <alignment horizontal="left" vertical="center"/>
    </xf>
    <xf numFmtId="0" fontId="93" fillId="0" borderId="40" xfId="0" applyFont="1" applyBorder="1" applyAlignment="1">
      <alignment horizontal="left" vertical="center" wrapText="1"/>
    </xf>
    <xf numFmtId="0" fontId="21" fillId="0" borderId="40" xfId="0" applyFont="1" applyBorder="1" applyAlignment="1">
      <alignment horizontal="center" vertical="center"/>
    </xf>
    <xf numFmtId="0" fontId="72" fillId="0" borderId="41" xfId="0" applyFont="1" applyBorder="1" applyAlignment="1">
      <alignment horizontal="left" vertical="center"/>
    </xf>
    <xf numFmtId="0" fontId="72" fillId="0" borderId="41" xfId="0" applyFont="1" applyBorder="1" applyAlignment="1">
      <alignment horizontal="left" vertical="center" wrapText="1"/>
    </xf>
    <xf numFmtId="0" fontId="72" fillId="0" borderId="41" xfId="0" applyFont="1" applyBorder="1" applyAlignment="1">
      <alignment horizontal="center" vertical="center"/>
    </xf>
    <xf numFmtId="3" fontId="21" fillId="0" borderId="40" xfId="0" applyNumberFormat="1" applyFont="1" applyBorder="1" applyAlignment="1">
      <alignment horizontal="left" vertical="center"/>
    </xf>
    <xf numFmtId="0" fontId="32" fillId="0" borderId="20" xfId="0" applyFont="1" applyFill="1" applyBorder="1" applyAlignment="1">
      <alignment horizontal="center" vertical="center"/>
    </xf>
    <xf numFmtId="0" fontId="32" fillId="0" borderId="21" xfId="0" applyFont="1" applyFill="1" applyBorder="1" applyAlignment="1">
      <alignment horizontal="center" vertical="center"/>
    </xf>
    <xf numFmtId="0" fontId="32" fillId="0" borderId="22" xfId="0" applyFont="1" applyFill="1" applyBorder="1" applyAlignment="1">
      <alignment horizontal="center" vertical="center"/>
    </xf>
    <xf numFmtId="166" fontId="41" fillId="0" borderId="0" xfId="0" applyNumberFormat="1" applyFont="1" applyAlignment="1">
      <alignment horizontal="center"/>
    </xf>
    <xf numFmtId="0" fontId="32" fillId="2" borderId="20" xfId="0" applyFont="1" applyFill="1" applyBorder="1" applyAlignment="1">
      <alignment horizontal="center" vertical="center"/>
    </xf>
    <xf numFmtId="0" fontId="32" fillId="2" borderId="21" xfId="0" applyFont="1" applyFill="1" applyBorder="1" applyAlignment="1">
      <alignment horizontal="center" vertical="center"/>
    </xf>
    <xf numFmtId="0" fontId="32" fillId="2" borderId="22" xfId="0" applyFont="1" applyFill="1" applyBorder="1" applyAlignment="1">
      <alignment horizontal="center" vertical="center"/>
    </xf>
    <xf numFmtId="0" fontId="4" fillId="0" borderId="2" xfId="0" applyFont="1" applyBorder="1" applyAlignment="1">
      <alignment horizontal="left" vertical="center"/>
    </xf>
    <xf numFmtId="0" fontId="4" fillId="0" borderId="12" xfId="0" applyFont="1" applyBorder="1" applyAlignment="1">
      <alignment horizontal="left" vertical="center"/>
    </xf>
    <xf numFmtId="0" fontId="4" fillId="0" borderId="6" xfId="0" applyFont="1" applyBorder="1" applyAlignment="1">
      <alignment horizontal="left" vertical="center"/>
    </xf>
    <xf numFmtId="0" fontId="61" fillId="10" borderId="1" xfId="0" applyFont="1" applyFill="1" applyBorder="1" applyAlignment="1">
      <alignment horizontal="center"/>
    </xf>
    <xf numFmtId="0" fontId="38" fillId="4" borderId="3" xfId="0" applyFont="1" applyFill="1" applyBorder="1" applyAlignment="1">
      <alignment horizontal="center" vertical="center"/>
    </xf>
    <xf numFmtId="0" fontId="38" fillId="4" borderId="5" xfId="0" applyFont="1" applyFill="1" applyBorder="1" applyAlignment="1">
      <alignment horizontal="center" vertical="center"/>
    </xf>
    <xf numFmtId="0" fontId="35" fillId="2" borderId="3" xfId="0" applyFont="1" applyFill="1" applyBorder="1" applyAlignment="1">
      <alignment horizontal="left" vertical="center" wrapText="1"/>
    </xf>
    <xf numFmtId="0" fontId="35" fillId="2" borderId="13" xfId="0" applyFont="1" applyFill="1" applyBorder="1" applyAlignment="1">
      <alignment horizontal="left" vertical="center" wrapText="1"/>
    </xf>
    <xf numFmtId="0" fontId="35" fillId="2" borderId="5" xfId="0" applyFont="1" applyFill="1" applyBorder="1" applyAlignment="1">
      <alignment horizontal="left" vertical="center" wrapText="1"/>
    </xf>
    <xf numFmtId="0" fontId="51" fillId="4" borderId="3" xfId="0" applyFont="1" applyFill="1" applyBorder="1" applyAlignment="1">
      <alignment horizontal="center" vertical="center"/>
    </xf>
    <xf numFmtId="0" fontId="51" fillId="4" borderId="5" xfId="0" applyFont="1" applyFill="1" applyBorder="1" applyAlignment="1">
      <alignment horizontal="center" vertical="center"/>
    </xf>
    <xf numFmtId="0" fontId="28" fillId="4" borderId="3" xfId="0" applyFont="1" applyFill="1" applyBorder="1" applyAlignment="1">
      <alignment horizontal="center" vertical="center"/>
    </xf>
    <xf numFmtId="0" fontId="28" fillId="4" borderId="5" xfId="0" applyFont="1" applyFill="1" applyBorder="1" applyAlignment="1">
      <alignment horizontal="center" vertical="center"/>
    </xf>
    <xf numFmtId="0" fontId="92" fillId="0" borderId="2" xfId="0" applyFont="1" applyBorder="1" applyAlignment="1">
      <alignment horizontal="left" vertical="center"/>
    </xf>
    <xf numFmtId="0" fontId="92" fillId="0" borderId="12" xfId="0" applyFont="1" applyBorder="1" applyAlignment="1">
      <alignment horizontal="left" vertical="center"/>
    </xf>
    <xf numFmtId="0" fontId="92" fillId="0" borderId="6" xfId="0" applyFont="1" applyBorder="1" applyAlignment="1">
      <alignment horizontal="left" vertical="center"/>
    </xf>
    <xf numFmtId="175" fontId="22" fillId="0" borderId="0" xfId="0" applyNumberFormat="1" applyFont="1" applyAlignment="1">
      <alignment horizontal="center"/>
    </xf>
    <xf numFmtId="0" fontId="13" fillId="0" borderId="37" xfId="0" applyFont="1" applyBorder="1" applyAlignment="1">
      <alignment horizontal="center"/>
    </xf>
    <xf numFmtId="0" fontId="13" fillId="0" borderId="38" xfId="0" applyFont="1" applyBorder="1" applyAlignment="1">
      <alignment horizontal="center"/>
    </xf>
    <xf numFmtId="0" fontId="13" fillId="0" borderId="39" xfId="0" applyFont="1" applyBorder="1" applyAlignment="1">
      <alignment horizontal="center"/>
    </xf>
    <xf numFmtId="0" fontId="13" fillId="0" borderId="56" xfId="0" applyFont="1" applyFill="1" applyBorder="1" applyAlignment="1">
      <alignment horizontal="center" vertical="center"/>
    </xf>
    <xf numFmtId="0" fontId="13" fillId="0" borderId="21" xfId="0" applyFont="1" applyFill="1" applyBorder="1" applyAlignment="1">
      <alignment horizontal="center" vertical="center"/>
    </xf>
    <xf numFmtId="0" fontId="13" fillId="0" borderId="57" xfId="0" applyFont="1" applyFill="1" applyBorder="1" applyAlignment="1">
      <alignment horizontal="center" vertical="center"/>
    </xf>
    <xf numFmtId="0" fontId="13" fillId="0" borderId="8" xfId="0" applyFont="1" applyBorder="1" applyAlignment="1">
      <alignment horizontal="left" vertical="center" wrapText="1"/>
    </xf>
    <xf numFmtId="0" fontId="13" fillId="0" borderId="0" xfId="0" applyFont="1" applyBorder="1" applyAlignment="1">
      <alignment horizontal="left" vertical="center" wrapText="1"/>
    </xf>
    <xf numFmtId="0" fontId="13" fillId="0" borderId="4" xfId="0" applyFont="1" applyBorder="1" applyAlignment="1">
      <alignment horizontal="left" vertical="center" wrapText="1"/>
    </xf>
    <xf numFmtId="3" fontId="52" fillId="2" borderId="1" xfId="0" applyNumberFormat="1" applyFont="1" applyFill="1" applyBorder="1" applyAlignment="1">
      <alignment horizontal="center" vertical="center" wrapText="1"/>
    </xf>
    <xf numFmtId="0" fontId="52" fillId="2" borderId="1" xfId="0" applyFont="1" applyFill="1" applyBorder="1" applyAlignment="1">
      <alignment horizontal="center" vertical="center" wrapText="1"/>
    </xf>
    <xf numFmtId="0" fontId="21" fillId="0" borderId="33" xfId="0" applyFont="1" applyBorder="1" applyAlignment="1">
      <alignment horizontal="center" vertical="center"/>
    </xf>
    <xf numFmtId="3" fontId="93" fillId="0" borderId="33" xfId="0" applyNumberFormat="1" applyFont="1" applyBorder="1" applyAlignment="1">
      <alignment horizontal="left" vertical="center"/>
    </xf>
    <xf numFmtId="3" fontId="21" fillId="0" borderId="40" xfId="0" applyNumberFormat="1" applyFont="1" applyBorder="1" applyAlignment="1">
      <alignment horizontal="left" vertical="center"/>
    </xf>
    <xf numFmtId="3" fontId="21" fillId="0" borderId="36" xfId="0" applyNumberFormat="1" applyFont="1" applyBorder="1" applyAlignment="1">
      <alignment horizontal="left" vertical="center"/>
    </xf>
    <xf numFmtId="3" fontId="21" fillId="0" borderId="13" xfId="0" applyNumberFormat="1" applyFont="1" applyBorder="1" applyAlignment="1">
      <alignment horizontal="left" vertical="center"/>
    </xf>
    <xf numFmtId="3" fontId="21" fillId="0" borderId="33" xfId="0" applyNumberFormat="1" applyFont="1" applyBorder="1" applyAlignment="1">
      <alignment horizontal="left" vertical="center"/>
    </xf>
    <xf numFmtId="0" fontId="32" fillId="0" borderId="56" xfId="0" applyFont="1" applyFill="1" applyBorder="1" applyAlignment="1">
      <alignment horizontal="center" vertical="center"/>
    </xf>
    <xf numFmtId="0" fontId="32" fillId="0" borderId="57" xfId="0" applyFont="1" applyFill="1" applyBorder="1" applyAlignment="1">
      <alignment horizontal="center" vertical="center"/>
    </xf>
    <xf numFmtId="0" fontId="23" fillId="0" borderId="37" xfId="0" applyFont="1" applyBorder="1" applyAlignment="1">
      <alignment horizontal="center"/>
    </xf>
    <xf numFmtId="0" fontId="23" fillId="0" borderId="38" xfId="0" applyFont="1" applyBorder="1" applyAlignment="1">
      <alignment horizontal="center"/>
    </xf>
    <xf numFmtId="0" fontId="23" fillId="0" borderId="39" xfId="0" applyFont="1" applyBorder="1" applyAlignment="1">
      <alignment horizontal="center"/>
    </xf>
    <xf numFmtId="0" fontId="4" fillId="0" borderId="8" xfId="0" applyFont="1" applyBorder="1" applyAlignment="1">
      <alignment horizontal="left" vertical="center"/>
    </xf>
    <xf numFmtId="0" fontId="4" fillId="0" borderId="0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/>
    </xf>
    <xf numFmtId="0" fontId="70" fillId="0" borderId="2" xfId="0" applyFont="1" applyBorder="1" applyAlignment="1">
      <alignment horizontal="left" vertical="center"/>
    </xf>
    <xf numFmtId="0" fontId="70" fillId="0" borderId="12" xfId="0" applyFont="1" applyBorder="1" applyAlignment="1">
      <alignment horizontal="left" vertical="center"/>
    </xf>
    <xf numFmtId="0" fontId="70" fillId="0" borderId="6" xfId="0" applyFont="1" applyBorder="1" applyAlignment="1">
      <alignment horizontal="left" vertical="center"/>
    </xf>
    <xf numFmtId="0" fontId="23" fillId="0" borderId="0" xfId="0" applyFont="1" applyAlignment="1">
      <alignment horizontal="center"/>
    </xf>
    <xf numFmtId="0" fontId="60" fillId="0" borderId="20" xfId="0" applyFont="1" applyBorder="1" applyAlignment="1">
      <alignment horizontal="center" wrapText="1"/>
    </xf>
    <xf numFmtId="0" fontId="60" fillId="0" borderId="21" xfId="0" applyFont="1" applyBorder="1" applyAlignment="1">
      <alignment horizontal="center" wrapText="1"/>
    </xf>
    <xf numFmtId="0" fontId="60" fillId="0" borderId="22" xfId="0" applyFont="1" applyBorder="1" applyAlignment="1">
      <alignment horizontal="center" wrapText="1"/>
    </xf>
    <xf numFmtId="0" fontId="23" fillId="0" borderId="20" xfId="0" applyFont="1" applyFill="1" applyBorder="1" applyAlignment="1">
      <alignment horizontal="center" vertical="center"/>
    </xf>
    <xf numFmtId="0" fontId="23" fillId="0" borderId="21" xfId="0" applyFont="1" applyFill="1" applyBorder="1" applyAlignment="1">
      <alignment horizontal="center" vertical="center"/>
    </xf>
    <xf numFmtId="0" fontId="23" fillId="0" borderId="22" xfId="0" applyFont="1" applyFill="1" applyBorder="1" applyAlignment="1">
      <alignment horizontal="center" vertical="center"/>
    </xf>
    <xf numFmtId="166" fontId="41" fillId="0" borderId="0" xfId="0" applyNumberFormat="1" applyFont="1" applyFill="1" applyAlignment="1">
      <alignment horizontal="center"/>
    </xf>
    <xf numFmtId="167" fontId="3" fillId="0" borderId="3" xfId="1" applyNumberFormat="1" applyFont="1" applyFill="1" applyBorder="1" applyAlignment="1">
      <alignment horizontal="center" vertical="center"/>
    </xf>
    <xf numFmtId="167" fontId="3" fillId="0" borderId="13" xfId="1" applyNumberFormat="1" applyFont="1" applyFill="1" applyBorder="1" applyAlignment="1">
      <alignment horizontal="center" vertical="center"/>
    </xf>
    <xf numFmtId="167" fontId="3" fillId="0" borderId="5" xfId="1" applyNumberFormat="1" applyFont="1" applyFill="1" applyBorder="1" applyAlignment="1">
      <alignment horizontal="center" vertical="center"/>
    </xf>
    <xf numFmtId="0" fontId="70" fillId="0" borderId="2" xfId="0" applyFont="1" applyFill="1" applyBorder="1" applyAlignment="1">
      <alignment horizontal="left" vertical="center"/>
    </xf>
    <xf numFmtId="0" fontId="70" fillId="0" borderId="12" xfId="0" applyFont="1" applyFill="1" applyBorder="1" applyAlignment="1">
      <alignment horizontal="left" vertical="center"/>
    </xf>
    <xf numFmtId="0" fontId="70" fillId="0" borderId="6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166" fontId="86" fillId="0" borderId="0" xfId="0" applyNumberFormat="1" applyFont="1" applyFill="1" applyAlignment="1">
      <alignment horizontal="center"/>
    </xf>
    <xf numFmtId="166" fontId="3" fillId="0" borderId="3" xfId="1" applyNumberFormat="1" applyFont="1" applyFill="1" applyBorder="1" applyAlignment="1">
      <alignment horizontal="center" vertical="center"/>
    </xf>
    <xf numFmtId="166" fontId="3" fillId="0" borderId="13" xfId="1" applyNumberFormat="1" applyFont="1" applyFill="1" applyBorder="1" applyAlignment="1">
      <alignment horizontal="center" vertical="center"/>
    </xf>
    <xf numFmtId="166" fontId="3" fillId="0" borderId="5" xfId="1" applyNumberFormat="1" applyFont="1" applyFill="1" applyBorder="1" applyAlignment="1">
      <alignment horizontal="center" vertical="center"/>
    </xf>
    <xf numFmtId="0" fontId="0" fillId="0" borderId="0" xfId="0" applyAlignment="1">
      <alignment horizontal="left" wrapText="1"/>
    </xf>
    <xf numFmtId="0" fontId="32" fillId="0" borderId="46" xfId="0" applyFont="1" applyFill="1" applyBorder="1" applyAlignment="1">
      <alignment horizontal="center" vertical="center"/>
    </xf>
    <xf numFmtId="0" fontId="76" fillId="0" borderId="2" xfId="0" applyFont="1" applyFill="1" applyBorder="1" applyAlignment="1">
      <alignment horizontal="center"/>
    </xf>
    <xf numFmtId="0" fontId="76" fillId="0" borderId="12" xfId="0" applyFont="1" applyFill="1" applyBorder="1" applyAlignment="1">
      <alignment horizontal="center"/>
    </xf>
    <xf numFmtId="0" fontId="76" fillId="0" borderId="6" xfId="0" applyFont="1" applyFill="1" applyBorder="1" applyAlignment="1">
      <alignment horizontal="center"/>
    </xf>
    <xf numFmtId="0" fontId="83" fillId="0" borderId="59" xfId="0" applyFont="1" applyFill="1" applyBorder="1" applyAlignment="1">
      <alignment horizontal="center" vertical="center"/>
    </xf>
    <xf numFmtId="0" fontId="83" fillId="0" borderId="0" xfId="0" applyFont="1" applyFill="1" applyBorder="1" applyAlignment="1">
      <alignment horizontal="center" vertical="center"/>
    </xf>
    <xf numFmtId="0" fontId="83" fillId="0" borderId="60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right" vertical="center"/>
    </xf>
    <xf numFmtId="0" fontId="75" fillId="0" borderId="1" xfId="0" applyFont="1" applyFill="1" applyBorder="1" applyAlignment="1">
      <alignment horizontal="left"/>
    </xf>
    <xf numFmtId="0" fontId="23" fillId="0" borderId="2" xfId="0" applyFont="1" applyFill="1" applyBorder="1" applyAlignment="1">
      <alignment horizontal="center"/>
    </xf>
    <xf numFmtId="0" fontId="23" fillId="0" borderId="12" xfId="0" applyFont="1" applyFill="1" applyBorder="1" applyAlignment="1">
      <alignment horizontal="center"/>
    </xf>
    <xf numFmtId="0" fontId="23" fillId="0" borderId="6" xfId="0" applyFont="1" applyFill="1" applyBorder="1" applyAlignment="1">
      <alignment horizontal="center"/>
    </xf>
    <xf numFmtId="0" fontId="32" fillId="0" borderId="32" xfId="0" applyFont="1" applyFill="1" applyBorder="1" applyAlignment="1">
      <alignment horizontal="center" vertical="center"/>
    </xf>
    <xf numFmtId="0" fontId="32" fillId="0" borderId="44" xfId="0" applyFont="1" applyFill="1" applyBorder="1" applyAlignment="1">
      <alignment horizontal="center" vertical="center"/>
    </xf>
    <xf numFmtId="0" fontId="32" fillId="0" borderId="45" xfId="0" applyFont="1" applyFill="1" applyBorder="1" applyAlignment="1">
      <alignment horizontal="center" vertical="center"/>
    </xf>
    <xf numFmtId="0" fontId="75" fillId="0" borderId="2" xfId="0" applyFont="1" applyFill="1" applyBorder="1" applyAlignment="1">
      <alignment horizontal="left"/>
    </xf>
    <xf numFmtId="0" fontId="75" fillId="0" borderId="6" xfId="0" applyFont="1" applyFill="1" applyBorder="1" applyAlignment="1">
      <alignment horizontal="left"/>
    </xf>
    <xf numFmtId="0" fontId="75" fillId="0" borderId="2" xfId="0" applyFont="1" applyFill="1" applyBorder="1" applyAlignment="1">
      <alignment horizontal="center"/>
    </xf>
    <xf numFmtId="0" fontId="75" fillId="0" borderId="12" xfId="0" applyFont="1" applyFill="1" applyBorder="1" applyAlignment="1">
      <alignment horizontal="center"/>
    </xf>
    <xf numFmtId="0" fontId="75" fillId="0" borderId="6" xfId="0" applyFont="1" applyFill="1" applyBorder="1" applyAlignment="1">
      <alignment horizontal="center"/>
    </xf>
    <xf numFmtId="0" fontId="75" fillId="0" borderId="1" xfId="0" applyFont="1" applyFill="1" applyBorder="1" applyAlignment="1"/>
    <xf numFmtId="0" fontId="79" fillId="0" borderId="1" xfId="0" applyFont="1" applyFill="1" applyBorder="1" applyAlignment="1">
      <alignment horizontal="left"/>
    </xf>
    <xf numFmtId="0" fontId="21" fillId="0" borderId="2" xfId="0" applyFont="1" applyFill="1" applyBorder="1" applyAlignment="1">
      <alignment horizontal="center"/>
    </xf>
    <xf numFmtId="0" fontId="21" fillId="0" borderId="12" xfId="0" applyFont="1" applyFill="1" applyBorder="1" applyAlignment="1">
      <alignment horizontal="center"/>
    </xf>
    <xf numFmtId="0" fontId="21" fillId="0" borderId="6" xfId="0" applyFont="1" applyFill="1" applyBorder="1" applyAlignment="1">
      <alignment horizontal="center"/>
    </xf>
    <xf numFmtId="0" fontId="32" fillId="0" borderId="47" xfId="0" applyFont="1" applyFill="1" applyBorder="1" applyAlignment="1">
      <alignment horizontal="center" vertical="center"/>
    </xf>
    <xf numFmtId="0" fontId="32" fillId="0" borderId="48" xfId="0" applyFont="1" applyFill="1" applyBorder="1" applyAlignment="1">
      <alignment horizontal="center" vertical="center"/>
    </xf>
    <xf numFmtId="0" fontId="75" fillId="0" borderId="2" xfId="0" applyFont="1" applyBorder="1" applyAlignment="1">
      <alignment horizontal="left"/>
    </xf>
    <xf numFmtId="0" fontId="75" fillId="0" borderId="12" xfId="0" applyFont="1" applyBorder="1" applyAlignment="1">
      <alignment horizontal="left"/>
    </xf>
    <xf numFmtId="0" fontId="75" fillId="0" borderId="6" xfId="0" applyFont="1" applyBorder="1" applyAlignment="1">
      <alignment horizontal="left"/>
    </xf>
    <xf numFmtId="0" fontId="22" fillId="0" borderId="2" xfId="0" applyFont="1" applyBorder="1" applyAlignment="1">
      <alignment horizontal="center"/>
    </xf>
    <xf numFmtId="0" fontId="22" fillId="0" borderId="12" xfId="0" applyFont="1" applyBorder="1" applyAlignment="1">
      <alignment horizontal="center"/>
    </xf>
    <xf numFmtId="0" fontId="22" fillId="0" borderId="6" xfId="0" applyFont="1" applyBorder="1" applyAlignment="1">
      <alignment horizontal="center"/>
    </xf>
    <xf numFmtId="0" fontId="79" fillId="0" borderId="2" xfId="0" applyFont="1" applyBorder="1" applyAlignment="1">
      <alignment horizontal="left"/>
    </xf>
    <xf numFmtId="0" fontId="79" fillId="0" borderId="12" xfId="0" applyFont="1" applyBorder="1" applyAlignment="1">
      <alignment horizontal="left"/>
    </xf>
    <xf numFmtId="0" fontId="79" fillId="0" borderId="6" xfId="0" applyFont="1" applyBorder="1" applyAlignment="1">
      <alignment horizontal="left"/>
    </xf>
    <xf numFmtId="0" fontId="13" fillId="0" borderId="2" xfId="0" applyFont="1" applyFill="1" applyBorder="1" applyAlignment="1">
      <alignment horizontal="center"/>
    </xf>
    <xf numFmtId="0" fontId="13" fillId="0" borderId="12" xfId="0" applyFont="1" applyFill="1" applyBorder="1" applyAlignment="1">
      <alignment horizontal="center"/>
    </xf>
    <xf numFmtId="0" fontId="13" fillId="0" borderId="6" xfId="0" applyFont="1" applyFill="1" applyBorder="1" applyAlignment="1">
      <alignment horizontal="center"/>
    </xf>
    <xf numFmtId="166" fontId="86" fillId="0" borderId="0" xfId="0" applyNumberFormat="1" applyFont="1" applyBorder="1" applyAlignment="1">
      <alignment horizontal="center"/>
    </xf>
    <xf numFmtId="0" fontId="21" fillId="0" borderId="0" xfId="0" applyFont="1" applyBorder="1" applyAlignment="1">
      <alignment horizontal="center" wrapText="1"/>
    </xf>
    <xf numFmtId="0" fontId="23" fillId="0" borderId="44" xfId="0" applyFont="1" applyBorder="1" applyAlignment="1">
      <alignment horizontal="center"/>
    </xf>
    <xf numFmtId="0" fontId="4" fillId="0" borderId="14" xfId="0" applyFont="1" applyBorder="1" applyAlignment="1">
      <alignment horizontal="left" vertical="center"/>
    </xf>
    <xf numFmtId="0" fontId="4" fillId="0" borderId="7" xfId="0" applyFont="1" applyBorder="1" applyAlignment="1">
      <alignment horizontal="left" vertical="center"/>
    </xf>
    <xf numFmtId="0" fontId="4" fillId="0" borderId="23" xfId="0" applyFont="1" applyBorder="1" applyAlignment="1">
      <alignment horizontal="left" vertical="center"/>
    </xf>
    <xf numFmtId="0" fontId="4" fillId="0" borderId="14" xfId="0" applyFont="1" applyFill="1" applyBorder="1" applyAlignment="1">
      <alignment horizontal="left" vertical="center"/>
    </xf>
    <xf numFmtId="0" fontId="4" fillId="0" borderId="7" xfId="0" applyFont="1" applyFill="1" applyBorder="1" applyAlignment="1">
      <alignment horizontal="left" vertical="center"/>
    </xf>
    <xf numFmtId="0" fontId="4" fillId="0" borderId="23" xfId="0" applyFont="1" applyFill="1" applyBorder="1" applyAlignment="1">
      <alignment horizontal="left" vertical="center"/>
    </xf>
  </cellXfs>
  <cellStyles count="16">
    <cellStyle name="Milliers" xfId="1" builtinId="3"/>
    <cellStyle name="Milliers 2" xfId="4" xr:uid="{00000000-0005-0000-0000-000001000000}"/>
    <cellStyle name="Milliers 2 2" xfId="6" xr:uid="{00000000-0005-0000-0000-000002000000}"/>
    <cellStyle name="Milliers 2 2 2" xfId="15" xr:uid="{00000000-0005-0000-0000-000003000000}"/>
    <cellStyle name="Milliers 2 3" xfId="13" xr:uid="{00000000-0005-0000-0000-000004000000}"/>
    <cellStyle name="Milliers 3" xfId="2" xr:uid="{00000000-0005-0000-0000-000005000000}"/>
    <cellStyle name="Milliers 3 2" xfId="5" xr:uid="{00000000-0005-0000-0000-000006000000}"/>
    <cellStyle name="Milliers 3 2 2" xfId="14" xr:uid="{00000000-0005-0000-0000-000007000000}"/>
    <cellStyle name="Milliers 3 3" xfId="11" xr:uid="{00000000-0005-0000-0000-000008000000}"/>
    <cellStyle name="Milliers 3 4" xfId="12" xr:uid="{00000000-0005-0000-0000-000009000000}"/>
    <cellStyle name="Normal" xfId="0" builtinId="0"/>
    <cellStyle name="Normal 2" xfId="3" xr:uid="{00000000-0005-0000-0000-00000B000000}"/>
    <cellStyle name="Normal 3" xfId="10" xr:uid="{00000000-0005-0000-0000-00000C000000}"/>
    <cellStyle name="Normal 4" xfId="7" xr:uid="{00000000-0005-0000-0000-00000D000000}"/>
    <cellStyle name="Normal 5" xfId="9" xr:uid="{00000000-0005-0000-0000-00000E000000}"/>
    <cellStyle name="Pourcentage" xfId="8" builtinId="5"/>
  </cellStyles>
  <dxfs count="0"/>
  <tableStyles count="0" defaultTableStyle="TableStyleMedium2" defaultPivotStyle="PivotStyleLight16"/>
  <colors>
    <mruColors>
      <color rgb="FFFF64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3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externalLink" Target="externalLinks/externalLink1.xml"/><Relationship Id="rId85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externalLink" Target="externalLinks/externalLink2.xml"/><Relationship Id="rId86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\TECKNICART\MISSION%20MO%200931-BN%20Rues%20Calavi-Porto%20novo\DOSSIER%20COLLECTEUR\Collecteur%20PN%20MARS%202012\Prix%20ml%20can%2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11958_ACTUAL_PDA\APD%20URgence\03%20APD%20Bassin%20Zb\DQE%20Zb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11958_ACTUAL_PDA\APD%20URgence\01%20APD%20Bassin%20Pb-%20Pc\DQE%20Pb-Pc\DQE%20Pb-Pc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\000%20IGIP-APD-PDA-Djimon\Jordan\DQE_APD%2019%20Novembre%202018%20(jov)8VERIFICATION%2018%2002%20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x moyen collec"/>
      <sheetName val="Prix moyen collec (2)"/>
      <sheetName val="Prix moyen collec F"/>
    </sheetNames>
    <sheetDataSet>
      <sheetData sheetId="0">
        <row r="3">
          <cell r="G3">
            <v>0.2</v>
          </cell>
        </row>
        <row r="4">
          <cell r="G4">
            <v>250000</v>
          </cell>
        </row>
      </sheetData>
      <sheetData sheetId="1"/>
      <sheetData sheetId="2">
        <row r="3">
          <cell r="I3">
            <v>0.05</v>
          </cell>
        </row>
        <row r="4">
          <cell r="I4">
            <v>65000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U"/>
      <sheetName val="Zb 1"/>
      <sheetName val="Zb 2"/>
      <sheetName val="Zb 3"/>
      <sheetName val="Zb 4"/>
      <sheetName val="récap"/>
    </sheetNames>
    <sheetDataSet>
      <sheetData sheetId="0">
        <row r="28">
          <cell r="E28">
            <v>74750</v>
          </cell>
        </row>
        <row r="120">
          <cell r="E120">
            <v>5466</v>
          </cell>
        </row>
        <row r="121">
          <cell r="E121">
            <v>4800</v>
          </cell>
        </row>
        <row r="144">
          <cell r="E144">
            <v>47298</v>
          </cell>
        </row>
        <row r="145">
          <cell r="E145">
            <v>50019</v>
          </cell>
        </row>
        <row r="146">
          <cell r="E146">
            <v>52900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U"/>
      <sheetName val="BPU préf"/>
      <sheetName val="Pb Pc"/>
      <sheetName val="Pref Pb Pc"/>
      <sheetName val="récap"/>
    </sheetNames>
    <sheetDataSet>
      <sheetData sheetId="0" refreshError="1"/>
      <sheetData sheetId="1" refreshError="1">
        <row r="8">
          <cell r="E8">
            <v>11000</v>
          </cell>
        </row>
        <row r="9">
          <cell r="E9">
            <v>9300</v>
          </cell>
        </row>
        <row r="12">
          <cell r="E12">
            <v>7514</v>
          </cell>
        </row>
        <row r="13">
          <cell r="E13">
            <v>5700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ntité de Boues"/>
      <sheetName val="BOAD"/>
      <sheetName val="récap général"/>
      <sheetName val="Recap ABa"/>
      <sheetName val="Préf ABa"/>
      <sheetName val="ABa"/>
      <sheetName val="ABb et ABc"/>
      <sheetName val="BPU préf"/>
      <sheetName val="COL_AB"/>
      <sheetName val="CBPU-COL_AB"/>
      <sheetName val="CDQE-COL_AB"/>
      <sheetName val="COL_Pb-Pc"/>
      <sheetName val="CBPU-COL_Pb-Pc"/>
      <sheetName val="CDQE-COL_Pb-Pc"/>
      <sheetName val="COL_WW"/>
      <sheetName val="CBPU-COL_WW"/>
      <sheetName val="CDQE-COL_WW"/>
      <sheetName val="COL_Zb1-Zb2"/>
      <sheetName val="CBPU-COL_Zb1-Zb2"/>
      <sheetName val="CDQE-COL_Zb1-Zb2"/>
      <sheetName val="Recap ABb ABc"/>
      <sheetName val="Préf WW"/>
      <sheetName val="Recap WW"/>
      <sheetName val="Zb1"/>
      <sheetName val="Zb2"/>
      <sheetName val="Zb 3"/>
      <sheetName val="Zb 4"/>
      <sheetName val="Préf Zb"/>
      <sheetName val="récap Zb"/>
      <sheetName val="Préf Pb Pc new"/>
      <sheetName val="récap Pb Pc new"/>
      <sheetName val="AAs"/>
      <sheetName val="Préf AAs"/>
      <sheetName val="Recap AAs"/>
      <sheetName val="AAn"/>
      <sheetName val="Préf AAn"/>
      <sheetName val="Recap AAn"/>
      <sheetName val="AAn et AAc"/>
      <sheetName val="Préf AAn et AAc"/>
      <sheetName val="Recap AAn et AAc"/>
      <sheetName val="XX"/>
      <sheetName val="Préf XX"/>
      <sheetName val="Recap XX"/>
      <sheetName val="AAc"/>
      <sheetName val="Préf AAc"/>
      <sheetName val="Recap AAc "/>
      <sheetName val="Pa 3"/>
      <sheetName val="Préf Pa 3"/>
      <sheetName val="Recap Pa 3"/>
      <sheetName val="Y"/>
      <sheetName val="Préf Y"/>
      <sheetName val="Recap Y"/>
      <sheetName val="Qa et Qc"/>
      <sheetName val="Pref Qa et Qc"/>
      <sheetName val="récap Qa et Qc"/>
      <sheetName val="Pa 2"/>
      <sheetName val="Préf Pa 2"/>
      <sheetName val="Recap Pa 2"/>
      <sheetName val="Pa"/>
      <sheetName val="Préf Pa"/>
      <sheetName val="Recap Pa"/>
      <sheetName val="Devis SONEB-OPT"/>
      <sheetName val="Bd Marina"/>
      <sheetName val="BPU"/>
      <sheetName val="Récap traversée Marina"/>
      <sheetName val="L _traversée"/>
      <sheetName val="M_traverséé"/>
      <sheetName val="M_Marina"/>
      <sheetName val="CBPU_M_Marina"/>
      <sheetName val="CDQE_M_Marina"/>
      <sheetName val="M"/>
      <sheetName val="Préf M"/>
      <sheetName val="Recap M"/>
      <sheetName val="L _MARINA"/>
      <sheetName val="CBPU_L _MARINA"/>
      <sheetName val="CDQE_L _MARINA"/>
      <sheetName val="L bis"/>
      <sheetName val="Préf Lbis"/>
      <sheetName val="Recap L bis"/>
      <sheetName val="D"/>
      <sheetName val="Préf D"/>
      <sheetName val="Recap D"/>
      <sheetName val="Feuil2"/>
      <sheetName val="Wa"/>
      <sheetName val="Préf Wa"/>
      <sheetName val="Recap Wa"/>
      <sheetName val="Rc "/>
      <sheetName val="Préf Rc"/>
      <sheetName val="Recap Rc"/>
      <sheetName val="Qb"/>
      <sheetName val="Pref Qb"/>
      <sheetName val="récap Qb"/>
      <sheetName val="récap Q"/>
      <sheetName val="Rb Rd"/>
      <sheetName val="Pref Rb Rd"/>
      <sheetName val="récap Rb Rd"/>
      <sheetName val="Pref Ra new"/>
      <sheetName val="Ra new"/>
      <sheetName val="récap Ra new"/>
      <sheetName val="récap S new"/>
      <sheetName val="Pref S new"/>
      <sheetName val="S new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>
        <row r="6">
          <cell r="B6">
            <v>399599233</v>
          </cell>
          <cell r="C6">
            <v>69695135</v>
          </cell>
        </row>
      </sheetData>
      <sheetData sheetId="62"/>
      <sheetData sheetId="63">
        <row r="1">
          <cell r="F1" t="str">
            <v>DEVIS QUANTITATIF ET ESTIMATIF</v>
          </cell>
        </row>
        <row r="8">
          <cell r="A8" t="str">
            <v>PRIX 000 - INSTALLATIONS DE CHANTIER</v>
          </cell>
        </row>
        <row r="9">
          <cell r="A9" t="str">
            <v>001</v>
          </cell>
          <cell r="B9" t="str">
            <v>Prix 001 - Installation de chantier, travaux topographiques, études techniques et élaboration du projet d'exécution, installation de sécurité, repli et nettoyage en fin de chantier</v>
          </cell>
        </row>
        <row r="10">
          <cell r="C10" t="str">
            <v>FF</v>
          </cell>
        </row>
        <row r="11">
          <cell r="A11" t="str">
            <v>002</v>
          </cell>
          <cell r="B11" t="str">
            <v>Prix 002 – Travaux topographiques  et élaboration du dossier d'exécution</v>
          </cell>
        </row>
        <row r="13">
          <cell r="A13" t="str">
            <v>003</v>
          </cell>
          <cell r="B13" t="str">
            <v>Prix 003 – Aménagement de déviation</v>
          </cell>
        </row>
        <row r="14">
          <cell r="C14" t="str">
            <v>FF</v>
          </cell>
        </row>
        <row r="16">
          <cell r="A16" t="str">
            <v>PRIX 100 - DEPLACEMENT OU MODIFICATION DE RESEAUX</v>
          </cell>
        </row>
        <row r="17">
          <cell r="A17" t="str">
            <v>101</v>
          </cell>
          <cell r="B17" t="str">
            <v>Prix 101 –Réseaux d'eau potable</v>
          </cell>
          <cell r="C17" t="str">
            <v>Provision</v>
          </cell>
        </row>
        <row r="19">
          <cell r="A19">
            <v>102</v>
          </cell>
          <cell r="B19" t="str">
            <v>Prix 102 – réseau électrique Conventionnel (SBEE)</v>
          </cell>
          <cell r="C19" t="str">
            <v>Provision</v>
          </cell>
        </row>
        <row r="25">
          <cell r="A25">
            <v>103</v>
          </cell>
          <cell r="B25" t="str">
            <v>Prix 103 – réseau téléphonique et de fibre optique</v>
          </cell>
          <cell r="C25" t="str">
            <v>Provision</v>
          </cell>
        </row>
        <row r="30">
          <cell r="A30">
            <v>104</v>
          </cell>
          <cell r="B30" t="str">
            <v>Prix 104 – Chemin de fer</v>
          </cell>
          <cell r="C30" t="str">
            <v>Provision</v>
          </cell>
        </row>
        <row r="33">
          <cell r="A33">
            <v>105</v>
          </cell>
          <cell r="B33" t="str">
            <v>Prix 105 – pourcentage appliqué au déplacement de réseau (Poste 101 à 104)</v>
          </cell>
        </row>
        <row r="34">
          <cell r="C34" t="str">
            <v>Provision</v>
          </cell>
        </row>
        <row r="37">
          <cell r="A37">
            <v>107</v>
          </cell>
          <cell r="B37" t="str">
            <v>Prix 107- Déplacement de lampadaire solaire</v>
          </cell>
        </row>
        <row r="38">
          <cell r="C38" t="str">
            <v>U</v>
          </cell>
          <cell r="D38">
            <v>375000</v>
          </cell>
        </row>
        <row r="46">
          <cell r="A46" t="str">
            <v xml:space="preserve">PRIX 200 - DEGAGEMENT DES EMPRISES </v>
          </cell>
        </row>
        <row r="47">
          <cell r="A47" t="str">
            <v>201</v>
          </cell>
          <cell r="B47" t="str">
            <v xml:space="preserve">Prix 201 - Nettoyage du site </v>
          </cell>
        </row>
        <row r="48">
          <cell r="C48" t="str">
            <v>FF</v>
          </cell>
        </row>
        <row r="49">
          <cell r="A49" t="str">
            <v>202</v>
          </cell>
          <cell r="B49" t="str">
            <v xml:space="preserve">Prix 202 - Débroussaillage – décapage - dessouchage - nettoyage </v>
          </cell>
        </row>
        <row r="50">
          <cell r="A50" t="str">
            <v>202-1</v>
          </cell>
          <cell r="B50" t="str">
            <v>Débroussaillage – décapage - dessouchage - nettoyage sur terre ferme</v>
          </cell>
          <cell r="C50" t="str">
            <v>m2</v>
          </cell>
          <cell r="D50">
            <v>469</v>
          </cell>
        </row>
        <row r="52">
          <cell r="A52">
            <v>203</v>
          </cell>
          <cell r="B52" t="str">
            <v xml:space="preserve">Prix 203 -Abattage d'arbres </v>
          </cell>
        </row>
        <row r="53">
          <cell r="C53" t="str">
            <v>U</v>
          </cell>
          <cell r="D53">
            <v>138000</v>
          </cell>
        </row>
        <row r="54">
          <cell r="A54" t="str">
            <v>204</v>
          </cell>
          <cell r="B54" t="str">
            <v>Prix 204 - Démolition d'ouvrages ou de parties d'ouvrages</v>
          </cell>
        </row>
        <row r="55">
          <cell r="A55" t="str">
            <v>204-1</v>
          </cell>
          <cell r="B55" t="str">
            <v>ouvrages en béton armé</v>
          </cell>
          <cell r="C55" t="str">
            <v>FF</v>
          </cell>
        </row>
        <row r="56">
          <cell r="A56" t="str">
            <v>204-2</v>
          </cell>
          <cell r="B56" t="str">
            <v>ouvrages en béton non armé</v>
          </cell>
          <cell r="C56" t="str">
            <v>FF</v>
          </cell>
        </row>
        <row r="57">
          <cell r="A57" t="str">
            <v>204-3</v>
          </cell>
          <cell r="B57" t="str">
            <v>ouvrages d'assainissement</v>
          </cell>
          <cell r="C57" t="str">
            <v>ml</v>
          </cell>
          <cell r="D57">
            <v>17514</v>
          </cell>
        </row>
        <row r="58">
          <cell r="A58" t="str">
            <v>204-4</v>
          </cell>
          <cell r="B58" t="str">
            <v>ouvrages en maçonnerie</v>
          </cell>
          <cell r="C58" t="str">
            <v>FF</v>
          </cell>
        </row>
        <row r="61">
          <cell r="A61">
            <v>206</v>
          </cell>
          <cell r="B61" t="str">
            <v>Prix 206 - Dépose et enlèvement de pavés</v>
          </cell>
        </row>
        <row r="62">
          <cell r="C62" t="str">
            <v>m2</v>
          </cell>
          <cell r="D62">
            <v>1380</v>
          </cell>
        </row>
        <row r="63">
          <cell r="A63" t="str">
            <v>207</v>
          </cell>
          <cell r="B63" t="str">
            <v>Prix 207 - Dépose et enlèvement de bordures</v>
          </cell>
        </row>
        <row r="64">
          <cell r="C64" t="str">
            <v>m</v>
          </cell>
          <cell r="D64">
            <v>3450</v>
          </cell>
        </row>
        <row r="65">
          <cell r="A65" t="str">
            <v>208</v>
          </cell>
          <cell r="B65" t="str">
            <v>Prix 208 - Curage d'ouvrages de drainage existant</v>
          </cell>
        </row>
        <row r="66">
          <cell r="A66" t="str">
            <v>208-1</v>
          </cell>
          <cell r="B66" t="str">
            <v>caniveau en béton armé</v>
          </cell>
          <cell r="C66" t="str">
            <v>m</v>
          </cell>
          <cell r="D66">
            <v>4493</v>
          </cell>
        </row>
        <row r="75">
          <cell r="A75">
            <v>211</v>
          </cell>
          <cell r="B75" t="str">
            <v>Prix 211 - Réfection de route bitumée</v>
          </cell>
        </row>
        <row r="76">
          <cell r="C76" t="str">
            <v>m2</v>
          </cell>
          <cell r="D76">
            <v>121505</v>
          </cell>
        </row>
        <row r="78">
          <cell r="D78">
            <v>22770</v>
          </cell>
        </row>
        <row r="79">
          <cell r="A79">
            <v>215</v>
          </cell>
          <cell r="B79" t="str">
            <v>Prix 215 - Dépose de buses</v>
          </cell>
        </row>
        <row r="80">
          <cell r="C80" t="str">
            <v>m</v>
          </cell>
          <cell r="D80">
            <v>97750</v>
          </cell>
        </row>
        <row r="84">
          <cell r="A84" t="str">
            <v xml:space="preserve">PRIX 300 - TERRASSEMENTS </v>
          </cell>
        </row>
        <row r="85">
          <cell r="A85" t="str">
            <v>301</v>
          </cell>
          <cell r="B85" t="str">
            <v>Prix 301 - Déblais en grande masse, mise en dépôt</v>
          </cell>
        </row>
        <row r="86">
          <cell r="A86" t="str">
            <v>301-1</v>
          </cell>
          <cell r="B86" t="str">
            <v>en terrain meuble</v>
          </cell>
          <cell r="D86">
            <v>4901</v>
          </cell>
        </row>
        <row r="90">
          <cell r="A90" t="str">
            <v>302</v>
          </cell>
          <cell r="B90" t="str">
            <v>Prix 302 - Remblais provenant de déblais en terrain meuble</v>
          </cell>
        </row>
        <row r="91">
          <cell r="D91">
            <v>3970</v>
          </cell>
        </row>
        <row r="92">
          <cell r="A92" t="str">
            <v>303</v>
          </cell>
          <cell r="B92" t="str">
            <v>Prix 303 - Fourniture et mise en œuvre de remblais en terre d'apport</v>
          </cell>
        </row>
        <row r="93">
          <cell r="D93">
            <v>14000</v>
          </cell>
        </row>
        <row r="111">
          <cell r="A111">
            <v>312</v>
          </cell>
          <cell r="B111" t="str">
            <v>Prix 312 - Géotextile anti-contaminant</v>
          </cell>
        </row>
        <row r="120">
          <cell r="A120" t="str">
            <v>PRIX 400 - CHAUSSEES ET TROTTOIRS</v>
          </cell>
        </row>
        <row r="121">
          <cell r="A121" t="str">
            <v>401</v>
          </cell>
          <cell r="B121" t="str">
            <v>Prix 401 - Fourniture, transport et mise en œuvre  de matériaux pour couches de chaussée</v>
          </cell>
        </row>
        <row r="123">
          <cell r="A123" t="str">
            <v>401-2</v>
          </cell>
          <cell r="B123" t="str">
            <v>sable silteux</v>
          </cell>
          <cell r="C123" t="str">
            <v>m3</v>
          </cell>
          <cell r="D123">
            <v>14000</v>
          </cell>
        </row>
        <row r="130">
          <cell r="A130">
            <v>405</v>
          </cell>
          <cell r="B130" t="str">
            <v>Prix 405 - Traitement de la couche de base au ciment</v>
          </cell>
        </row>
        <row r="131">
          <cell r="C131" t="str">
            <v>kg</v>
          </cell>
          <cell r="D131">
            <v>748</v>
          </cell>
        </row>
        <row r="135">
          <cell r="A135">
            <v>407</v>
          </cell>
          <cell r="B135" t="str">
            <v>Prix 407 - Préfabrication et mise en œuvre du revêtement en pavés</v>
          </cell>
        </row>
        <row r="136">
          <cell r="A136" t="str">
            <v>407A</v>
          </cell>
          <cell r="B136" t="str">
            <v>Prix 407A – Préfabrication du revêtement en pavés</v>
          </cell>
        </row>
        <row r="137">
          <cell r="A137" t="str">
            <v>407A-0</v>
          </cell>
          <cell r="B137" t="str">
            <v xml:space="preserve">pavés de 13 cm </v>
          </cell>
          <cell r="C137" t="str">
            <v>m2</v>
          </cell>
          <cell r="D137">
            <v>13500</v>
          </cell>
        </row>
        <row r="138">
          <cell r="A138" t="str">
            <v>407A-1</v>
          </cell>
          <cell r="B138" t="str">
            <v xml:space="preserve">pavés de 11 cm </v>
          </cell>
          <cell r="C138" t="str">
            <v>m2</v>
          </cell>
          <cell r="D138">
            <v>11000</v>
          </cell>
        </row>
        <row r="139">
          <cell r="A139" t="str">
            <v>407A-2</v>
          </cell>
          <cell r="B139" t="str">
            <v xml:space="preserve">pavés de 8 cm </v>
          </cell>
          <cell r="C139" t="str">
            <v>m2</v>
          </cell>
          <cell r="D139">
            <v>9300</v>
          </cell>
        </row>
        <row r="140">
          <cell r="A140" t="str">
            <v>407B</v>
          </cell>
          <cell r="B140" t="str">
            <v>Prix 407B - Mise en œuvre du revêtement en pavés</v>
          </cell>
        </row>
        <row r="141">
          <cell r="A141" t="str">
            <v>407B-0</v>
          </cell>
          <cell r="B141" t="str">
            <v xml:space="preserve">Pavés de 13 cm </v>
          </cell>
          <cell r="C141" t="str">
            <v>m2</v>
          </cell>
          <cell r="D141">
            <v>4000</v>
          </cell>
        </row>
        <row r="142">
          <cell r="A142" t="str">
            <v>407B-1</v>
          </cell>
          <cell r="B142" t="str">
            <v>Pavés de 11 cm</v>
          </cell>
          <cell r="C142" t="str">
            <v>m2</v>
          </cell>
          <cell r="D142">
            <v>3500</v>
          </cell>
        </row>
        <row r="143">
          <cell r="A143" t="str">
            <v>407B-2</v>
          </cell>
          <cell r="B143" t="str">
            <v>Pavés de 8 cm</v>
          </cell>
          <cell r="C143" t="str">
            <v>m2</v>
          </cell>
          <cell r="D143">
            <v>3000</v>
          </cell>
        </row>
        <row r="144">
          <cell r="A144">
            <v>408</v>
          </cell>
          <cell r="B144" t="str">
            <v>Prix 408 - Préfabrication et mise en œuvre de bordures Préfabriqués</v>
          </cell>
        </row>
        <row r="145">
          <cell r="A145" t="str">
            <v>408A</v>
          </cell>
          <cell r="B145" t="str">
            <v>Prix 408A – Préfabrication de bordures</v>
          </cell>
        </row>
        <row r="146">
          <cell r="A146" t="str">
            <v>408A-1</v>
          </cell>
          <cell r="B146" t="str">
            <v>bordures lourdes 15 x 30 cm (T2)</v>
          </cell>
          <cell r="C146" t="str">
            <v>m</v>
          </cell>
          <cell r="D146">
            <v>7514</v>
          </cell>
        </row>
        <row r="147">
          <cell r="A147" t="str">
            <v>408A-2</v>
          </cell>
          <cell r="B147" t="str">
            <v>bordures lègères 10 x 20 cm (T1)</v>
          </cell>
          <cell r="C147" t="str">
            <v>m</v>
          </cell>
          <cell r="D147">
            <v>5700</v>
          </cell>
        </row>
        <row r="149">
          <cell r="A149" t="str">
            <v>408A-4</v>
          </cell>
          <cell r="B149" t="str">
            <v>bordures type T2- CS2</v>
          </cell>
          <cell r="C149" t="str">
            <v>m</v>
          </cell>
          <cell r="D149">
            <v>13829</v>
          </cell>
        </row>
        <row r="150">
          <cell r="A150" t="str">
            <v>408B</v>
          </cell>
          <cell r="B150" t="str">
            <v>Prix 408B - Mise en œuvre de bordures préfabriquées</v>
          </cell>
        </row>
        <row r="151">
          <cell r="A151" t="str">
            <v>408B-1</v>
          </cell>
          <cell r="B151" t="str">
            <v>Bordures   de dimensions 15 x 30 cm ou bordures T2</v>
          </cell>
          <cell r="C151" t="str">
            <v>m</v>
          </cell>
          <cell r="D151">
            <v>5466</v>
          </cell>
        </row>
        <row r="152">
          <cell r="A152" t="str">
            <v>408B-2</v>
          </cell>
          <cell r="B152" t="str">
            <v>Bordures de dimensions 10 x 20 cm ou bordures T1</v>
          </cell>
          <cell r="C152" t="str">
            <v>m</v>
          </cell>
          <cell r="D152">
            <v>4800</v>
          </cell>
        </row>
        <row r="154">
          <cell r="A154" t="str">
            <v>408B-4</v>
          </cell>
          <cell r="B154" t="str">
            <v>Bordures T2- CS2</v>
          </cell>
          <cell r="C154" t="str">
            <v>m</v>
          </cell>
          <cell r="D154">
            <v>11315</v>
          </cell>
        </row>
        <row r="155">
          <cell r="A155">
            <v>409</v>
          </cell>
          <cell r="B155" t="str">
            <v>Prix 409 - Préfabrication et mise en œuvre  de Pavé Pré peint et pavé décoratif d'embellissement du cadre de vie</v>
          </cell>
        </row>
        <row r="156">
          <cell r="A156" t="str">
            <v>409A</v>
          </cell>
          <cell r="B156" t="str">
            <v>Prix 409A - Préfabrication de Pavé Pré peint et pavé décoratif d'embellissemnt du cadre de vie</v>
          </cell>
        </row>
        <row r="157">
          <cell r="A157" t="str">
            <v>409A-1</v>
          </cell>
          <cell r="B157" t="str">
            <v>Préfabrication de Pavé pré peint de 11 cm pour la signalisation routière</v>
          </cell>
          <cell r="C157" t="str">
            <v>m2</v>
          </cell>
          <cell r="D157">
            <v>14300</v>
          </cell>
        </row>
        <row r="158">
          <cell r="A158" t="str">
            <v>409A-2</v>
          </cell>
          <cell r="B158" t="str">
            <v>Préfabrication de pavé de 8 cm décoratif d'embellissement du cadre de Vie</v>
          </cell>
          <cell r="C158" t="str">
            <v>m2</v>
          </cell>
          <cell r="D158">
            <v>12090</v>
          </cell>
        </row>
        <row r="159">
          <cell r="A159" t="str">
            <v>409B</v>
          </cell>
          <cell r="B159" t="str">
            <v>Prix 409B - Mise en oeurve  de Pavé Pré peint et Pavé décoratif d'embellissement du cadre de vie</v>
          </cell>
        </row>
        <row r="160">
          <cell r="A160" t="str">
            <v>409B-1</v>
          </cell>
          <cell r="B160" t="str">
            <v>Mise en œuvre  de Pavé pré peint de 11 cm pour la signalisation routière</v>
          </cell>
          <cell r="C160" t="str">
            <v>m2</v>
          </cell>
          <cell r="D160">
            <v>4900</v>
          </cell>
        </row>
        <row r="161">
          <cell r="A161" t="str">
            <v>409B-2</v>
          </cell>
          <cell r="B161" t="str">
            <v>Mise en œuvre  de pavé de 8 cm  décoratif d'embellissement du cadre de Vie</v>
          </cell>
          <cell r="C161" t="str">
            <v>m2</v>
          </cell>
          <cell r="D161">
            <v>3900</v>
          </cell>
        </row>
        <row r="166">
          <cell r="A166" t="str">
            <v>PRIX 500 - ASSAINISSEMENT ET DRAINAGE</v>
          </cell>
        </row>
        <row r="167">
          <cell r="A167">
            <v>501</v>
          </cell>
          <cell r="B167" t="str">
            <v xml:space="preserve">Prix 501 - Fouilles en terrain meuble pour ouvrages de drainage </v>
          </cell>
        </row>
        <row r="168">
          <cell r="C168" t="str">
            <v>m3</v>
          </cell>
        </row>
        <row r="169">
          <cell r="A169" t="str">
            <v>501bis</v>
          </cell>
          <cell r="B169" t="str">
            <v xml:space="preserve">Prix 501 bis - Fouilles en terrain rocheux pour ouvrages de drainage </v>
          </cell>
        </row>
        <row r="170">
          <cell r="C170" t="str">
            <v>m3</v>
          </cell>
        </row>
        <row r="171">
          <cell r="A171">
            <v>502</v>
          </cell>
          <cell r="B171" t="str">
            <v>Prix 502 - Remblais de fouilles</v>
          </cell>
        </row>
        <row r="172">
          <cell r="C172" t="str">
            <v>m3</v>
          </cell>
        </row>
        <row r="173">
          <cell r="A173" t="str">
            <v>503</v>
          </cell>
          <cell r="B173" t="str">
            <v xml:space="preserve">Prix 503 - Béton de propreté C 150 </v>
          </cell>
        </row>
        <row r="174">
          <cell r="C174" t="str">
            <v>m3</v>
          </cell>
          <cell r="D174">
            <v>98394</v>
          </cell>
        </row>
        <row r="175">
          <cell r="A175" t="str">
            <v>504</v>
          </cell>
          <cell r="B175" t="str">
            <v>Prix 504 - Coffrages</v>
          </cell>
        </row>
        <row r="176">
          <cell r="C176" t="str">
            <v>m2</v>
          </cell>
        </row>
        <row r="177">
          <cell r="A177">
            <v>505</v>
          </cell>
          <cell r="B177" t="str">
            <v>Prix 505 - Aciers pour les bétons armés des ouvrages</v>
          </cell>
        </row>
        <row r="178">
          <cell r="A178" t="str">
            <v>505-1</v>
          </cell>
          <cell r="B178" t="str">
            <v>le kilogramme d'acier à haute adhérence</v>
          </cell>
          <cell r="C178" t="str">
            <v>kg</v>
          </cell>
        </row>
        <row r="180">
          <cell r="A180">
            <v>506</v>
          </cell>
          <cell r="B180" t="str">
            <v>Prix 506 - Béton de classe B 250</v>
          </cell>
        </row>
        <row r="181">
          <cell r="C181" t="str">
            <v>m3</v>
          </cell>
          <cell r="D181">
            <v>109505</v>
          </cell>
        </row>
        <row r="182">
          <cell r="A182">
            <v>507</v>
          </cell>
          <cell r="B182" t="str">
            <v xml:space="preserve">Prix 507 - Béton de classe A 350  pour ouvrages </v>
          </cell>
        </row>
        <row r="183">
          <cell r="C183" t="str">
            <v>m3</v>
          </cell>
        </row>
        <row r="186">
          <cell r="A186">
            <v>509</v>
          </cell>
          <cell r="B186" t="str">
            <v>Prix 509 - Dalles de couverture de caniveaux, préfabriqués ou coulés sur place (Portée inférieure ou égale à 1,50 m)</v>
          </cell>
        </row>
        <row r="187">
          <cell r="A187" t="str">
            <v>509-1</v>
          </cell>
          <cell r="B187" t="str">
            <v xml:space="preserve">dalles de trottoirs </v>
          </cell>
          <cell r="C187" t="str">
            <v>m2</v>
          </cell>
          <cell r="D187">
            <v>47298</v>
          </cell>
        </row>
        <row r="188">
          <cell r="A188" t="str">
            <v>509-2</v>
          </cell>
          <cell r="B188" t="str">
            <v xml:space="preserve">dalles de rue </v>
          </cell>
          <cell r="C188" t="str">
            <v>m2</v>
          </cell>
          <cell r="D188">
            <v>62523.75</v>
          </cell>
        </row>
        <row r="189">
          <cell r="A189" t="str">
            <v>509-3</v>
          </cell>
          <cell r="B189" t="str">
            <v xml:space="preserve">dalles spéciales B.A sur bouches avaloirs </v>
          </cell>
          <cell r="C189" t="str">
            <v>m2</v>
          </cell>
          <cell r="D189">
            <v>52900</v>
          </cell>
        </row>
        <row r="194">
          <cell r="A194">
            <v>510</v>
          </cell>
          <cell r="B194" t="str">
            <v>Prix 510 - Fourniture, transport et pose de buses en béton armé</v>
          </cell>
        </row>
        <row r="198">
          <cell r="A198" t="str">
            <v>510-4</v>
          </cell>
          <cell r="B198" t="str">
            <v>Buses en B.A diamètre 1800 mm</v>
          </cell>
          <cell r="D198">
            <v>415009</v>
          </cell>
        </row>
        <row r="200">
          <cell r="A200" t="str">
            <v>511</v>
          </cell>
          <cell r="B200" t="str">
            <v>Prix 511 - Caniveaux trottoir en béton Armé y compris les dalles  de trottoir  et de rue</v>
          </cell>
        </row>
        <row r="201">
          <cell r="A201" t="str">
            <v>Prix 511-1</v>
          </cell>
          <cell r="B201" t="str">
            <v>caniveau trottoir de largeur intérieure 0,60 m et hauteur 0,60 à 0,7 m</v>
          </cell>
          <cell r="C201" t="str">
            <v>m</v>
          </cell>
          <cell r="D201">
            <v>95000</v>
          </cell>
        </row>
        <row r="202">
          <cell r="A202" t="str">
            <v>Prix 511-2</v>
          </cell>
          <cell r="B202" t="str">
            <v>caniveau trottoir de largeur intérieure 0,60 m et hauteur 0,80 à 0,90 m</v>
          </cell>
          <cell r="D202">
            <v>105000</v>
          </cell>
        </row>
        <row r="206">
          <cell r="A206" t="str">
            <v>Prix 511-6</v>
          </cell>
          <cell r="B206" t="str">
            <v>caniveau trottoir de largeur intérieure 0,8 m et hauteur 0,80 à 0,90 m</v>
          </cell>
          <cell r="C206" t="str">
            <v>m</v>
          </cell>
          <cell r="D206">
            <v>110000</v>
          </cell>
        </row>
        <row r="211">
          <cell r="A211" t="str">
            <v>Prix 511-11</v>
          </cell>
          <cell r="B211" t="str">
            <v>caniveau trottoir de largeur intérieure 1,0 m et hauteur 1,00 à 1,20 m</v>
          </cell>
          <cell r="D211">
            <v>180250</v>
          </cell>
        </row>
        <row r="213">
          <cell r="A213" t="str">
            <v>Prix 511-13</v>
          </cell>
          <cell r="B213" t="str">
            <v>caniveau trottoir de largeur intérieure 1,2 m et hauteur 0,80 à 0,90 m</v>
          </cell>
          <cell r="D213">
            <v>164585</v>
          </cell>
        </row>
        <row r="232">
          <cell r="A232" t="str">
            <v xml:space="preserve">Prix 511 bis  </v>
          </cell>
          <cell r="B232" t="str">
            <v>Prix 511 bis - Caniveaux – cadre en béton armé</v>
          </cell>
        </row>
        <row r="234">
          <cell r="A234" t="str">
            <v>Prix 511bis-2</v>
          </cell>
          <cell r="B234" t="str">
            <v>caniveau cadre de largeur intérieure 1,0 m et hauteur 1,0 m</v>
          </cell>
          <cell r="C234" t="str">
            <v>m</v>
          </cell>
          <cell r="D234">
            <v>450000</v>
          </cell>
        </row>
        <row r="235">
          <cell r="A235" t="str">
            <v>Prix 511bis-3</v>
          </cell>
          <cell r="B235" t="str">
            <v>caniveau cadre de largeur intérieure 1,0 m et hauteur 1,5 m</v>
          </cell>
          <cell r="C235" t="str">
            <v>m</v>
          </cell>
          <cell r="D235">
            <v>528129</v>
          </cell>
        </row>
        <row r="241">
          <cell r="A241" t="str">
            <v>Prix 511bis-9</v>
          </cell>
          <cell r="B241" t="str">
            <v>caniveau cadre de largeur intérieure 1,6 m et hauteur 1,6 m</v>
          </cell>
          <cell r="D241">
            <v>628432.0560000001</v>
          </cell>
        </row>
        <row r="247">
          <cell r="A247" t="str">
            <v>Prix 511bis-15</v>
          </cell>
          <cell r="B247" t="str">
            <v>caniveau cadre de largeur intérieure 2 x 1,0 m et hauteur 1,0 m</v>
          </cell>
          <cell r="D247">
            <v>718255.44</v>
          </cell>
        </row>
        <row r="255">
          <cell r="A255" t="str">
            <v>Prix 511bis-23</v>
          </cell>
          <cell r="B255" t="str">
            <v>caniveau cadre de largeur intérieure 2x1,6 m et hauteur 1,8 m</v>
          </cell>
          <cell r="C255" t="str">
            <v>m</v>
          </cell>
          <cell r="D255">
            <v>1197013.4400000002</v>
          </cell>
        </row>
        <row r="265">
          <cell r="A265" t="str">
            <v>Prix 511bis-33</v>
          </cell>
          <cell r="B265" t="str">
            <v>caniveau cadre de largeur intérieure 3x1,6 m et hauteur 1,6 m</v>
          </cell>
          <cell r="D265">
            <v>1436416.1280000003</v>
          </cell>
        </row>
        <row r="266">
          <cell r="C266" t="str">
            <v>m</v>
          </cell>
        </row>
        <row r="269">
          <cell r="A269" t="str">
            <v>Prix 511bis-37</v>
          </cell>
          <cell r="B269" t="str">
            <v>caniveau cadre de largeur intérieure 3 x 1,7 m et hauteur 2,0 m</v>
          </cell>
        </row>
        <row r="273">
          <cell r="C273" t="str">
            <v>m</v>
          </cell>
        </row>
        <row r="275">
          <cell r="A275" t="str">
            <v>Prix 511bis-43</v>
          </cell>
          <cell r="B275" t="str">
            <v>caniveau cadre de largeur intérieure 5x1,6 m et hauteur 1,6 m</v>
          </cell>
        </row>
        <row r="276">
          <cell r="A276" t="str">
            <v>Prix 511bis-44</v>
          </cell>
          <cell r="B276" t="str">
            <v>caniveau cadre de largeur intérieure 4x1,6 m et hauteur 1,8 m</v>
          </cell>
        </row>
        <row r="291">
          <cell r="A291">
            <v>512</v>
          </cell>
          <cell r="B291" t="str">
            <v>Prix 512  - construction de Dalots en béton armé</v>
          </cell>
        </row>
        <row r="299">
          <cell r="A299" t="str">
            <v>512-8</v>
          </cell>
          <cell r="B299" t="str">
            <v>dalot cadre B= 2 x 4,00 m  H= 1,6 m</v>
          </cell>
          <cell r="D299">
            <v>4238512</v>
          </cell>
        </row>
        <row r="328">
          <cell r="A328" t="str">
            <v>512 b</v>
          </cell>
          <cell r="B328" t="str">
            <v>Prix 512 b - Aile en béton</v>
          </cell>
        </row>
        <row r="329">
          <cell r="C329" t="str">
            <v>U</v>
          </cell>
          <cell r="D329">
            <v>8200120</v>
          </cell>
        </row>
        <row r="330">
          <cell r="A330">
            <v>513</v>
          </cell>
          <cell r="B330" t="str">
            <v>Prix 513 - Regards</v>
          </cell>
        </row>
        <row r="332">
          <cell r="A332" t="str">
            <v>513-2</v>
          </cell>
          <cell r="B332" t="str">
            <v>Regards d'inspection coulés en place sur collecteur fermé, avec tampon inviolable en fonte de type D-400 selon NF EN. 124 et échelons en acier inoxydable encastrés et de hauteur 0 à 5 m</v>
          </cell>
          <cell r="C332" t="str">
            <v>U</v>
          </cell>
          <cell r="D332">
            <v>1125276</v>
          </cell>
        </row>
        <row r="333">
          <cell r="A333" t="str">
            <v>513-3</v>
          </cell>
          <cell r="B333" t="str">
            <v>Regard (avaloir sous chaussée) de type "boîte à lettre"</v>
          </cell>
          <cell r="C333" t="str">
            <v>U</v>
          </cell>
          <cell r="D333">
            <v>60000</v>
          </cell>
        </row>
        <row r="334">
          <cell r="A334" t="str">
            <v>513-4</v>
          </cell>
          <cell r="B334" t="str">
            <v>construction d'un regard de dimension 11,5 m x 8,5 m et de hauteur supérieure ou égale à 1,6 m</v>
          </cell>
          <cell r="D334">
            <v>35337476.200000003</v>
          </cell>
        </row>
        <row r="387">
          <cell r="A387" t="str">
            <v>PRIX 600 - DIVERS</v>
          </cell>
        </row>
        <row r="388">
          <cell r="A388" t="str">
            <v>601</v>
          </cell>
          <cell r="B388" t="str">
            <v>Prix 601 - Aménagement d'espaces verts</v>
          </cell>
        </row>
        <row r="389">
          <cell r="A389" t="str">
            <v>601-1</v>
          </cell>
          <cell r="B389" t="str">
            <v>Plantation  et entretien d'arbres</v>
          </cell>
          <cell r="D389">
            <v>57232</v>
          </cell>
        </row>
        <row r="391">
          <cell r="A391" t="str">
            <v>601-3</v>
          </cell>
          <cell r="B391" t="str">
            <v xml:space="preserve">Engazonnement  et entretien </v>
          </cell>
          <cell r="D391">
            <v>9500</v>
          </cell>
        </row>
        <row r="406">
          <cell r="A406">
            <v>604</v>
          </cell>
          <cell r="B406" t="str">
            <v>Prix 604 -  signalisation</v>
          </cell>
        </row>
        <row r="407">
          <cell r="A407" t="str">
            <v>604-1</v>
          </cell>
          <cell r="B407" t="str">
            <v>Fourniture et pose de panneaux de signalisation routière</v>
          </cell>
          <cell r="D407">
            <v>207685</v>
          </cell>
        </row>
        <row r="408">
          <cell r="A408" t="str">
            <v>604-2</v>
          </cell>
          <cell r="B408" t="str">
            <v>Ralentisseur de vitesse de type dos d'âne</v>
          </cell>
          <cell r="D408">
            <v>623055</v>
          </cell>
        </row>
        <row r="409">
          <cell r="A409">
            <v>605</v>
          </cell>
          <cell r="B409" t="str">
            <v>Prix 605 - Protection en enrochement</v>
          </cell>
        </row>
        <row r="410">
          <cell r="D410">
            <v>32724</v>
          </cell>
        </row>
        <row r="418">
          <cell r="A418">
            <v>609</v>
          </cell>
          <cell r="B418" t="str">
            <v xml:space="preserve">Prix 609 - Réalisation de tapis drainant en gravier 20 / 40 mm sous les ouvrages </v>
          </cell>
        </row>
        <row r="419">
          <cell r="D419">
            <v>51865</v>
          </cell>
        </row>
        <row r="420">
          <cell r="A420">
            <v>610</v>
          </cell>
          <cell r="B420" t="str">
            <v>Prix 610 - Aménagement d'un bassin de rétention  et de protection contre l'érosion côtière conformément aux plans</v>
          </cell>
        </row>
        <row r="421">
          <cell r="D421">
            <v>15505589</v>
          </cell>
        </row>
      </sheetData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7030A0"/>
  </sheetPr>
  <dimension ref="A1:GG193"/>
  <sheetViews>
    <sheetView topLeftCell="B1" workbookViewId="0">
      <selection activeCell="G12" sqref="G12"/>
    </sheetView>
  </sheetViews>
  <sheetFormatPr baseColWidth="10" defaultColWidth="9.140625" defaultRowHeight="15"/>
  <cols>
    <col min="1" max="1" width="14.7109375" style="421" customWidth="1"/>
    <col min="2" max="2" width="79.140625" style="142" customWidth="1"/>
    <col min="3" max="3" width="11" style="142" customWidth="1"/>
    <col min="4" max="4" width="14.85546875" style="142" customWidth="1"/>
    <col min="5" max="5" width="20" style="374" customWidth="1"/>
    <col min="6" max="6" width="32.85546875" style="142" customWidth="1"/>
    <col min="7" max="7" width="12.85546875" style="142" bestFit="1" customWidth="1"/>
    <col min="8" max="8" width="16" style="255" bestFit="1" customWidth="1"/>
    <col min="9" max="9" width="10.7109375" style="262" customWidth="1"/>
    <col min="10" max="10" width="16" style="255" bestFit="1" customWidth="1"/>
    <col min="11" max="11" width="9.140625" style="129"/>
    <col min="12" max="12" width="9.28515625" style="129" bestFit="1" customWidth="1"/>
    <col min="13" max="189" width="9.140625" style="129"/>
    <col min="190" max="16384" width="9.140625" style="142"/>
  </cols>
  <sheetData>
    <row r="1" spans="1:189" ht="20.25" thickBot="1">
      <c r="A1" s="434" t="s">
        <v>184</v>
      </c>
      <c r="D1" s="62"/>
      <c r="E1" s="593"/>
      <c r="F1" s="99"/>
    </row>
    <row r="2" spans="1:189" ht="25.5" thickBot="1">
      <c r="A2" s="1856" t="s">
        <v>278</v>
      </c>
      <c r="B2" s="1857"/>
      <c r="C2" s="1857"/>
      <c r="D2" s="1857"/>
      <c r="E2" s="1857"/>
      <c r="F2" s="1858"/>
      <c r="G2" s="119"/>
    </row>
    <row r="3" spans="1:189" ht="24.75">
      <c r="A3" s="435"/>
      <c r="B3" s="329"/>
      <c r="C3" s="329"/>
      <c r="D3" s="329"/>
      <c r="E3" s="594" t="s">
        <v>502</v>
      </c>
      <c r="F3" s="534">
        <v>450</v>
      </c>
      <c r="G3" s="119"/>
    </row>
    <row r="4" spans="1:189" ht="24.75">
      <c r="A4" s="435"/>
      <c r="B4" s="329"/>
      <c r="C4" s="329"/>
      <c r="D4" s="329"/>
      <c r="E4" s="594" t="s">
        <v>501</v>
      </c>
      <c r="F4" s="534">
        <f>803-450</f>
        <v>353</v>
      </c>
      <c r="G4" s="119">
        <f>+F4*2</f>
        <v>706</v>
      </c>
    </row>
    <row r="5" spans="1:189" ht="19.5">
      <c r="A5" s="434"/>
      <c r="D5" s="534"/>
      <c r="E5" s="594" t="s">
        <v>500</v>
      </c>
      <c r="F5" s="534">
        <v>803</v>
      </c>
    </row>
    <row r="6" spans="1:189" ht="15" customHeight="1">
      <c r="A6" s="106"/>
      <c r="D6" s="62"/>
      <c r="E6" s="595"/>
      <c r="F6" s="144"/>
      <c r="G6" s="89"/>
      <c r="H6" s="255" t="s">
        <v>186</v>
      </c>
      <c r="I6" s="262" t="s">
        <v>187</v>
      </c>
      <c r="J6" s="255" t="s">
        <v>188</v>
      </c>
    </row>
    <row r="7" spans="1:189" ht="24.75" customHeight="1">
      <c r="A7" s="436" t="s">
        <v>20</v>
      </c>
      <c r="B7" s="33"/>
      <c r="C7" s="52" t="s">
        <v>98</v>
      </c>
      <c r="D7" s="70" t="s">
        <v>99</v>
      </c>
      <c r="E7" s="596" t="s">
        <v>100</v>
      </c>
      <c r="F7" s="241" t="s">
        <v>114</v>
      </c>
    </row>
    <row r="8" spans="1:189" ht="25.5">
      <c r="A8" s="437" t="s">
        <v>22</v>
      </c>
      <c r="B8" s="27" t="s">
        <v>21</v>
      </c>
      <c r="C8" s="210"/>
      <c r="D8" s="210"/>
      <c r="E8" s="577"/>
      <c r="F8" s="204"/>
    </row>
    <row r="9" spans="1:189" ht="15.95" customHeight="1">
      <c r="A9" s="36"/>
      <c r="B9" s="31"/>
      <c r="C9" s="237" t="s">
        <v>19</v>
      </c>
      <c r="D9" s="237">
        <v>1</v>
      </c>
      <c r="E9" s="578" t="e">
        <f>J9</f>
        <v>#REF!</v>
      </c>
      <c r="F9" s="208" t="e">
        <f>+D9*E9</f>
        <v>#REF!</v>
      </c>
      <c r="G9" s="142">
        <v>0.15</v>
      </c>
      <c r="H9" s="255" t="e">
        <f>G9*F172</f>
        <v>#REF!</v>
      </c>
      <c r="I9" s="262">
        <v>1</v>
      </c>
      <c r="J9" s="255" t="e">
        <f>H9*I9</f>
        <v>#REF!</v>
      </c>
    </row>
    <row r="10" spans="1:189" ht="15.95" customHeight="1">
      <c r="A10" s="35" t="e">
        <f>+#REF!</f>
        <v>#REF!</v>
      </c>
      <c r="B10" s="35" t="e">
        <f>+#REF!</f>
        <v>#REF!</v>
      </c>
      <c r="C10" s="210"/>
      <c r="D10" s="210"/>
      <c r="E10" s="597"/>
      <c r="F10" s="65"/>
    </row>
    <row r="11" spans="1:189" ht="15.95" customHeight="1">
      <c r="A11" s="36"/>
      <c r="B11" s="31"/>
      <c r="C11" s="237" t="e">
        <f>+#REF!</f>
        <v>#REF!</v>
      </c>
      <c r="D11" s="237">
        <v>1</v>
      </c>
      <c r="E11" s="598" t="e">
        <f>G11*F172</f>
        <v>#REF!</v>
      </c>
      <c r="F11" s="64" t="e">
        <f>+D11*E11</f>
        <v>#REF!</v>
      </c>
      <c r="G11" s="142">
        <v>0.02</v>
      </c>
      <c r="H11" s="255">
        <f>F5*2</f>
        <v>1606</v>
      </c>
      <c r="I11" s="262">
        <v>1.05</v>
      </c>
      <c r="J11" s="255">
        <f>H11*I11</f>
        <v>1686.3000000000002</v>
      </c>
    </row>
    <row r="12" spans="1:189" ht="15.95" customHeight="1">
      <c r="A12" s="407"/>
      <c r="B12" s="27"/>
      <c r="C12" s="95"/>
      <c r="D12" s="92"/>
      <c r="E12" s="580" t="s">
        <v>108</v>
      </c>
      <c r="F12" s="94" t="e">
        <f>SUM(F8:F11)</f>
        <v>#REF!</v>
      </c>
    </row>
    <row r="13" spans="1:189" ht="15.95" customHeight="1">
      <c r="D13" s="75"/>
      <c r="E13" s="593"/>
      <c r="F13" s="62"/>
    </row>
    <row r="14" spans="1:189" ht="15.95" customHeight="1">
      <c r="A14" s="436" t="e">
        <f>+#REF!</f>
        <v>#REF!</v>
      </c>
      <c r="B14" s="3"/>
      <c r="C14" s="52" t="s">
        <v>98</v>
      </c>
      <c r="D14" s="86" t="s">
        <v>99</v>
      </c>
      <c r="E14" s="596" t="s">
        <v>100</v>
      </c>
      <c r="F14" s="241" t="s">
        <v>114</v>
      </c>
    </row>
    <row r="15" spans="1:189" s="515" customFormat="1" ht="15.95" customHeight="1">
      <c r="A15" s="572" t="e">
        <f>+#REF!</f>
        <v>#REF!</v>
      </c>
      <c r="B15" s="572" t="e">
        <f>+#REF!</f>
        <v>#REF!</v>
      </c>
      <c r="C15" s="160"/>
      <c r="D15" s="63"/>
      <c r="E15" s="599"/>
      <c r="F15" s="63"/>
      <c r="H15" s="532"/>
      <c r="I15" s="533"/>
      <c r="J15" s="532"/>
      <c r="K15" s="531"/>
      <c r="L15" s="531"/>
      <c r="M15" s="531"/>
      <c r="N15" s="531"/>
      <c r="O15" s="531"/>
      <c r="P15" s="531"/>
      <c r="Q15" s="531"/>
      <c r="R15" s="531"/>
      <c r="S15" s="531"/>
      <c r="T15" s="531"/>
      <c r="U15" s="531"/>
      <c r="V15" s="531"/>
      <c r="W15" s="531"/>
      <c r="X15" s="531"/>
      <c r="Y15" s="531"/>
      <c r="Z15" s="531"/>
      <c r="AA15" s="531"/>
      <c r="AB15" s="531"/>
      <c r="AC15" s="531"/>
      <c r="AD15" s="531"/>
      <c r="AE15" s="531"/>
      <c r="AF15" s="531"/>
      <c r="AG15" s="531"/>
      <c r="AH15" s="531"/>
      <c r="AI15" s="531"/>
      <c r="AJ15" s="531"/>
      <c r="AK15" s="531"/>
      <c r="AL15" s="531"/>
      <c r="AM15" s="531"/>
      <c r="AN15" s="531"/>
      <c r="AO15" s="531"/>
      <c r="AP15" s="531"/>
      <c r="AQ15" s="531"/>
      <c r="AR15" s="531"/>
      <c r="AS15" s="531"/>
      <c r="AT15" s="531"/>
      <c r="AU15" s="531"/>
      <c r="AV15" s="531"/>
      <c r="AW15" s="531"/>
      <c r="AX15" s="531"/>
      <c r="AY15" s="531"/>
      <c r="AZ15" s="531"/>
      <c r="BA15" s="531"/>
      <c r="BB15" s="531"/>
      <c r="BC15" s="531"/>
      <c r="BD15" s="531"/>
      <c r="BE15" s="531"/>
      <c r="BF15" s="531"/>
      <c r="BG15" s="531"/>
      <c r="BH15" s="531"/>
      <c r="BI15" s="531"/>
      <c r="BJ15" s="531"/>
      <c r="BK15" s="531"/>
      <c r="BL15" s="531"/>
      <c r="BM15" s="531"/>
      <c r="BN15" s="531"/>
      <c r="BO15" s="531"/>
      <c r="BP15" s="531"/>
      <c r="BQ15" s="531"/>
      <c r="BR15" s="531"/>
      <c r="BS15" s="531"/>
      <c r="BT15" s="531"/>
      <c r="BU15" s="531"/>
      <c r="BV15" s="531"/>
      <c r="BW15" s="531"/>
      <c r="BX15" s="531"/>
      <c r="BY15" s="531"/>
      <c r="BZ15" s="531"/>
      <c r="CA15" s="531"/>
      <c r="CB15" s="531"/>
      <c r="CC15" s="531"/>
      <c r="CD15" s="531"/>
      <c r="CE15" s="531"/>
      <c r="CF15" s="531"/>
      <c r="CG15" s="531"/>
      <c r="CH15" s="531"/>
      <c r="CI15" s="531"/>
      <c r="CJ15" s="531"/>
      <c r="CK15" s="531"/>
      <c r="CL15" s="531"/>
      <c r="CM15" s="531"/>
      <c r="CN15" s="531"/>
      <c r="CO15" s="531"/>
      <c r="CP15" s="531"/>
      <c r="CQ15" s="531"/>
      <c r="CR15" s="531"/>
      <c r="CS15" s="531"/>
      <c r="CT15" s="531"/>
      <c r="CU15" s="531"/>
      <c r="CV15" s="531"/>
      <c r="CW15" s="531"/>
      <c r="CX15" s="531"/>
      <c r="CY15" s="531"/>
      <c r="CZ15" s="531"/>
      <c r="DA15" s="531"/>
      <c r="DB15" s="531"/>
      <c r="DC15" s="531"/>
      <c r="DD15" s="531"/>
      <c r="DE15" s="531"/>
      <c r="DF15" s="531"/>
      <c r="DG15" s="531"/>
      <c r="DH15" s="531"/>
      <c r="DI15" s="531"/>
      <c r="DJ15" s="531"/>
      <c r="DK15" s="531"/>
      <c r="DL15" s="531"/>
      <c r="DM15" s="531"/>
      <c r="DN15" s="531"/>
      <c r="DO15" s="531"/>
      <c r="DP15" s="531"/>
      <c r="DQ15" s="531"/>
      <c r="DR15" s="531"/>
      <c r="DS15" s="531"/>
      <c r="DT15" s="531"/>
      <c r="DU15" s="531"/>
      <c r="DV15" s="531"/>
      <c r="DW15" s="531"/>
      <c r="DX15" s="531"/>
      <c r="DY15" s="531"/>
      <c r="DZ15" s="531"/>
      <c r="EA15" s="531"/>
      <c r="EB15" s="531"/>
      <c r="EC15" s="531"/>
      <c r="ED15" s="531"/>
      <c r="EE15" s="531"/>
      <c r="EF15" s="531"/>
      <c r="EG15" s="531"/>
      <c r="EH15" s="531"/>
      <c r="EI15" s="531"/>
      <c r="EJ15" s="531"/>
      <c r="EK15" s="531"/>
      <c r="EL15" s="531"/>
      <c r="EM15" s="531"/>
      <c r="EN15" s="531"/>
      <c r="EO15" s="531"/>
      <c r="EP15" s="531"/>
      <c r="EQ15" s="531"/>
      <c r="ER15" s="531"/>
      <c r="ES15" s="531"/>
      <c r="ET15" s="531"/>
      <c r="EU15" s="531"/>
      <c r="EV15" s="531"/>
      <c r="EW15" s="531"/>
      <c r="EX15" s="531"/>
      <c r="EY15" s="531"/>
      <c r="EZ15" s="531"/>
      <c r="FA15" s="531"/>
      <c r="FB15" s="531"/>
      <c r="FC15" s="531"/>
      <c r="FD15" s="531"/>
      <c r="FE15" s="531"/>
      <c r="FF15" s="531"/>
      <c r="FG15" s="531"/>
      <c r="FH15" s="531"/>
      <c r="FI15" s="531"/>
      <c r="FJ15" s="531"/>
      <c r="FK15" s="531"/>
      <c r="FL15" s="531"/>
      <c r="FM15" s="531"/>
      <c r="FN15" s="531"/>
      <c r="FO15" s="531"/>
      <c r="FP15" s="531"/>
      <c r="FQ15" s="531"/>
      <c r="FR15" s="531"/>
      <c r="FS15" s="531"/>
      <c r="FT15" s="531"/>
      <c r="FU15" s="531"/>
      <c r="FV15" s="531"/>
      <c r="FW15" s="531"/>
      <c r="FX15" s="531"/>
      <c r="FY15" s="531"/>
      <c r="FZ15" s="531"/>
      <c r="GA15" s="531"/>
      <c r="GB15" s="531"/>
      <c r="GC15" s="531"/>
      <c r="GD15" s="531"/>
      <c r="GE15" s="531"/>
      <c r="GF15" s="531"/>
      <c r="GG15" s="531"/>
    </row>
    <row r="16" spans="1:189" ht="15.95" customHeight="1">
      <c r="A16" s="36"/>
      <c r="B16" s="573"/>
      <c r="C16" s="294" t="s">
        <v>25</v>
      </c>
      <c r="D16" s="107">
        <v>1</v>
      </c>
      <c r="E16" s="374">
        <v>59137944</v>
      </c>
      <c r="F16" s="64">
        <f>+D16*E16</f>
        <v>59137944</v>
      </c>
      <c r="G16" s="149">
        <v>59137944</v>
      </c>
    </row>
    <row r="17" spans="1:189" s="225" customFormat="1" ht="15.95" customHeight="1">
      <c r="A17" s="572" t="e">
        <f>+#REF!</f>
        <v>#REF!</v>
      </c>
      <c r="B17" s="572" t="e">
        <f>+#REF!</f>
        <v>#REF!</v>
      </c>
      <c r="C17" s="160"/>
      <c r="D17" s="63"/>
      <c r="E17" s="599"/>
      <c r="F17" s="63"/>
      <c r="H17" s="259"/>
      <c r="I17" s="265"/>
      <c r="J17" s="259"/>
      <c r="K17" s="226"/>
      <c r="L17" s="226"/>
      <c r="M17" s="226"/>
      <c r="N17" s="226"/>
      <c r="O17" s="226"/>
      <c r="P17" s="226"/>
      <c r="Q17" s="226"/>
      <c r="R17" s="226"/>
      <c r="S17" s="226"/>
      <c r="T17" s="226"/>
      <c r="U17" s="226"/>
      <c r="V17" s="226"/>
      <c r="W17" s="226"/>
      <c r="X17" s="226"/>
      <c r="Y17" s="226"/>
      <c r="Z17" s="226"/>
      <c r="AA17" s="226"/>
      <c r="AB17" s="226"/>
      <c r="AC17" s="226"/>
      <c r="AD17" s="226"/>
      <c r="AE17" s="226"/>
      <c r="AF17" s="226"/>
      <c r="AG17" s="226"/>
      <c r="AH17" s="226"/>
      <c r="AI17" s="226"/>
      <c r="AJ17" s="226"/>
      <c r="AK17" s="226"/>
      <c r="AL17" s="226"/>
      <c r="AM17" s="226"/>
      <c r="AN17" s="226"/>
      <c r="AO17" s="226"/>
      <c r="AP17" s="226"/>
      <c r="AQ17" s="226"/>
      <c r="AR17" s="226"/>
      <c r="AS17" s="226"/>
      <c r="AT17" s="226"/>
      <c r="AU17" s="226"/>
      <c r="AV17" s="226"/>
      <c r="AW17" s="226"/>
      <c r="AX17" s="226"/>
      <c r="AY17" s="226"/>
      <c r="AZ17" s="226"/>
      <c r="BA17" s="226"/>
      <c r="BB17" s="226"/>
      <c r="BC17" s="226"/>
      <c r="BD17" s="226"/>
      <c r="BE17" s="226"/>
      <c r="BF17" s="226"/>
      <c r="BG17" s="226"/>
      <c r="BH17" s="226"/>
      <c r="BI17" s="226"/>
      <c r="BJ17" s="226"/>
      <c r="BK17" s="226"/>
      <c r="BL17" s="226"/>
      <c r="BM17" s="226"/>
      <c r="BN17" s="226"/>
      <c r="BO17" s="226"/>
      <c r="BP17" s="226"/>
      <c r="BQ17" s="226"/>
      <c r="BR17" s="226"/>
      <c r="BS17" s="226"/>
      <c r="BT17" s="226"/>
      <c r="BU17" s="226"/>
      <c r="BV17" s="226"/>
      <c r="BW17" s="226"/>
      <c r="BX17" s="226"/>
      <c r="BY17" s="226"/>
      <c r="BZ17" s="226"/>
      <c r="CA17" s="226"/>
      <c r="CB17" s="226"/>
      <c r="CC17" s="226"/>
      <c r="CD17" s="226"/>
      <c r="CE17" s="226"/>
      <c r="CF17" s="226"/>
      <c r="CG17" s="226"/>
      <c r="CH17" s="226"/>
      <c r="CI17" s="226"/>
      <c r="CJ17" s="226"/>
      <c r="CK17" s="226"/>
      <c r="CL17" s="226"/>
      <c r="CM17" s="226"/>
      <c r="CN17" s="226"/>
      <c r="CO17" s="226"/>
      <c r="CP17" s="226"/>
      <c r="CQ17" s="226"/>
      <c r="CR17" s="226"/>
      <c r="CS17" s="226"/>
      <c r="CT17" s="226"/>
      <c r="CU17" s="226"/>
      <c r="CV17" s="226"/>
      <c r="CW17" s="226"/>
      <c r="CX17" s="226"/>
      <c r="CY17" s="226"/>
      <c r="CZ17" s="226"/>
      <c r="DA17" s="226"/>
      <c r="DB17" s="226"/>
      <c r="DC17" s="226"/>
      <c r="DD17" s="226"/>
      <c r="DE17" s="226"/>
      <c r="DF17" s="226"/>
      <c r="DG17" s="226"/>
      <c r="DH17" s="226"/>
      <c r="DI17" s="226"/>
      <c r="DJ17" s="226"/>
      <c r="DK17" s="226"/>
      <c r="DL17" s="226"/>
      <c r="DM17" s="226"/>
      <c r="DN17" s="226"/>
      <c r="DO17" s="226"/>
      <c r="DP17" s="226"/>
      <c r="DQ17" s="226"/>
      <c r="DR17" s="226"/>
      <c r="DS17" s="226"/>
      <c r="DT17" s="226"/>
      <c r="DU17" s="226"/>
      <c r="DV17" s="226"/>
      <c r="DW17" s="226"/>
      <c r="DX17" s="226"/>
      <c r="DY17" s="226"/>
      <c r="DZ17" s="226"/>
      <c r="EA17" s="226"/>
      <c r="EB17" s="226"/>
      <c r="EC17" s="226"/>
      <c r="ED17" s="226"/>
      <c r="EE17" s="226"/>
      <c r="EF17" s="226"/>
      <c r="EG17" s="226"/>
      <c r="EH17" s="226"/>
      <c r="EI17" s="226"/>
      <c r="EJ17" s="226"/>
      <c r="EK17" s="226"/>
      <c r="EL17" s="226"/>
      <c r="EM17" s="226"/>
      <c r="EN17" s="226"/>
      <c r="EO17" s="226"/>
      <c r="EP17" s="226"/>
      <c r="EQ17" s="226"/>
      <c r="ER17" s="226"/>
      <c r="ES17" s="226"/>
      <c r="ET17" s="226"/>
      <c r="EU17" s="226"/>
      <c r="EV17" s="226"/>
      <c r="EW17" s="226"/>
      <c r="EX17" s="226"/>
      <c r="EY17" s="226"/>
      <c r="EZ17" s="226"/>
      <c r="FA17" s="226"/>
      <c r="FB17" s="226"/>
      <c r="FC17" s="226"/>
      <c r="FD17" s="226"/>
      <c r="FE17" s="226"/>
      <c r="FF17" s="226"/>
      <c r="FG17" s="226"/>
      <c r="FH17" s="226"/>
      <c r="FI17" s="226"/>
      <c r="FJ17" s="226"/>
      <c r="FK17" s="226"/>
      <c r="FL17" s="226"/>
      <c r="FM17" s="226"/>
      <c r="FN17" s="226"/>
      <c r="FO17" s="226"/>
      <c r="FP17" s="226"/>
      <c r="FQ17" s="226"/>
      <c r="FR17" s="226"/>
      <c r="FS17" s="226"/>
      <c r="FT17" s="226"/>
      <c r="FU17" s="226"/>
      <c r="FV17" s="226"/>
      <c r="FW17" s="226"/>
      <c r="FX17" s="226"/>
      <c r="FY17" s="226"/>
      <c r="FZ17" s="226"/>
      <c r="GA17" s="226"/>
      <c r="GB17" s="226"/>
      <c r="GC17" s="226"/>
      <c r="GD17" s="226"/>
      <c r="GE17" s="226"/>
      <c r="GF17" s="226"/>
      <c r="GG17" s="226"/>
    </row>
    <row r="18" spans="1:189" s="225" customFormat="1" ht="15.95" customHeight="1">
      <c r="A18" s="36"/>
      <c r="B18" s="573"/>
      <c r="C18" s="294" t="s">
        <v>25</v>
      </c>
      <c r="D18" s="107">
        <v>1</v>
      </c>
      <c r="E18" s="586" t="e">
        <f>+J18</f>
        <v>#REF!</v>
      </c>
      <c r="F18" s="64" t="e">
        <f>+D18*E18</f>
        <v>#REF!</v>
      </c>
      <c r="H18" s="259" t="e">
        <f>+F172</f>
        <v>#REF!</v>
      </c>
      <c r="I18" s="265">
        <v>0.02</v>
      </c>
      <c r="J18" s="259" t="e">
        <f>ROUND(H18*I18,0)</f>
        <v>#REF!</v>
      </c>
      <c r="K18" s="226"/>
      <c r="L18" s="226"/>
      <c r="M18" s="226"/>
      <c r="N18" s="226"/>
      <c r="O18" s="226"/>
      <c r="P18" s="226"/>
      <c r="Q18" s="226"/>
      <c r="R18" s="226"/>
      <c r="S18" s="226"/>
      <c r="T18" s="226"/>
      <c r="U18" s="226"/>
      <c r="V18" s="226"/>
      <c r="W18" s="226"/>
      <c r="X18" s="226"/>
      <c r="Y18" s="226"/>
      <c r="Z18" s="226"/>
      <c r="AA18" s="226"/>
      <c r="AB18" s="226"/>
      <c r="AC18" s="226"/>
      <c r="AD18" s="226"/>
      <c r="AE18" s="226"/>
      <c r="AF18" s="226"/>
      <c r="AG18" s="226"/>
      <c r="AH18" s="226"/>
      <c r="AI18" s="226"/>
      <c r="AJ18" s="226"/>
      <c r="AK18" s="226"/>
      <c r="AL18" s="226"/>
      <c r="AM18" s="226"/>
      <c r="AN18" s="226"/>
      <c r="AO18" s="226"/>
      <c r="AP18" s="226"/>
      <c r="AQ18" s="226"/>
      <c r="AR18" s="226"/>
      <c r="AS18" s="226"/>
      <c r="AT18" s="226"/>
      <c r="AU18" s="226"/>
      <c r="AV18" s="226"/>
      <c r="AW18" s="226"/>
      <c r="AX18" s="226"/>
      <c r="AY18" s="226"/>
      <c r="AZ18" s="226"/>
      <c r="BA18" s="226"/>
      <c r="BB18" s="226"/>
      <c r="BC18" s="226"/>
      <c r="BD18" s="226"/>
      <c r="BE18" s="226"/>
      <c r="BF18" s="226"/>
      <c r="BG18" s="226"/>
      <c r="BH18" s="226"/>
      <c r="BI18" s="226"/>
      <c r="BJ18" s="226"/>
      <c r="BK18" s="226"/>
      <c r="BL18" s="226"/>
      <c r="BM18" s="226"/>
      <c r="BN18" s="226"/>
      <c r="BO18" s="226"/>
      <c r="BP18" s="226"/>
      <c r="BQ18" s="226"/>
      <c r="BR18" s="226"/>
      <c r="BS18" s="226"/>
      <c r="BT18" s="226"/>
      <c r="BU18" s="226"/>
      <c r="BV18" s="226"/>
      <c r="BW18" s="226"/>
      <c r="BX18" s="226"/>
      <c r="BY18" s="226"/>
      <c r="BZ18" s="226"/>
      <c r="CA18" s="226"/>
      <c r="CB18" s="226"/>
      <c r="CC18" s="226"/>
      <c r="CD18" s="226"/>
      <c r="CE18" s="226"/>
      <c r="CF18" s="226"/>
      <c r="CG18" s="226"/>
      <c r="CH18" s="226"/>
      <c r="CI18" s="226"/>
      <c r="CJ18" s="226"/>
      <c r="CK18" s="226"/>
      <c r="CL18" s="226"/>
      <c r="CM18" s="226"/>
      <c r="CN18" s="226"/>
      <c r="CO18" s="226"/>
      <c r="CP18" s="226"/>
      <c r="CQ18" s="226"/>
      <c r="CR18" s="226"/>
      <c r="CS18" s="226"/>
      <c r="CT18" s="226"/>
      <c r="CU18" s="226"/>
      <c r="CV18" s="226"/>
      <c r="CW18" s="226"/>
      <c r="CX18" s="226"/>
      <c r="CY18" s="226"/>
      <c r="CZ18" s="226"/>
      <c r="DA18" s="226"/>
      <c r="DB18" s="226"/>
      <c r="DC18" s="226"/>
      <c r="DD18" s="226"/>
      <c r="DE18" s="226"/>
      <c r="DF18" s="226"/>
      <c r="DG18" s="226"/>
      <c r="DH18" s="226"/>
      <c r="DI18" s="226"/>
      <c r="DJ18" s="226"/>
      <c r="DK18" s="226"/>
      <c r="DL18" s="226"/>
      <c r="DM18" s="226"/>
      <c r="DN18" s="226"/>
      <c r="DO18" s="226"/>
      <c r="DP18" s="226"/>
      <c r="DQ18" s="226"/>
      <c r="DR18" s="226"/>
      <c r="DS18" s="226"/>
      <c r="DT18" s="226"/>
      <c r="DU18" s="226"/>
      <c r="DV18" s="226"/>
      <c r="DW18" s="226"/>
      <c r="DX18" s="226"/>
      <c r="DY18" s="226"/>
      <c r="DZ18" s="226"/>
      <c r="EA18" s="226"/>
      <c r="EB18" s="226"/>
      <c r="EC18" s="226"/>
      <c r="ED18" s="226"/>
      <c r="EE18" s="226"/>
      <c r="EF18" s="226"/>
      <c r="EG18" s="226"/>
      <c r="EH18" s="226"/>
      <c r="EI18" s="226"/>
      <c r="EJ18" s="226"/>
      <c r="EK18" s="226"/>
      <c r="EL18" s="226"/>
      <c r="EM18" s="226"/>
      <c r="EN18" s="226"/>
      <c r="EO18" s="226"/>
      <c r="EP18" s="226"/>
      <c r="EQ18" s="226"/>
      <c r="ER18" s="226"/>
      <c r="ES18" s="226"/>
      <c r="ET18" s="226"/>
      <c r="EU18" s="226"/>
      <c r="EV18" s="226"/>
      <c r="EW18" s="226"/>
      <c r="EX18" s="226"/>
      <c r="EY18" s="226"/>
      <c r="EZ18" s="226"/>
      <c r="FA18" s="226"/>
      <c r="FB18" s="226"/>
      <c r="FC18" s="226"/>
      <c r="FD18" s="226"/>
      <c r="FE18" s="226"/>
      <c r="FF18" s="226"/>
      <c r="FG18" s="226"/>
      <c r="FH18" s="226"/>
      <c r="FI18" s="226"/>
      <c r="FJ18" s="226"/>
      <c r="FK18" s="226"/>
      <c r="FL18" s="226"/>
      <c r="FM18" s="226"/>
      <c r="FN18" s="226"/>
      <c r="FO18" s="226"/>
      <c r="FP18" s="226"/>
      <c r="FQ18" s="226"/>
      <c r="FR18" s="226"/>
      <c r="FS18" s="226"/>
      <c r="FT18" s="226"/>
      <c r="FU18" s="226"/>
      <c r="FV18" s="226"/>
      <c r="FW18" s="226"/>
      <c r="FX18" s="226"/>
      <c r="FY18" s="226"/>
      <c r="FZ18" s="226"/>
      <c r="GA18" s="226"/>
      <c r="GB18" s="226"/>
      <c r="GC18" s="226"/>
      <c r="GD18" s="226"/>
      <c r="GE18" s="226"/>
      <c r="GF18" s="226"/>
      <c r="GG18" s="226"/>
    </row>
    <row r="19" spans="1:189" ht="15.95" customHeight="1">
      <c r="A19" s="572" t="e">
        <f>+#REF!</f>
        <v>#REF!</v>
      </c>
      <c r="B19" s="572" t="e">
        <f>+#REF!</f>
        <v>#REF!</v>
      </c>
      <c r="C19" s="160"/>
      <c r="D19" s="213"/>
      <c r="E19" s="583"/>
      <c r="F19" s="65"/>
      <c r="N19" s="129">
        <f>9</f>
        <v>9</v>
      </c>
    </row>
    <row r="20" spans="1:189" ht="15.95" customHeight="1">
      <c r="A20" s="17"/>
      <c r="B20" s="572"/>
      <c r="C20" s="160" t="s">
        <v>25</v>
      </c>
      <c r="D20" s="213">
        <v>1</v>
      </c>
      <c r="E20" s="374">
        <v>14793644</v>
      </c>
      <c r="F20" s="65">
        <f>+D20*E20</f>
        <v>14793644</v>
      </c>
      <c r="G20" s="149">
        <v>14793644</v>
      </c>
    </row>
    <row r="21" spans="1:189" ht="15.95" customHeight="1">
      <c r="A21" s="553" t="e">
        <f>+#REF!</f>
        <v>#REF!</v>
      </c>
      <c r="B21" s="550" t="e">
        <f>+#REF!</f>
        <v>#REF!</v>
      </c>
      <c r="C21" s="233"/>
      <c r="D21" s="234"/>
      <c r="E21" s="583"/>
      <c r="F21" s="63"/>
    </row>
    <row r="22" spans="1:189" ht="15.95" customHeight="1">
      <c r="A22" s="36"/>
      <c r="B22" s="573"/>
      <c r="C22" s="294" t="s">
        <v>25</v>
      </c>
      <c r="D22" s="237">
        <v>0</v>
      </c>
      <c r="E22" s="586">
        <v>0</v>
      </c>
      <c r="F22" s="64">
        <f>+D22*E22</f>
        <v>0</v>
      </c>
    </row>
    <row r="23" spans="1:189" ht="15.95" customHeight="1">
      <c r="A23" s="572" t="e">
        <f>+#REF!</f>
        <v>#REF!</v>
      </c>
      <c r="B23" s="572" t="e">
        <f>+#REF!</f>
        <v>#REF!</v>
      </c>
      <c r="C23" s="160"/>
      <c r="D23" s="213"/>
      <c r="E23" s="583"/>
      <c r="F23" s="65"/>
    </row>
    <row r="24" spans="1:189" ht="15.95" customHeight="1">
      <c r="A24" s="36"/>
      <c r="B24" s="573"/>
      <c r="C24" s="294" t="s">
        <v>25</v>
      </c>
      <c r="D24" s="237">
        <v>1</v>
      </c>
      <c r="E24" s="586" t="e">
        <f>+ROUND((F16+F18+F20+F22)*G24,0)</f>
        <v>#REF!</v>
      </c>
      <c r="F24" s="64" t="e">
        <f>+D24*E24</f>
        <v>#REF!</v>
      </c>
      <c r="G24" s="142">
        <v>0.2</v>
      </c>
    </row>
    <row r="25" spans="1:189" ht="15.95" customHeight="1">
      <c r="A25" s="572" t="e">
        <f>+#REF!</f>
        <v>#REF!</v>
      </c>
      <c r="B25" s="572" t="e">
        <f>+#REF!</f>
        <v>#REF!</v>
      </c>
      <c r="C25" s="160"/>
      <c r="D25" s="213"/>
      <c r="E25" s="583"/>
      <c r="F25" s="65"/>
    </row>
    <row r="26" spans="1:189" ht="15.95" customHeight="1">
      <c r="A26" s="36"/>
      <c r="B26" s="574"/>
      <c r="C26" s="294" t="s">
        <v>27</v>
      </c>
      <c r="D26" s="237">
        <v>20</v>
      </c>
      <c r="E26" s="586" t="e">
        <f>+#REF!</f>
        <v>#REF!</v>
      </c>
      <c r="F26" s="64" t="e">
        <f>+D26*E26</f>
        <v>#REF!</v>
      </c>
    </row>
    <row r="27" spans="1:189" ht="28.5" customHeight="1">
      <c r="C27" s="95"/>
      <c r="D27" s="92"/>
      <c r="E27" s="580" t="s">
        <v>106</v>
      </c>
      <c r="F27" s="94" t="e">
        <f>SUM(F15:F26)</f>
        <v>#REF!</v>
      </c>
    </row>
    <row r="29" spans="1:189" ht="27" customHeight="1">
      <c r="C29" s="95"/>
      <c r="D29" s="92"/>
      <c r="E29" s="580" t="s">
        <v>107</v>
      </c>
      <c r="F29" s="94" t="e">
        <f>+F12+F27</f>
        <v>#REF!</v>
      </c>
    </row>
    <row r="30" spans="1:189" s="114" customFormat="1" ht="27" customHeight="1">
      <c r="A30" s="438"/>
      <c r="C30" s="115"/>
      <c r="D30" s="116"/>
      <c r="E30" s="600"/>
      <c r="F30" s="118"/>
      <c r="H30" s="257"/>
      <c r="I30" s="263"/>
      <c r="J30" s="257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29"/>
      <c r="W30" s="129"/>
      <c r="X30" s="129"/>
      <c r="Y30" s="129"/>
      <c r="Z30" s="129"/>
      <c r="AA30" s="129"/>
      <c r="AB30" s="129"/>
      <c r="AC30" s="129"/>
      <c r="AD30" s="129"/>
      <c r="AE30" s="129"/>
      <c r="AF30" s="129"/>
      <c r="AG30" s="129"/>
      <c r="AH30" s="129"/>
      <c r="AI30" s="129"/>
      <c r="AJ30" s="129"/>
      <c r="AK30" s="129"/>
      <c r="AL30" s="129"/>
      <c r="AM30" s="129"/>
      <c r="AN30" s="129"/>
      <c r="AO30" s="129"/>
      <c r="AP30" s="129"/>
      <c r="AQ30" s="129"/>
      <c r="AR30" s="129"/>
      <c r="AS30" s="129"/>
      <c r="AT30" s="129"/>
      <c r="AU30" s="129"/>
      <c r="AV30" s="129"/>
      <c r="AW30" s="129"/>
      <c r="AX30" s="129"/>
      <c r="AY30" s="129"/>
      <c r="AZ30" s="129"/>
      <c r="BA30" s="129"/>
      <c r="BB30" s="129"/>
      <c r="BC30" s="129"/>
      <c r="BD30" s="129"/>
      <c r="BE30" s="129"/>
      <c r="BF30" s="129"/>
      <c r="BG30" s="129"/>
      <c r="BH30" s="129"/>
      <c r="BI30" s="129"/>
      <c r="BJ30" s="129"/>
      <c r="BK30" s="129"/>
      <c r="BL30" s="129"/>
      <c r="BM30" s="129"/>
      <c r="BN30" s="129"/>
      <c r="BO30" s="129"/>
      <c r="BP30" s="129"/>
      <c r="BQ30" s="129"/>
      <c r="BR30" s="129"/>
      <c r="BS30" s="129"/>
      <c r="BT30" s="129"/>
      <c r="BU30" s="129"/>
      <c r="BV30" s="129"/>
      <c r="BW30" s="129"/>
      <c r="BX30" s="129"/>
      <c r="BY30" s="129"/>
      <c r="BZ30" s="129"/>
      <c r="CA30" s="129"/>
      <c r="CB30" s="129"/>
      <c r="CC30" s="129"/>
      <c r="CD30" s="129"/>
      <c r="CE30" s="129"/>
      <c r="CF30" s="129"/>
      <c r="CG30" s="129"/>
      <c r="CH30" s="129"/>
      <c r="CI30" s="129"/>
      <c r="CJ30" s="129"/>
      <c r="CK30" s="129"/>
      <c r="CL30" s="129"/>
      <c r="CM30" s="129"/>
      <c r="CN30" s="129"/>
      <c r="CO30" s="129"/>
      <c r="CP30" s="129"/>
      <c r="CQ30" s="129"/>
      <c r="CR30" s="129"/>
      <c r="CS30" s="129"/>
      <c r="CT30" s="129"/>
      <c r="CU30" s="129"/>
      <c r="CV30" s="129"/>
      <c r="CW30" s="129"/>
      <c r="CX30" s="129"/>
      <c r="CY30" s="129"/>
      <c r="CZ30" s="129"/>
      <c r="DA30" s="129"/>
      <c r="DB30" s="129"/>
      <c r="DC30" s="129"/>
      <c r="DD30" s="129"/>
      <c r="DE30" s="129"/>
      <c r="DF30" s="129"/>
      <c r="DG30" s="129"/>
      <c r="DH30" s="129"/>
      <c r="DI30" s="129"/>
      <c r="DJ30" s="129"/>
      <c r="DK30" s="129"/>
      <c r="DL30" s="129"/>
      <c r="DM30" s="129"/>
      <c r="DN30" s="129"/>
      <c r="DO30" s="129"/>
      <c r="DP30" s="129"/>
      <c r="DQ30" s="129"/>
      <c r="DR30" s="129"/>
      <c r="DS30" s="129"/>
      <c r="DT30" s="129"/>
      <c r="DU30" s="129"/>
      <c r="DV30" s="129"/>
      <c r="DW30" s="129"/>
      <c r="DX30" s="129"/>
      <c r="DY30" s="129"/>
      <c r="DZ30" s="129"/>
      <c r="EA30" s="129"/>
      <c r="EB30" s="129"/>
      <c r="EC30" s="129"/>
      <c r="ED30" s="129"/>
      <c r="EE30" s="129"/>
      <c r="EF30" s="129"/>
      <c r="EG30" s="129"/>
      <c r="EH30" s="129"/>
      <c r="EI30" s="129"/>
      <c r="EJ30" s="129"/>
      <c r="EK30" s="129"/>
      <c r="EL30" s="129"/>
      <c r="EM30" s="129"/>
      <c r="EN30" s="129"/>
      <c r="EO30" s="129"/>
      <c r="EP30" s="129"/>
      <c r="EQ30" s="129"/>
      <c r="ER30" s="129"/>
      <c r="ES30" s="129"/>
      <c r="ET30" s="129"/>
      <c r="EU30" s="129"/>
      <c r="EV30" s="129"/>
      <c r="EW30" s="129"/>
      <c r="EX30" s="129"/>
      <c r="EY30" s="129"/>
      <c r="EZ30" s="129"/>
      <c r="FA30" s="129"/>
      <c r="FB30" s="129"/>
      <c r="FC30" s="129"/>
      <c r="FD30" s="129"/>
      <c r="FE30" s="129"/>
      <c r="FF30" s="129"/>
      <c r="FG30" s="129"/>
      <c r="FH30" s="129"/>
      <c r="FI30" s="129"/>
      <c r="FJ30" s="129"/>
      <c r="FK30" s="129"/>
      <c r="FL30" s="129"/>
      <c r="FM30" s="129"/>
      <c r="FN30" s="129"/>
      <c r="FO30" s="129"/>
      <c r="FP30" s="129"/>
      <c r="FQ30" s="129"/>
      <c r="FR30" s="129"/>
      <c r="FS30" s="129"/>
      <c r="FT30" s="129"/>
      <c r="FU30" s="129"/>
      <c r="FV30" s="129"/>
      <c r="FW30" s="129"/>
      <c r="FX30" s="129"/>
      <c r="FY30" s="129"/>
      <c r="FZ30" s="129"/>
      <c r="GA30" s="129"/>
      <c r="GB30" s="129"/>
      <c r="GC30" s="129"/>
      <c r="GD30" s="129"/>
      <c r="GE30" s="129"/>
      <c r="GF30" s="129"/>
      <c r="GG30" s="129"/>
    </row>
    <row r="31" spans="1:189" ht="8.25" customHeight="1">
      <c r="A31" s="406"/>
      <c r="B31" s="12"/>
      <c r="C31" s="51"/>
      <c r="D31" s="76"/>
      <c r="E31" s="584"/>
      <c r="F31" s="66"/>
    </row>
    <row r="32" spans="1:189" ht="23.25" customHeight="1">
      <c r="A32" s="436" t="s">
        <v>41</v>
      </c>
      <c r="B32" s="3"/>
      <c r="C32" s="52" t="s">
        <v>98</v>
      </c>
      <c r="D32" s="86" t="s">
        <v>99</v>
      </c>
      <c r="E32" s="601" t="s">
        <v>100</v>
      </c>
      <c r="F32" s="86" t="s">
        <v>114</v>
      </c>
    </row>
    <row r="33" spans="1:10" ht="15.95" customHeight="1">
      <c r="A33" s="17" t="s">
        <v>2</v>
      </c>
      <c r="B33" s="14" t="s">
        <v>38</v>
      </c>
      <c r="C33" s="7"/>
      <c r="D33" s="109"/>
      <c r="E33" s="583"/>
      <c r="F33" s="65"/>
    </row>
    <row r="34" spans="1:10" ht="15.95" customHeight="1">
      <c r="A34" s="28"/>
      <c r="B34" s="9"/>
      <c r="C34" s="53" t="s">
        <v>19</v>
      </c>
      <c r="D34" s="107">
        <v>1</v>
      </c>
      <c r="E34" s="582">
        <v>15672373</v>
      </c>
      <c r="F34" s="64">
        <f>+D34*E34</f>
        <v>15672373</v>
      </c>
      <c r="G34" s="142">
        <v>0.01</v>
      </c>
    </row>
    <row r="35" spans="1:10" ht="15.95" customHeight="1">
      <c r="A35" s="17" t="s">
        <v>3</v>
      </c>
      <c r="B35" s="14" t="s">
        <v>37</v>
      </c>
      <c r="C35" s="54"/>
      <c r="D35" s="109"/>
      <c r="E35" s="583"/>
      <c r="F35" s="65"/>
    </row>
    <row r="36" spans="1:10" ht="15.95" customHeight="1">
      <c r="A36" s="36" t="s">
        <v>39</v>
      </c>
      <c r="B36" s="240" t="s">
        <v>40</v>
      </c>
      <c r="C36" s="395" t="s">
        <v>94</v>
      </c>
      <c r="D36" s="391">
        <f>J36</f>
        <v>0</v>
      </c>
      <c r="E36" s="602" t="e">
        <f>#REF!</f>
        <v>#REF!</v>
      </c>
      <c r="F36" s="335" t="e">
        <f>+D36*E36</f>
        <v>#REF!</v>
      </c>
      <c r="H36" s="255">
        <f>20*F5*0</f>
        <v>0</v>
      </c>
      <c r="I36" s="262">
        <v>1.05</v>
      </c>
      <c r="J36" s="255">
        <f>H36*I36</f>
        <v>0</v>
      </c>
    </row>
    <row r="37" spans="1:10" ht="15.95" customHeight="1">
      <c r="A37" s="17">
        <v>203</v>
      </c>
      <c r="B37" s="14" t="s">
        <v>42</v>
      </c>
      <c r="C37" s="54"/>
      <c r="D37" s="109"/>
      <c r="E37" s="583"/>
      <c r="F37" s="63"/>
    </row>
    <row r="38" spans="1:10" ht="15.95" customHeight="1">
      <c r="A38" s="36"/>
      <c r="B38" s="38"/>
      <c r="C38" s="53" t="s">
        <v>27</v>
      </c>
      <c r="D38" s="107">
        <f>J38</f>
        <v>112.42</v>
      </c>
      <c r="E38" s="586" t="e">
        <f>#REF!</f>
        <v>#REF!</v>
      </c>
      <c r="F38" s="64" t="e">
        <f>+D38*E38</f>
        <v>#REF!</v>
      </c>
      <c r="H38" s="255">
        <f>2*F5/15</f>
        <v>107.06666666666666</v>
      </c>
      <c r="I38" s="262">
        <v>1.05</v>
      </c>
      <c r="J38" s="255">
        <f>H38*I38</f>
        <v>112.42</v>
      </c>
    </row>
    <row r="39" spans="1:10" ht="15.95" customHeight="1">
      <c r="A39" s="41" t="s">
        <v>4</v>
      </c>
      <c r="B39" s="125" t="s">
        <v>43</v>
      </c>
      <c r="C39" s="57"/>
      <c r="D39" s="81"/>
      <c r="E39" s="583"/>
      <c r="F39" s="63"/>
    </row>
    <row r="40" spans="1:10" ht="15.95" customHeight="1">
      <c r="A40" s="17" t="s">
        <v>44</v>
      </c>
      <c r="B40" s="123" t="s">
        <v>46</v>
      </c>
      <c r="C40" s="54" t="s">
        <v>618</v>
      </c>
      <c r="D40" s="295">
        <v>1</v>
      </c>
      <c r="E40" s="587">
        <v>6323625.0000000009</v>
      </c>
      <c r="F40" s="65">
        <f>+D40*E40</f>
        <v>6323625.0000000009</v>
      </c>
      <c r="H40" s="255">
        <f>F5/1000</f>
        <v>0.80300000000000005</v>
      </c>
      <c r="I40" s="262">
        <f>1.05</f>
        <v>1.05</v>
      </c>
      <c r="J40" s="262">
        <f>H40*I40</f>
        <v>0.84315000000000007</v>
      </c>
    </row>
    <row r="41" spans="1:10" ht="15.95" customHeight="1">
      <c r="A41" s="17" t="s">
        <v>45</v>
      </c>
      <c r="B41" s="123" t="s">
        <v>47</v>
      </c>
      <c r="C41" s="54" t="s">
        <v>618</v>
      </c>
      <c r="D41" s="295">
        <v>1</v>
      </c>
      <c r="E41" s="587">
        <v>5058900</v>
      </c>
      <c r="F41" s="65">
        <f>+D41*E41</f>
        <v>5058900</v>
      </c>
      <c r="H41" s="255">
        <f>H40</f>
        <v>0.80300000000000005</v>
      </c>
      <c r="I41" s="262">
        <f>1.05</f>
        <v>1.05</v>
      </c>
      <c r="J41" s="262">
        <f>H41*I41</f>
        <v>0.84315000000000007</v>
      </c>
    </row>
    <row r="42" spans="1:10" ht="15.95" customHeight="1">
      <c r="A42" s="17" t="s">
        <v>48</v>
      </c>
      <c r="B42" s="123" t="s">
        <v>204</v>
      </c>
      <c r="C42" s="304" t="s">
        <v>205</v>
      </c>
      <c r="D42" s="575">
        <f>J42</f>
        <v>84.315000000000012</v>
      </c>
      <c r="E42" s="589" t="e">
        <f>#REF!</f>
        <v>#REF!</v>
      </c>
      <c r="F42" s="314" t="e">
        <f>+D42*E42</f>
        <v>#REF!</v>
      </c>
      <c r="H42" s="255">
        <f>F5*0.1</f>
        <v>80.300000000000011</v>
      </c>
      <c r="I42" s="262">
        <f>1.05</f>
        <v>1.05</v>
      </c>
      <c r="J42" s="262">
        <f>H42*I42</f>
        <v>84.315000000000012</v>
      </c>
    </row>
    <row r="43" spans="1:10" ht="15.95" customHeight="1">
      <c r="A43" s="36" t="s">
        <v>203</v>
      </c>
      <c r="B43" s="24" t="s">
        <v>49</v>
      </c>
      <c r="C43" s="53" t="s">
        <v>618</v>
      </c>
      <c r="D43" s="296">
        <v>1</v>
      </c>
      <c r="E43" s="587">
        <v>1037921.0226</v>
      </c>
      <c r="F43" s="64">
        <f>+D43*E43</f>
        <v>1037921.0226</v>
      </c>
      <c r="H43" s="255">
        <f>H41</f>
        <v>0.80300000000000005</v>
      </c>
      <c r="I43" s="262">
        <f>1.05</f>
        <v>1.05</v>
      </c>
      <c r="J43" s="262">
        <f>H43*I43</f>
        <v>0.84315000000000007</v>
      </c>
    </row>
    <row r="44" spans="1:10" ht="15.95" customHeight="1">
      <c r="A44" s="17">
        <v>206</v>
      </c>
      <c r="B44" s="14" t="s">
        <v>123</v>
      </c>
      <c r="C44" s="56"/>
      <c r="D44" s="80"/>
      <c r="E44" s="583"/>
      <c r="F44" s="65"/>
    </row>
    <row r="45" spans="1:10" ht="15.95" customHeight="1">
      <c r="A45" s="28"/>
      <c r="B45" s="16"/>
      <c r="C45" s="53" t="s">
        <v>94</v>
      </c>
      <c r="D45" s="77">
        <v>0</v>
      </c>
      <c r="E45" s="586" t="e">
        <f>#REF!</f>
        <v>#REF!</v>
      </c>
      <c r="F45" s="64" t="e">
        <f>+D45*E45</f>
        <v>#REF!</v>
      </c>
    </row>
    <row r="46" spans="1:10" ht="15.95" customHeight="1">
      <c r="A46" s="41" t="s">
        <v>50</v>
      </c>
      <c r="B46" s="43" t="s">
        <v>51</v>
      </c>
      <c r="C46" s="57"/>
      <c r="D46" s="81"/>
      <c r="E46" s="583"/>
      <c r="F46" s="63"/>
    </row>
    <row r="47" spans="1:10" ht="15.95" customHeight="1">
      <c r="A47" s="28"/>
      <c r="B47" s="16"/>
      <c r="C47" s="53" t="s">
        <v>1</v>
      </c>
      <c r="D47" s="77">
        <v>0</v>
      </c>
      <c r="E47" s="586" t="e">
        <f>#REF!</f>
        <v>#REF!</v>
      </c>
      <c r="F47" s="64" t="e">
        <f>+D47*E47</f>
        <v>#REF!</v>
      </c>
    </row>
    <row r="48" spans="1:10" ht="15.95" customHeight="1">
      <c r="A48" s="41" t="s">
        <v>52</v>
      </c>
      <c r="B48" s="43" t="s">
        <v>53</v>
      </c>
      <c r="C48" s="57"/>
      <c r="D48" s="81"/>
      <c r="E48" s="583"/>
      <c r="F48" s="63"/>
    </row>
    <row r="49" spans="1:10" ht="15.95" customHeight="1">
      <c r="A49" s="17" t="s">
        <v>54</v>
      </c>
      <c r="B49" s="39" t="s">
        <v>97</v>
      </c>
      <c r="C49" s="50" t="s">
        <v>1</v>
      </c>
      <c r="D49" s="83">
        <f>J49</f>
        <v>1403</v>
      </c>
      <c r="E49" s="587" t="e">
        <f>#REF!</f>
        <v>#REF!</v>
      </c>
      <c r="F49" s="65" t="e">
        <f>+D49*E49</f>
        <v>#REF!</v>
      </c>
      <c r="H49" s="255">
        <f>F5+600</f>
        <v>1403</v>
      </c>
      <c r="I49" s="262">
        <v>1</v>
      </c>
      <c r="J49" s="255">
        <f>H49*I49</f>
        <v>1403</v>
      </c>
    </row>
    <row r="50" spans="1:10" ht="15.95" customHeight="1">
      <c r="A50" s="17" t="s">
        <v>56</v>
      </c>
      <c r="B50" s="39" t="s">
        <v>55</v>
      </c>
      <c r="C50" s="50" t="s">
        <v>1</v>
      </c>
      <c r="D50" s="83">
        <v>0</v>
      </c>
      <c r="E50" s="587" t="e">
        <f>#REF!</f>
        <v>#REF!</v>
      </c>
      <c r="F50" s="64" t="e">
        <f>+D50*E50</f>
        <v>#REF!</v>
      </c>
    </row>
    <row r="51" spans="1:10" ht="15.95" customHeight="1">
      <c r="A51" s="41">
        <v>210</v>
      </c>
      <c r="B51" s="43" t="s">
        <v>57</v>
      </c>
      <c r="C51" s="57"/>
      <c r="D51" s="84"/>
      <c r="E51" s="583"/>
      <c r="F51" s="63"/>
    </row>
    <row r="52" spans="1:10" ht="15.95" customHeight="1">
      <c r="A52" s="28"/>
      <c r="B52" s="16"/>
      <c r="C52" s="53" t="s">
        <v>94</v>
      </c>
      <c r="D52" s="150">
        <v>0</v>
      </c>
      <c r="E52" s="586" t="e">
        <f>#REF!</f>
        <v>#REF!</v>
      </c>
      <c r="F52" s="64" t="e">
        <f>+D52*E52</f>
        <v>#REF!</v>
      </c>
    </row>
    <row r="53" spans="1:10" ht="15.95" customHeight="1">
      <c r="A53" s="41">
        <v>212</v>
      </c>
      <c r="B53" s="43" t="s">
        <v>58</v>
      </c>
      <c r="C53" s="57"/>
      <c r="D53" s="84"/>
      <c r="E53" s="583"/>
      <c r="F53" s="63"/>
    </row>
    <row r="54" spans="1:10" ht="15.95" customHeight="1">
      <c r="A54" s="28"/>
      <c r="B54" s="16"/>
      <c r="C54" s="53" t="s">
        <v>94</v>
      </c>
      <c r="D54" s="77">
        <v>0</v>
      </c>
      <c r="E54" s="586" t="e">
        <f>#REF!</f>
        <v>#REF!</v>
      </c>
      <c r="F54" s="64" t="e">
        <f>+D54*E54</f>
        <v>#REF!</v>
      </c>
    </row>
    <row r="55" spans="1:10" ht="15.95" customHeight="1">
      <c r="A55" s="41">
        <v>215</v>
      </c>
      <c r="B55" s="43" t="s">
        <v>59</v>
      </c>
      <c r="C55" s="57"/>
      <c r="D55" s="84"/>
      <c r="E55" s="583"/>
      <c r="F55" s="63"/>
    </row>
    <row r="56" spans="1:10" ht="15.95" customHeight="1">
      <c r="A56" s="28"/>
      <c r="B56" s="16"/>
      <c r="C56" s="53" t="s">
        <v>1</v>
      </c>
      <c r="D56" s="77">
        <v>0</v>
      </c>
      <c r="E56" s="586" t="e">
        <f>#REF!</f>
        <v>#REF!</v>
      </c>
      <c r="F56" s="64" t="e">
        <f>+D56*E56</f>
        <v>#REF!</v>
      </c>
    </row>
    <row r="57" spans="1:10" ht="25.5" customHeight="1">
      <c r="A57" s="406"/>
      <c r="B57" s="40"/>
      <c r="C57" s="95"/>
      <c r="D57" s="92"/>
      <c r="E57" s="580" t="s">
        <v>111</v>
      </c>
      <c r="F57" s="94" t="e">
        <f>SUM(F33:F56)</f>
        <v>#REF!</v>
      </c>
    </row>
    <row r="58" spans="1:10" ht="15.95" customHeight="1">
      <c r="A58" s="406"/>
      <c r="B58" s="40"/>
      <c r="C58" s="51"/>
      <c r="D58" s="76"/>
      <c r="E58" s="584"/>
      <c r="F58" s="66"/>
    </row>
    <row r="59" spans="1:10" ht="23.25" customHeight="1">
      <c r="A59" s="436" t="s">
        <v>5</v>
      </c>
      <c r="B59" s="3"/>
      <c r="C59" s="52" t="s">
        <v>98</v>
      </c>
      <c r="D59" s="86" t="s">
        <v>99</v>
      </c>
      <c r="E59" s="603" t="s">
        <v>100</v>
      </c>
      <c r="F59" s="71" t="s">
        <v>114</v>
      </c>
    </row>
    <row r="60" spans="1:10" ht="15.95" customHeight="1">
      <c r="A60" s="17" t="s">
        <v>6</v>
      </c>
      <c r="B60" s="19" t="s">
        <v>60</v>
      </c>
      <c r="C60" s="109"/>
      <c r="D60" s="213"/>
      <c r="E60" s="583"/>
      <c r="F60" s="63"/>
    </row>
    <row r="61" spans="1:10" ht="15.95" customHeight="1">
      <c r="A61" s="36" t="s">
        <v>61</v>
      </c>
      <c r="B61" s="9" t="s">
        <v>62</v>
      </c>
      <c r="C61" s="107" t="s">
        <v>95</v>
      </c>
      <c r="D61" s="148">
        <v>0</v>
      </c>
      <c r="E61" s="586" t="e">
        <f>#REF!</f>
        <v>#REF!</v>
      </c>
      <c r="F61" s="64" t="e">
        <f>+D61*E61</f>
        <v>#REF!</v>
      </c>
      <c r="H61" s="255">
        <v>0</v>
      </c>
      <c r="I61" s="262">
        <f>1.15</f>
        <v>1.1499999999999999</v>
      </c>
      <c r="J61" s="255">
        <f>H61*I61</f>
        <v>0</v>
      </c>
    </row>
    <row r="62" spans="1:10" ht="15.95" customHeight="1">
      <c r="A62" s="17" t="s">
        <v>7</v>
      </c>
      <c r="B62" s="14" t="s">
        <v>63</v>
      </c>
      <c r="C62" s="56"/>
      <c r="D62" s="297"/>
      <c r="E62" s="587"/>
      <c r="F62" s="65"/>
      <c r="J62" s="255">
        <f>J61*0.1</f>
        <v>0</v>
      </c>
    </row>
    <row r="63" spans="1:10" ht="15.95" customHeight="1">
      <c r="A63" s="28"/>
      <c r="B63" s="16"/>
      <c r="C63" s="53" t="s">
        <v>95</v>
      </c>
      <c r="D63" s="147">
        <f>D61*0.1</f>
        <v>0</v>
      </c>
      <c r="E63" s="586" t="e">
        <f>#REF!</f>
        <v>#REF!</v>
      </c>
      <c r="F63" s="64" t="e">
        <f>+D63*E63</f>
        <v>#REF!</v>
      </c>
    </row>
    <row r="64" spans="1:10" ht="15.95" customHeight="1">
      <c r="A64" s="17" t="s">
        <v>8</v>
      </c>
      <c r="B64" s="14" t="s">
        <v>64</v>
      </c>
      <c r="C64" s="56"/>
      <c r="D64" s="297"/>
      <c r="E64" s="583"/>
      <c r="F64" s="63"/>
    </row>
    <row r="65" spans="1:11" ht="15.95" customHeight="1">
      <c r="A65" s="28"/>
      <c r="B65" s="20"/>
      <c r="C65" s="53" t="s">
        <v>95</v>
      </c>
      <c r="D65" s="150">
        <v>0</v>
      </c>
      <c r="E65" s="586" t="e">
        <f>#REF!</f>
        <v>#REF!</v>
      </c>
      <c r="F65" s="64" t="e">
        <f>+D65*E65</f>
        <v>#REF!</v>
      </c>
      <c r="H65" s="255">
        <v>0</v>
      </c>
      <c r="I65" s="262">
        <f>1.15</f>
        <v>1.1499999999999999</v>
      </c>
      <c r="J65" s="255">
        <f>H65*I65</f>
        <v>0</v>
      </c>
      <c r="K65" s="129">
        <f>J65-J62</f>
        <v>0</v>
      </c>
    </row>
    <row r="66" spans="1:11" s="205" customFormat="1" ht="15.95" customHeight="1">
      <c r="A66" s="139" t="s">
        <v>189</v>
      </c>
      <c r="B66" s="190" t="s">
        <v>132</v>
      </c>
      <c r="C66" s="203"/>
      <c r="D66" s="283"/>
      <c r="E66" s="581"/>
      <c r="F66" s="204"/>
      <c r="H66" s="258"/>
      <c r="I66" s="264"/>
      <c r="J66" s="258"/>
    </row>
    <row r="67" spans="1:11" s="205" customFormat="1" ht="15.95" customHeight="1">
      <c r="A67" s="439"/>
      <c r="B67" s="207"/>
      <c r="C67" s="191" t="s">
        <v>95</v>
      </c>
      <c r="D67" s="150">
        <v>0</v>
      </c>
      <c r="E67" s="582" t="e">
        <f>#REF!</f>
        <v>#REF!</v>
      </c>
      <c r="F67" s="208" t="e">
        <f>+D67*E67</f>
        <v>#REF!</v>
      </c>
      <c r="H67" s="258">
        <v>0</v>
      </c>
      <c r="I67" s="264">
        <f>1.05</f>
        <v>1.05</v>
      </c>
      <c r="J67" s="258">
        <f>H67*I67</f>
        <v>0</v>
      </c>
      <c r="K67" s="205" t="s">
        <v>272</v>
      </c>
    </row>
    <row r="68" spans="1:11" s="205" customFormat="1" ht="15.95" customHeight="1">
      <c r="A68" s="139" t="s">
        <v>255</v>
      </c>
      <c r="B68" s="190" t="s">
        <v>135</v>
      </c>
      <c r="C68" s="203"/>
      <c r="D68" s="283"/>
      <c r="E68" s="581"/>
      <c r="F68" s="204"/>
      <c r="H68" s="258"/>
      <c r="I68" s="264"/>
      <c r="J68" s="258"/>
    </row>
    <row r="69" spans="1:11" s="205" customFormat="1" ht="15.95" customHeight="1">
      <c r="A69" s="439"/>
      <c r="B69" s="207"/>
      <c r="C69" s="396" t="s">
        <v>94</v>
      </c>
      <c r="D69" s="397">
        <f>+J69</f>
        <v>5145</v>
      </c>
      <c r="E69" s="602" t="e">
        <f>#REF!</f>
        <v>#REF!</v>
      </c>
      <c r="F69" s="335" t="e">
        <f>+D69*E69</f>
        <v>#REF!</v>
      </c>
      <c r="H69" s="258">
        <f>1800*2+(12+1)*50*2</f>
        <v>4900</v>
      </c>
      <c r="I69" s="264">
        <v>1.05</v>
      </c>
      <c r="J69" s="258">
        <f>H69*I69</f>
        <v>5145</v>
      </c>
    </row>
    <row r="70" spans="1:11" ht="27" customHeight="1">
      <c r="B70" s="18"/>
      <c r="C70" s="95"/>
      <c r="D70" s="92"/>
      <c r="E70" s="580" t="s">
        <v>110</v>
      </c>
      <c r="F70" s="94" t="e">
        <f>SUM(F60:F69)</f>
        <v>#REF!</v>
      </c>
    </row>
    <row r="71" spans="1:11" ht="15.95" customHeight="1">
      <c r="B71" s="18"/>
      <c r="C71" s="48"/>
      <c r="D71" s="111"/>
      <c r="F71" s="112"/>
    </row>
    <row r="72" spans="1:11" ht="23.25" customHeight="1">
      <c r="A72" s="436" t="s">
        <v>9</v>
      </c>
      <c r="B72" s="3"/>
      <c r="C72" s="52" t="s">
        <v>98</v>
      </c>
      <c r="D72" s="86" t="s">
        <v>99</v>
      </c>
      <c r="E72" s="603" t="s">
        <v>100</v>
      </c>
      <c r="F72" s="71" t="s">
        <v>114</v>
      </c>
    </row>
    <row r="73" spans="1:11" ht="29.25" customHeight="1">
      <c r="A73" s="47" t="s">
        <v>10</v>
      </c>
      <c r="B73" s="19" t="s">
        <v>65</v>
      </c>
      <c r="C73" s="209"/>
      <c r="D73" s="210"/>
      <c r="E73" s="581"/>
      <c r="F73" s="204"/>
    </row>
    <row r="74" spans="1:11" ht="15.95" customHeight="1">
      <c r="A74" s="28" t="s">
        <v>66</v>
      </c>
      <c r="B74" s="24" t="s">
        <v>67</v>
      </c>
      <c r="C74" s="211" t="s">
        <v>95</v>
      </c>
      <c r="D74" s="147">
        <f>J74</f>
        <v>0</v>
      </c>
      <c r="E74" s="582" t="e">
        <f>#REF!</f>
        <v>#REF!</v>
      </c>
      <c r="F74" s="208" t="e">
        <f>+D74*E74</f>
        <v>#REF!</v>
      </c>
      <c r="H74" s="145"/>
      <c r="I74" s="262">
        <f>1.1</f>
        <v>1.1000000000000001</v>
      </c>
      <c r="J74" s="255">
        <f>H74*I74</f>
        <v>0</v>
      </c>
    </row>
    <row r="75" spans="1:11" ht="15.95" customHeight="1">
      <c r="A75" s="17" t="s">
        <v>11</v>
      </c>
      <c r="B75" s="19" t="s">
        <v>68</v>
      </c>
      <c r="C75" s="23"/>
      <c r="D75" s="298"/>
      <c r="E75" s="583"/>
      <c r="F75" s="63"/>
    </row>
    <row r="76" spans="1:11" ht="15.95" customHeight="1">
      <c r="A76" s="28"/>
      <c r="B76" s="24"/>
      <c r="C76" s="59" t="s">
        <v>94</v>
      </c>
      <c r="D76" s="147">
        <f>J76</f>
        <v>0</v>
      </c>
      <c r="E76" s="586" t="e">
        <f>#REF!</f>
        <v>#REF!</v>
      </c>
      <c r="F76" s="64" t="e">
        <f>+D76*E76</f>
        <v>#REF!</v>
      </c>
      <c r="H76" s="255">
        <v>0</v>
      </c>
      <c r="I76" s="262">
        <f>1.05</f>
        <v>1.05</v>
      </c>
      <c r="J76" s="255">
        <f>H76*I76</f>
        <v>0</v>
      </c>
    </row>
    <row r="77" spans="1:11" ht="15.95" customHeight="1">
      <c r="A77" s="17">
        <v>404</v>
      </c>
      <c r="B77" s="19" t="s">
        <v>69</v>
      </c>
      <c r="C77" s="23"/>
      <c r="D77" s="210"/>
      <c r="E77" s="583"/>
      <c r="F77" s="63"/>
    </row>
    <row r="78" spans="1:11" ht="15.95" customHeight="1">
      <c r="A78" s="28"/>
      <c r="B78" s="24"/>
      <c r="C78" s="59" t="s">
        <v>94</v>
      </c>
      <c r="D78" s="147">
        <f>+D76</f>
        <v>0</v>
      </c>
      <c r="E78" s="586" t="e">
        <f>#REF!</f>
        <v>#REF!</v>
      </c>
      <c r="F78" s="64" t="e">
        <f>+D78*E78</f>
        <v>#REF!</v>
      </c>
    </row>
    <row r="79" spans="1:11" ht="15.95" customHeight="1">
      <c r="A79" s="17">
        <v>405</v>
      </c>
      <c r="B79" s="19" t="s">
        <v>70</v>
      </c>
      <c r="C79" s="23"/>
      <c r="D79" s="298"/>
      <c r="E79" s="583"/>
      <c r="F79" s="63"/>
    </row>
    <row r="80" spans="1:11" ht="15.95" customHeight="1">
      <c r="A80" s="28"/>
      <c r="B80" s="24"/>
      <c r="C80" s="59" t="s">
        <v>14</v>
      </c>
      <c r="D80" s="147">
        <v>0</v>
      </c>
      <c r="E80" s="586" t="e">
        <f>#REF!</f>
        <v>#REF!</v>
      </c>
      <c r="F80" s="64" t="e">
        <f>+D80*E80</f>
        <v>#REF!</v>
      </c>
      <c r="I80" s="262">
        <f>3.9/2</f>
        <v>1.95</v>
      </c>
    </row>
    <row r="81" spans="1:10" ht="15.95" customHeight="1">
      <c r="A81" s="45">
        <v>407</v>
      </c>
      <c r="B81" s="27" t="s">
        <v>160</v>
      </c>
      <c r="C81" s="60"/>
      <c r="D81" s="299"/>
      <c r="E81" s="583"/>
      <c r="F81" s="67"/>
    </row>
    <row r="82" spans="1:10" ht="15.95" customHeight="1">
      <c r="A82" s="45" t="s">
        <v>161</v>
      </c>
      <c r="B82" s="12" t="s">
        <v>71</v>
      </c>
      <c r="C82" s="54" t="s">
        <v>94</v>
      </c>
      <c r="D82" s="274">
        <f>J82</f>
        <v>0</v>
      </c>
      <c r="E82" s="604" t="e">
        <f>#REF!</f>
        <v>#REF!</v>
      </c>
      <c r="F82" s="65" t="e">
        <f>+D82*E82</f>
        <v>#REF!</v>
      </c>
      <c r="H82" s="255">
        <v>0</v>
      </c>
      <c r="I82" s="262">
        <f>1.1</f>
        <v>1.1000000000000001</v>
      </c>
      <c r="J82" s="255">
        <f>H82*I82</f>
        <v>0</v>
      </c>
    </row>
    <row r="83" spans="1:10" ht="15.95" customHeight="1">
      <c r="A83" s="28" t="s">
        <v>173</v>
      </c>
      <c r="B83" s="24" t="s">
        <v>72</v>
      </c>
      <c r="C83" s="53" t="s">
        <v>94</v>
      </c>
      <c r="D83" s="147">
        <f>J83</f>
        <v>0</v>
      </c>
      <c r="E83" s="587" t="e">
        <f>#REF!</f>
        <v>#REF!</v>
      </c>
      <c r="F83" s="65" t="e">
        <f>+D83*E83</f>
        <v>#REF!</v>
      </c>
      <c r="H83" s="255">
        <v>0</v>
      </c>
      <c r="I83" s="262">
        <f>1.1</f>
        <v>1.1000000000000001</v>
      </c>
      <c r="J83" s="255">
        <f>H83*I83</f>
        <v>0</v>
      </c>
    </row>
    <row r="84" spans="1:10" ht="15.95" customHeight="1">
      <c r="A84" s="41">
        <v>408</v>
      </c>
      <c r="B84" s="43" t="s">
        <v>163</v>
      </c>
      <c r="C84" s="88"/>
      <c r="D84" s="300"/>
      <c r="E84" s="583"/>
      <c r="F84" s="63"/>
    </row>
    <row r="85" spans="1:10" ht="15.95" customHeight="1">
      <c r="A85" s="45" t="s">
        <v>162</v>
      </c>
      <c r="B85" s="12" t="s">
        <v>190</v>
      </c>
      <c r="C85" s="146" t="s">
        <v>1</v>
      </c>
      <c r="D85" s="300">
        <f>J85</f>
        <v>0</v>
      </c>
      <c r="E85" s="587" t="e">
        <f>#REF!</f>
        <v>#REF!</v>
      </c>
      <c r="F85" s="65" t="e">
        <f>+D85*E85</f>
        <v>#REF!</v>
      </c>
      <c r="H85" s="255">
        <v>0</v>
      </c>
      <c r="I85" s="262">
        <f>1.1</f>
        <v>1.1000000000000001</v>
      </c>
      <c r="J85" s="255">
        <f>H85*I85</f>
        <v>0</v>
      </c>
    </row>
    <row r="86" spans="1:10" ht="15.95" customHeight="1">
      <c r="A86" s="45" t="s">
        <v>174</v>
      </c>
      <c r="B86" s="12" t="s">
        <v>191</v>
      </c>
      <c r="C86" s="146" t="s">
        <v>1</v>
      </c>
      <c r="D86" s="300">
        <f>J86</f>
        <v>0</v>
      </c>
      <c r="E86" s="587" t="e">
        <f>#REF!</f>
        <v>#REF!</v>
      </c>
      <c r="F86" s="65" t="e">
        <f>+D86*E86</f>
        <v>#REF!</v>
      </c>
      <c r="H86" s="255">
        <v>0</v>
      </c>
      <c r="I86" s="262">
        <f>1.1</f>
        <v>1.1000000000000001</v>
      </c>
      <c r="J86" s="255">
        <f>H86*I86</f>
        <v>0</v>
      </c>
    </row>
    <row r="87" spans="1:10" ht="15.95" customHeight="1">
      <c r="A87" s="28" t="s">
        <v>233</v>
      </c>
      <c r="B87" s="9" t="s">
        <v>234</v>
      </c>
      <c r="C87" s="286" t="s">
        <v>1</v>
      </c>
      <c r="D87" s="156">
        <f>J87</f>
        <v>0</v>
      </c>
      <c r="E87" s="586" t="e">
        <f>#REF!</f>
        <v>#REF!</v>
      </c>
      <c r="F87" s="64" t="e">
        <f>+D87*E87</f>
        <v>#REF!</v>
      </c>
      <c r="H87" s="256"/>
      <c r="I87" s="262">
        <f>1.1</f>
        <v>1.1000000000000001</v>
      </c>
      <c r="J87" s="255">
        <f>H87*I87</f>
        <v>0</v>
      </c>
    </row>
    <row r="88" spans="1:10" ht="15.95" customHeight="1">
      <c r="A88" s="556" t="e">
        <f>+#REF!</f>
        <v>#REF!</v>
      </c>
      <c r="B88" s="556" t="e">
        <f>+#REF!</f>
        <v>#REF!</v>
      </c>
      <c r="C88" s="555"/>
      <c r="D88" s="552"/>
      <c r="E88" s="583"/>
      <c r="F88" s="483"/>
      <c r="H88" s="256"/>
    </row>
    <row r="89" spans="1:10" ht="15.95" customHeight="1">
      <c r="A89" s="553" t="e">
        <f>+#REF!</f>
        <v>#REF!</v>
      </c>
      <c r="B89" s="556" t="e">
        <f>+#REF!</f>
        <v>#REF!</v>
      </c>
      <c r="C89" s="146" t="s">
        <v>616</v>
      </c>
      <c r="D89" s="551" t="e">
        <f>+#REF!</f>
        <v>#REF!</v>
      </c>
      <c r="E89" s="587"/>
      <c r="F89" s="67" t="e">
        <f>+D89*E89</f>
        <v>#REF!</v>
      </c>
      <c r="H89" s="256"/>
    </row>
    <row r="90" spans="1:10" ht="15.95" customHeight="1">
      <c r="A90" s="553" t="e">
        <f>+#REF!</f>
        <v>#REF!</v>
      </c>
      <c r="B90" s="556" t="e">
        <f>+#REF!</f>
        <v>#REF!</v>
      </c>
      <c r="C90" s="286" t="s">
        <v>616</v>
      </c>
      <c r="D90" s="551" t="e">
        <f>+#REF!</f>
        <v>#REF!</v>
      </c>
      <c r="E90" s="586"/>
      <c r="F90" s="474" t="e">
        <f>+D90*E90</f>
        <v>#REF!</v>
      </c>
      <c r="H90" s="256"/>
    </row>
    <row r="91" spans="1:10" ht="30" customHeight="1">
      <c r="A91" s="406"/>
      <c r="B91" s="12"/>
      <c r="C91" s="95"/>
      <c r="D91" s="92"/>
      <c r="E91" s="580" t="s">
        <v>109</v>
      </c>
      <c r="F91" s="94" t="e">
        <f>SUM(F73:F87)</f>
        <v>#REF!</v>
      </c>
    </row>
    <row r="92" spans="1:10" ht="15.95" customHeight="1">
      <c r="A92" s="406"/>
      <c r="B92" s="12"/>
      <c r="C92" s="51"/>
      <c r="D92" s="76"/>
      <c r="E92" s="585"/>
      <c r="F92" s="91"/>
    </row>
    <row r="93" spans="1:10" ht="26.25" customHeight="1">
      <c r="A93" s="436" t="s">
        <v>73</v>
      </c>
      <c r="B93" s="3"/>
      <c r="C93" s="52" t="s">
        <v>98</v>
      </c>
      <c r="D93" s="86" t="s">
        <v>99</v>
      </c>
      <c r="E93" s="603" t="s">
        <v>100</v>
      </c>
      <c r="F93" s="71" t="s">
        <v>114</v>
      </c>
    </row>
    <row r="94" spans="1:10" ht="15.95" customHeight="1">
      <c r="A94" s="220">
        <v>501</v>
      </c>
      <c r="B94" s="216" t="s">
        <v>74</v>
      </c>
      <c r="C94" s="160"/>
      <c r="D94" s="213"/>
      <c r="E94" s="583"/>
      <c r="F94" s="109"/>
      <c r="H94" s="255">
        <v>8814</v>
      </c>
      <c r="I94" s="262" t="s">
        <v>282</v>
      </c>
    </row>
    <row r="95" spans="1:10" ht="15.95" customHeight="1">
      <c r="A95" s="439"/>
      <c r="B95" s="207"/>
      <c r="C95" s="191" t="s">
        <v>95</v>
      </c>
      <c r="D95" s="150">
        <f>J95</f>
        <v>15323.132</v>
      </c>
      <c r="E95" s="586" t="e">
        <f>#REF!</f>
        <v>#REF!</v>
      </c>
      <c r="F95" s="107" t="e">
        <f>+D95*E95</f>
        <v>#REF!</v>
      </c>
      <c r="H95" s="256">
        <f>20*2*20*(1+0.25*2+0.1*2+0.6*2)*(0.8+0.1+0.25+0.25)+(2.4+0.25*3+0.1*2+0.6*2)*(1.1+0.1+0.25+0.25)*2*F3+(1.2+0.25*2+0.1*2+0.6*2)*(1.1+0.1+0.25+0.25)*2*F4</f>
        <v>13930.119999999999</v>
      </c>
      <c r="I95" s="262">
        <v>1.1000000000000001</v>
      </c>
      <c r="J95" s="255">
        <f>H95*I95</f>
        <v>15323.132</v>
      </c>
    </row>
    <row r="96" spans="1:10" ht="15.95" customHeight="1">
      <c r="A96" s="214">
        <v>502</v>
      </c>
      <c r="B96" s="216" t="s">
        <v>75</v>
      </c>
      <c r="C96" s="221"/>
      <c r="D96" s="212"/>
      <c r="E96" s="583"/>
      <c r="F96" s="69"/>
    </row>
    <row r="97" spans="1:10" ht="15.95" customHeight="1">
      <c r="A97" s="440"/>
      <c r="B97" s="219"/>
      <c r="C97" s="191" t="s">
        <v>95</v>
      </c>
      <c r="D97" s="150">
        <f>J97</f>
        <v>4805.152000000001</v>
      </c>
      <c r="E97" s="586" t="e">
        <f>#REF!</f>
        <v>#REF!</v>
      </c>
      <c r="F97" s="64" t="e">
        <f>+D97*E97</f>
        <v>#REF!</v>
      </c>
      <c r="H97" s="255">
        <f>0.8*2*2*1.7*F5</f>
        <v>4368.3200000000006</v>
      </c>
      <c r="I97" s="262">
        <v>1.1000000000000001</v>
      </c>
      <c r="J97" s="255">
        <f>H97*I97</f>
        <v>4805.152000000001</v>
      </c>
    </row>
    <row r="98" spans="1:10" ht="15.95" customHeight="1">
      <c r="A98" s="47" t="s">
        <v>12</v>
      </c>
      <c r="B98" s="27" t="s">
        <v>101</v>
      </c>
      <c r="C98" s="160"/>
      <c r="D98" s="213"/>
      <c r="E98" s="583"/>
      <c r="F98" s="65"/>
    </row>
    <row r="99" spans="1:10" ht="15.95" customHeight="1">
      <c r="A99" s="28"/>
      <c r="B99" s="9"/>
      <c r="C99" s="191" t="s">
        <v>95</v>
      </c>
      <c r="D99" s="150">
        <v>10</v>
      </c>
      <c r="E99" s="586" t="e">
        <f>#REF!</f>
        <v>#REF!</v>
      </c>
      <c r="F99" s="64" t="e">
        <f>+D99*E99</f>
        <v>#REF!</v>
      </c>
      <c r="H99" s="255">
        <f>(2.4+0.25*3+0.1*2+0.6*2)*(1.1+0.1+0.25+0.25)*2*F5</f>
        <v>12422.41</v>
      </c>
    </row>
    <row r="100" spans="1:10" ht="15.95" customHeight="1">
      <c r="A100" s="41" t="s">
        <v>13</v>
      </c>
      <c r="B100" s="43" t="s">
        <v>77</v>
      </c>
      <c r="C100" s="88"/>
      <c r="D100" s="85"/>
      <c r="E100" s="583"/>
      <c r="F100" s="63"/>
    </row>
    <row r="101" spans="1:10" ht="15.95" customHeight="1">
      <c r="A101" s="28"/>
      <c r="B101" s="9"/>
      <c r="C101" s="55" t="s">
        <v>94</v>
      </c>
      <c r="D101" s="82">
        <v>250</v>
      </c>
      <c r="E101" s="586" t="e">
        <f>#REF!</f>
        <v>#REF!</v>
      </c>
      <c r="F101" s="64" t="e">
        <f>+D101*E101</f>
        <v>#REF!</v>
      </c>
    </row>
    <row r="102" spans="1:10" ht="15.95" customHeight="1">
      <c r="A102" s="17">
        <v>505</v>
      </c>
      <c r="B102" s="14" t="s">
        <v>76</v>
      </c>
      <c r="C102" s="56"/>
      <c r="D102" s="80"/>
      <c r="E102" s="583"/>
      <c r="F102" s="63"/>
    </row>
    <row r="103" spans="1:10" ht="15.95" customHeight="1">
      <c r="A103" s="17" t="s">
        <v>15</v>
      </c>
      <c r="B103" s="37" t="s">
        <v>78</v>
      </c>
      <c r="C103" s="50" t="s">
        <v>14</v>
      </c>
      <c r="D103" s="83">
        <f>(D108)*110</f>
        <v>5500</v>
      </c>
      <c r="E103" s="587" t="e">
        <f>#REF!</f>
        <v>#REF!</v>
      </c>
      <c r="F103" s="65" t="e">
        <f>+D103*E103</f>
        <v>#REF!</v>
      </c>
    </row>
    <row r="104" spans="1:10" ht="15.95" customHeight="1">
      <c r="A104" s="36" t="s">
        <v>16</v>
      </c>
      <c r="B104" s="49" t="s">
        <v>79</v>
      </c>
      <c r="C104" s="53" t="s">
        <v>14</v>
      </c>
      <c r="D104" s="77">
        <v>0</v>
      </c>
      <c r="E104" s="587" t="e">
        <f>#REF!</f>
        <v>#REF!</v>
      </c>
      <c r="F104" s="64" t="e">
        <f>+D104*E104</f>
        <v>#REF!</v>
      </c>
    </row>
    <row r="105" spans="1:10" ht="15.95" customHeight="1">
      <c r="A105" s="17">
        <v>506</v>
      </c>
      <c r="B105" s="26" t="s">
        <v>80</v>
      </c>
      <c r="C105" s="56"/>
      <c r="D105" s="80"/>
      <c r="E105" s="583"/>
      <c r="F105" s="63"/>
    </row>
    <row r="106" spans="1:10" ht="15.95" customHeight="1">
      <c r="A106" s="28"/>
      <c r="B106" s="24"/>
      <c r="C106" s="53" t="s">
        <v>95</v>
      </c>
      <c r="D106" s="82">
        <f>50+10*0.2*50</f>
        <v>150</v>
      </c>
      <c r="E106" s="588" t="e">
        <f>#REF!</f>
        <v>#REF!</v>
      </c>
      <c r="F106" s="64" t="e">
        <f>+D106*E106</f>
        <v>#REF!</v>
      </c>
    </row>
    <row r="107" spans="1:10" ht="15.95" customHeight="1">
      <c r="A107" s="17">
        <v>507</v>
      </c>
      <c r="B107" s="25" t="s">
        <v>81</v>
      </c>
      <c r="C107" s="56"/>
      <c r="D107" s="80"/>
      <c r="E107" s="583"/>
      <c r="F107" s="63"/>
    </row>
    <row r="108" spans="1:10" ht="15.95" customHeight="1">
      <c r="A108" s="28"/>
      <c r="B108" s="24"/>
      <c r="C108" s="53" t="s">
        <v>95</v>
      </c>
      <c r="D108" s="78">
        <v>50</v>
      </c>
      <c r="E108" s="586" t="e">
        <f>#REF!</f>
        <v>#REF!</v>
      </c>
      <c r="F108" s="64" t="e">
        <f>+D108*E108</f>
        <v>#REF!</v>
      </c>
    </row>
    <row r="109" spans="1:10" ht="15.95" customHeight="1">
      <c r="A109" s="41">
        <v>509</v>
      </c>
      <c r="B109" s="43" t="s">
        <v>139</v>
      </c>
      <c r="C109" s="57"/>
      <c r="D109" s="84"/>
      <c r="E109" s="583"/>
      <c r="F109" s="63"/>
    </row>
    <row r="110" spans="1:10" ht="15.95" customHeight="1">
      <c r="A110" s="17" t="s">
        <v>140</v>
      </c>
      <c r="B110" s="39" t="s">
        <v>262</v>
      </c>
      <c r="C110" s="54" t="s">
        <v>94</v>
      </c>
      <c r="D110" s="83">
        <v>0</v>
      </c>
      <c r="E110" s="587" t="e">
        <f>#REF!</f>
        <v>#REF!</v>
      </c>
      <c r="F110" s="65" t="e">
        <f>+D110*E110</f>
        <v>#REF!</v>
      </c>
    </row>
    <row r="111" spans="1:10" ht="15.95" customHeight="1">
      <c r="A111" s="17" t="s">
        <v>141</v>
      </c>
      <c r="B111" s="39" t="s">
        <v>263</v>
      </c>
      <c r="C111" s="54" t="s">
        <v>94</v>
      </c>
      <c r="D111" s="83">
        <v>0</v>
      </c>
      <c r="E111" s="587">
        <f>[2]BPU!E145</f>
        <v>50019</v>
      </c>
      <c r="F111" s="65">
        <f>+D111*E111</f>
        <v>0</v>
      </c>
    </row>
    <row r="112" spans="1:10" ht="15.95" customHeight="1">
      <c r="A112" s="36" t="s">
        <v>142</v>
      </c>
      <c r="B112" s="49" t="s">
        <v>281</v>
      </c>
      <c r="C112" s="53" t="s">
        <v>94</v>
      </c>
      <c r="D112" s="155">
        <v>0</v>
      </c>
      <c r="E112" s="587">
        <f>[2]BPU!E146</f>
        <v>52900</v>
      </c>
      <c r="F112" s="65">
        <f>+D112*E112</f>
        <v>0</v>
      </c>
    </row>
    <row r="113" spans="1:189" ht="15.95" customHeight="1">
      <c r="A113" s="570" t="e">
        <f>+#REF!</f>
        <v>#REF!</v>
      </c>
      <c r="B113" s="43" t="e">
        <f>+#REF!</f>
        <v>#REF!</v>
      </c>
      <c r="C113" s="57"/>
      <c r="D113" s="84"/>
      <c r="E113" s="583"/>
      <c r="F113" s="63"/>
    </row>
    <row r="114" spans="1:189" ht="15.95" customHeight="1">
      <c r="A114" s="570" t="e">
        <f>+#REF!</f>
        <v>#REF!</v>
      </c>
      <c r="B114" s="39" t="e">
        <f>+#REF!</f>
        <v>#REF!</v>
      </c>
      <c r="C114" s="58" t="s">
        <v>1</v>
      </c>
      <c r="D114" s="83"/>
      <c r="E114" s="587" t="e">
        <f>#REF!</f>
        <v>#REF!</v>
      </c>
      <c r="F114" s="65" t="e">
        <f>+D114*E114</f>
        <v>#REF!</v>
      </c>
    </row>
    <row r="115" spans="1:189" ht="15.95" customHeight="1">
      <c r="A115" s="39" t="e">
        <f>+#REF!</f>
        <v>#REF!</v>
      </c>
      <c r="B115" s="39" t="e">
        <f>+#REF!</f>
        <v>#REF!</v>
      </c>
      <c r="C115" s="58" t="s">
        <v>1</v>
      </c>
      <c r="D115" s="83">
        <f>5*50*2</f>
        <v>500</v>
      </c>
      <c r="E115" s="587" t="e">
        <f>#REF!</f>
        <v>#REF!</v>
      </c>
      <c r="F115" s="65" t="e">
        <f>+D115*E115</f>
        <v>#REF!</v>
      </c>
    </row>
    <row r="116" spans="1:189" ht="15.95" customHeight="1">
      <c r="A116" s="39" t="e">
        <f>+#REF!</f>
        <v>#REF!</v>
      </c>
      <c r="B116" s="39" t="e">
        <f>+#REF!</f>
        <v>#REF!</v>
      </c>
      <c r="C116" s="58" t="s">
        <v>1</v>
      </c>
      <c r="D116" s="155">
        <v>0</v>
      </c>
      <c r="E116" s="587" t="e">
        <f>#REF!</f>
        <v>#REF!</v>
      </c>
      <c r="F116" s="65" t="e">
        <f>+D116*E116</f>
        <v>#REF!</v>
      </c>
    </row>
    <row r="117" spans="1:189" ht="15.95" customHeight="1">
      <c r="A117" s="39" t="e">
        <f>+#REF!</f>
        <v>#REF!</v>
      </c>
      <c r="B117" s="39" t="e">
        <f>+#REF!</f>
        <v>#REF!</v>
      </c>
      <c r="C117" s="58" t="s">
        <v>1</v>
      </c>
      <c r="D117" s="155">
        <v>0</v>
      </c>
      <c r="E117" s="587" t="e">
        <f>#REF!</f>
        <v>#REF!</v>
      </c>
      <c r="F117" s="65" t="e">
        <f>+D117*E117</f>
        <v>#REF!</v>
      </c>
    </row>
    <row r="118" spans="1:189" ht="15.95" customHeight="1">
      <c r="A118" s="39" t="e">
        <f>+#REF!</f>
        <v>#REF!</v>
      </c>
      <c r="B118" s="39" t="e">
        <f>+#REF!</f>
        <v>#REF!</v>
      </c>
      <c r="C118" s="124" t="s">
        <v>1</v>
      </c>
      <c r="D118" s="156">
        <v>0</v>
      </c>
      <c r="E118" s="587" t="e">
        <f>#REF!</f>
        <v>#REF!</v>
      </c>
      <c r="F118" s="64" t="e">
        <f>+D118*E118</f>
        <v>#REF!</v>
      </c>
      <c r="I118" s="262">
        <v>1.05</v>
      </c>
      <c r="J118" s="255">
        <f>H118*I118</f>
        <v>0</v>
      </c>
    </row>
    <row r="119" spans="1:189" ht="15.95" customHeight="1">
      <c r="A119" s="17"/>
      <c r="B119" s="39"/>
      <c r="C119" s="58"/>
      <c r="D119" s="155"/>
      <c r="E119" s="587"/>
      <c r="F119" s="65"/>
    </row>
    <row r="120" spans="1:189" ht="15.95" customHeight="1">
      <c r="A120" s="441" t="e">
        <f>+#REF!</f>
        <v>#REF!</v>
      </c>
      <c r="B120" s="404" t="e">
        <f>+#REF!</f>
        <v>#REF!</v>
      </c>
      <c r="C120" s="58"/>
      <c r="D120" s="155"/>
      <c r="E120" s="587"/>
      <c r="F120" s="65"/>
    </row>
    <row r="121" spans="1:189" ht="15.95" customHeight="1">
      <c r="A121" s="455" t="e">
        <f>+#REF!</f>
        <v>#REF!</v>
      </c>
      <c r="B121" s="227" t="e">
        <f>+#REF!</f>
        <v>#REF!</v>
      </c>
      <c r="C121" s="449" t="s">
        <v>1</v>
      </c>
      <c r="D121" s="138">
        <f>J121</f>
        <v>420</v>
      </c>
      <c r="E121" s="587" t="e">
        <f>#REF!</f>
        <v>#REF!</v>
      </c>
      <c r="F121" s="65" t="e">
        <f>+D121*E121</f>
        <v>#REF!</v>
      </c>
      <c r="H121" s="357">
        <f>10*20*2</f>
        <v>400</v>
      </c>
      <c r="I121" s="265">
        <v>1.05</v>
      </c>
      <c r="J121" s="259">
        <f>H121*I121</f>
        <v>420</v>
      </c>
      <c r="K121" s="226"/>
      <c r="L121" s="226"/>
      <c r="M121" s="226"/>
      <c r="N121" s="226">
        <f>20000+10000+6000+7500</f>
        <v>43500</v>
      </c>
    </row>
    <row r="122" spans="1:189" ht="15.95" customHeight="1">
      <c r="A122" s="455" t="e">
        <f>+#REF!</f>
        <v>#REF!</v>
      </c>
      <c r="B122" s="227" t="e">
        <f>+#REF!</f>
        <v>#REF!</v>
      </c>
      <c r="C122" s="449" t="s">
        <v>1</v>
      </c>
      <c r="D122" s="138">
        <f>J122</f>
        <v>945</v>
      </c>
      <c r="E122" s="587" t="e">
        <f>#REF!</f>
        <v>#REF!</v>
      </c>
      <c r="F122" s="65" t="e">
        <f>+D122*E122</f>
        <v>#REF!</v>
      </c>
      <c r="H122" s="357">
        <f>F3*2</f>
        <v>900</v>
      </c>
      <c r="I122" s="265">
        <v>1.05</v>
      </c>
      <c r="J122" s="259">
        <f>H122*I122</f>
        <v>945</v>
      </c>
      <c r="K122" s="226"/>
      <c r="L122" s="226"/>
      <c r="M122" s="226"/>
      <c r="N122" s="226">
        <f>N121-37500</f>
        <v>6000</v>
      </c>
    </row>
    <row r="123" spans="1:189" ht="15.95" customHeight="1">
      <c r="A123" s="455" t="e">
        <f>+#REF!</f>
        <v>#REF!</v>
      </c>
      <c r="B123" s="227" t="e">
        <f>+#REF!</f>
        <v>#REF!</v>
      </c>
      <c r="C123" s="449" t="s">
        <v>1</v>
      </c>
      <c r="D123" s="138">
        <f>J123</f>
        <v>741.30000000000007</v>
      </c>
      <c r="E123" s="587" t="e">
        <f>#REF!</f>
        <v>#REF!</v>
      </c>
      <c r="F123" s="65" t="e">
        <f>+D123*E123</f>
        <v>#REF!</v>
      </c>
      <c r="H123" s="357">
        <f>F4*2</f>
        <v>706</v>
      </c>
      <c r="I123" s="265">
        <v>1.05</v>
      </c>
      <c r="J123" s="259">
        <f>H123*I123</f>
        <v>741.30000000000007</v>
      </c>
      <c r="K123" s="226"/>
      <c r="L123" s="226"/>
      <c r="M123" s="226"/>
      <c r="N123" s="226"/>
    </row>
    <row r="124" spans="1:189" ht="15.95" customHeight="1">
      <c r="A124" s="455"/>
      <c r="B124" s="227"/>
      <c r="C124" s="449"/>
      <c r="D124" s="138"/>
      <c r="E124" s="587"/>
      <c r="F124" s="65"/>
      <c r="H124" s="357"/>
      <c r="I124" s="265"/>
      <c r="J124" s="259"/>
      <c r="K124" s="226"/>
      <c r="L124" s="226"/>
      <c r="M124" s="226"/>
      <c r="N124" s="226"/>
    </row>
    <row r="125" spans="1:189" ht="15.95" customHeight="1">
      <c r="A125" s="139"/>
      <c r="B125" s="227"/>
      <c r="C125" s="228"/>
      <c r="D125" s="138"/>
      <c r="E125" s="587"/>
      <c r="F125" s="65"/>
    </row>
    <row r="126" spans="1:189" s="225" customFormat="1" ht="15.95" customHeight="1">
      <c r="A126" s="141">
        <v>511</v>
      </c>
      <c r="B126" s="223" t="s">
        <v>124</v>
      </c>
      <c r="C126" s="224"/>
      <c r="D126" s="200"/>
      <c r="E126" s="583"/>
      <c r="F126" s="63"/>
      <c r="H126" s="259"/>
      <c r="I126" s="265"/>
      <c r="J126" s="259"/>
      <c r="K126" s="226"/>
      <c r="L126" s="226"/>
      <c r="M126" s="226"/>
      <c r="N126" s="226"/>
      <c r="O126" s="226"/>
      <c r="P126" s="226"/>
      <c r="Q126" s="226"/>
      <c r="R126" s="226"/>
      <c r="S126" s="226"/>
      <c r="T126" s="226"/>
      <c r="U126" s="226"/>
      <c r="V126" s="226"/>
      <c r="W126" s="226"/>
      <c r="X126" s="226"/>
      <c r="Y126" s="226"/>
      <c r="Z126" s="226"/>
      <c r="AA126" s="226"/>
      <c r="AB126" s="226"/>
      <c r="AC126" s="226"/>
      <c r="AD126" s="226"/>
      <c r="AE126" s="226"/>
      <c r="AF126" s="226"/>
      <c r="AG126" s="226"/>
      <c r="AH126" s="226"/>
      <c r="AI126" s="226"/>
      <c r="AJ126" s="226"/>
      <c r="AK126" s="226"/>
      <c r="AL126" s="226"/>
      <c r="AM126" s="226"/>
      <c r="AN126" s="226"/>
      <c r="AO126" s="226"/>
      <c r="AP126" s="226"/>
      <c r="AQ126" s="226"/>
      <c r="AR126" s="226"/>
      <c r="AS126" s="226"/>
      <c r="AT126" s="226"/>
      <c r="AU126" s="226"/>
      <c r="AV126" s="226"/>
      <c r="AW126" s="226"/>
      <c r="AX126" s="226"/>
      <c r="AY126" s="226"/>
      <c r="AZ126" s="226"/>
      <c r="BA126" s="226"/>
      <c r="BB126" s="226"/>
      <c r="BC126" s="226"/>
      <c r="BD126" s="226"/>
      <c r="BE126" s="226"/>
      <c r="BF126" s="226"/>
      <c r="BG126" s="226"/>
      <c r="BH126" s="226"/>
      <c r="BI126" s="226"/>
      <c r="BJ126" s="226"/>
      <c r="BK126" s="226"/>
      <c r="BL126" s="226"/>
      <c r="BM126" s="226"/>
      <c r="BN126" s="226"/>
      <c r="BO126" s="226"/>
      <c r="BP126" s="226"/>
      <c r="BQ126" s="226"/>
      <c r="BR126" s="226"/>
      <c r="BS126" s="226"/>
      <c r="BT126" s="226"/>
      <c r="BU126" s="226"/>
      <c r="BV126" s="226"/>
      <c r="BW126" s="226"/>
      <c r="BX126" s="226"/>
      <c r="BY126" s="226"/>
      <c r="BZ126" s="226"/>
      <c r="CA126" s="226"/>
      <c r="CB126" s="226"/>
      <c r="CC126" s="226"/>
      <c r="CD126" s="226"/>
      <c r="CE126" s="226"/>
      <c r="CF126" s="226"/>
      <c r="CG126" s="226"/>
      <c r="CH126" s="226"/>
      <c r="CI126" s="226"/>
      <c r="CJ126" s="226"/>
      <c r="CK126" s="226"/>
      <c r="CL126" s="226"/>
      <c r="CM126" s="226"/>
      <c r="CN126" s="226"/>
      <c r="CO126" s="226"/>
      <c r="CP126" s="226"/>
      <c r="CQ126" s="226"/>
      <c r="CR126" s="226"/>
      <c r="CS126" s="226"/>
      <c r="CT126" s="226"/>
      <c r="CU126" s="226"/>
      <c r="CV126" s="226"/>
      <c r="CW126" s="226"/>
      <c r="CX126" s="226"/>
      <c r="CY126" s="226"/>
      <c r="CZ126" s="226"/>
      <c r="DA126" s="226"/>
      <c r="DB126" s="226"/>
      <c r="DC126" s="226"/>
      <c r="DD126" s="226"/>
      <c r="DE126" s="226"/>
      <c r="DF126" s="226"/>
      <c r="DG126" s="226"/>
      <c r="DH126" s="226"/>
      <c r="DI126" s="226"/>
      <c r="DJ126" s="226"/>
      <c r="DK126" s="226"/>
      <c r="DL126" s="226"/>
      <c r="DM126" s="226"/>
      <c r="DN126" s="226"/>
      <c r="DO126" s="226"/>
      <c r="DP126" s="226"/>
      <c r="DQ126" s="226"/>
      <c r="DR126" s="226"/>
      <c r="DS126" s="226"/>
      <c r="DT126" s="226"/>
      <c r="DU126" s="226"/>
      <c r="DV126" s="226"/>
      <c r="DW126" s="226"/>
      <c r="DX126" s="226"/>
      <c r="DY126" s="226"/>
      <c r="DZ126" s="226"/>
      <c r="EA126" s="226"/>
      <c r="EB126" s="226"/>
      <c r="EC126" s="226"/>
      <c r="ED126" s="226"/>
      <c r="EE126" s="226"/>
      <c r="EF126" s="226"/>
      <c r="EG126" s="226"/>
      <c r="EH126" s="226"/>
      <c r="EI126" s="226"/>
      <c r="EJ126" s="226"/>
      <c r="EK126" s="226"/>
      <c r="EL126" s="226"/>
      <c r="EM126" s="226"/>
      <c r="EN126" s="226"/>
      <c r="EO126" s="226"/>
      <c r="EP126" s="226"/>
      <c r="EQ126" s="226"/>
      <c r="ER126" s="226"/>
      <c r="ES126" s="226"/>
      <c r="ET126" s="226"/>
      <c r="EU126" s="226"/>
      <c r="EV126" s="226"/>
      <c r="EW126" s="226"/>
      <c r="EX126" s="226"/>
      <c r="EY126" s="226"/>
      <c r="EZ126" s="226"/>
      <c r="FA126" s="226"/>
      <c r="FB126" s="226"/>
      <c r="FC126" s="226"/>
      <c r="FD126" s="226"/>
      <c r="FE126" s="226"/>
      <c r="FF126" s="226"/>
      <c r="FG126" s="226"/>
      <c r="FH126" s="226"/>
      <c r="FI126" s="226"/>
      <c r="FJ126" s="226"/>
      <c r="FK126" s="226"/>
      <c r="FL126" s="226"/>
      <c r="FM126" s="226"/>
      <c r="FN126" s="226"/>
      <c r="FO126" s="226"/>
      <c r="FP126" s="226"/>
      <c r="FQ126" s="226"/>
      <c r="FR126" s="226"/>
      <c r="FS126" s="226"/>
      <c r="FT126" s="226"/>
      <c r="FU126" s="226"/>
      <c r="FV126" s="226"/>
      <c r="FW126" s="226"/>
      <c r="FX126" s="226"/>
      <c r="FY126" s="226"/>
      <c r="FZ126" s="226"/>
      <c r="GA126" s="226"/>
      <c r="GB126" s="226"/>
      <c r="GC126" s="226"/>
      <c r="GD126" s="226"/>
      <c r="GE126" s="226"/>
      <c r="GF126" s="226"/>
      <c r="GG126" s="226"/>
    </row>
    <row r="127" spans="1:189" s="225" customFormat="1" ht="15.95" customHeight="1">
      <c r="A127" s="247" t="s">
        <v>229</v>
      </c>
      <c r="B127" s="223" t="s">
        <v>143</v>
      </c>
      <c r="C127" s="224"/>
      <c r="D127" s="200"/>
      <c r="E127" s="583"/>
      <c r="F127" s="63"/>
      <c r="O127" s="226"/>
      <c r="P127" s="226"/>
      <c r="Q127" s="226"/>
      <c r="R127" s="226"/>
      <c r="S127" s="226"/>
      <c r="T127" s="226"/>
      <c r="U127" s="226"/>
      <c r="V127" s="226"/>
      <c r="W127" s="226"/>
      <c r="X127" s="226"/>
      <c r="Y127" s="226"/>
      <c r="Z127" s="226"/>
      <c r="AA127" s="226"/>
      <c r="AB127" s="226"/>
      <c r="AC127" s="226"/>
      <c r="AD127" s="226"/>
      <c r="AE127" s="226"/>
      <c r="AF127" s="226"/>
      <c r="AG127" s="226"/>
      <c r="AH127" s="226"/>
      <c r="AI127" s="226"/>
      <c r="AJ127" s="226"/>
      <c r="AK127" s="226"/>
      <c r="AL127" s="226"/>
      <c r="AM127" s="226"/>
      <c r="AN127" s="226"/>
      <c r="AO127" s="226"/>
      <c r="AP127" s="226"/>
      <c r="AQ127" s="226"/>
      <c r="AR127" s="226"/>
      <c r="AS127" s="226"/>
      <c r="AT127" s="226"/>
      <c r="AU127" s="226"/>
      <c r="AV127" s="226"/>
      <c r="AW127" s="226"/>
      <c r="AX127" s="226"/>
      <c r="AY127" s="226"/>
      <c r="AZ127" s="226"/>
      <c r="BA127" s="226"/>
      <c r="BB127" s="226"/>
      <c r="BC127" s="226"/>
      <c r="BD127" s="226"/>
      <c r="BE127" s="226"/>
      <c r="BF127" s="226"/>
      <c r="BG127" s="226"/>
      <c r="BH127" s="226"/>
      <c r="BI127" s="226"/>
      <c r="BJ127" s="226"/>
      <c r="BK127" s="226"/>
      <c r="BL127" s="226"/>
      <c r="BM127" s="226"/>
      <c r="BN127" s="226"/>
      <c r="BO127" s="226"/>
      <c r="BP127" s="226"/>
      <c r="BQ127" s="226"/>
      <c r="BR127" s="226"/>
      <c r="BS127" s="226"/>
      <c r="BT127" s="226"/>
      <c r="BU127" s="226"/>
      <c r="BV127" s="226"/>
      <c r="BW127" s="226"/>
      <c r="BX127" s="226"/>
      <c r="BY127" s="226"/>
      <c r="BZ127" s="226"/>
      <c r="CA127" s="226"/>
      <c r="CB127" s="226"/>
      <c r="CC127" s="226"/>
      <c r="CD127" s="226"/>
      <c r="CE127" s="226"/>
      <c r="CF127" s="226"/>
      <c r="CG127" s="226"/>
      <c r="CH127" s="226"/>
      <c r="CI127" s="226"/>
      <c r="CJ127" s="226"/>
      <c r="CK127" s="226"/>
      <c r="CL127" s="226"/>
      <c r="CM127" s="226"/>
      <c r="CN127" s="226"/>
      <c r="CO127" s="226"/>
      <c r="CP127" s="226"/>
      <c r="CQ127" s="226"/>
      <c r="CR127" s="226"/>
      <c r="CS127" s="226"/>
      <c r="CT127" s="226"/>
      <c r="CU127" s="226"/>
      <c r="CV127" s="226"/>
      <c r="CW127" s="226"/>
      <c r="CX127" s="226"/>
      <c r="CY127" s="226"/>
      <c r="CZ127" s="226"/>
      <c r="DA127" s="226"/>
      <c r="DB127" s="226"/>
      <c r="DC127" s="226"/>
      <c r="DD127" s="226"/>
      <c r="DE127" s="226"/>
      <c r="DF127" s="226"/>
      <c r="DG127" s="226"/>
      <c r="DH127" s="226"/>
      <c r="DI127" s="226"/>
      <c r="DJ127" s="226"/>
      <c r="DK127" s="226"/>
      <c r="DL127" s="226"/>
      <c r="DM127" s="226"/>
      <c r="DN127" s="226"/>
      <c r="DO127" s="226"/>
      <c r="DP127" s="226"/>
      <c r="DQ127" s="226"/>
      <c r="DR127" s="226"/>
      <c r="DS127" s="226"/>
      <c r="DT127" s="226"/>
      <c r="DU127" s="226"/>
      <c r="DV127" s="226"/>
      <c r="DW127" s="226"/>
      <c r="DX127" s="226"/>
      <c r="DY127" s="226"/>
      <c r="DZ127" s="226"/>
      <c r="EA127" s="226"/>
      <c r="EB127" s="226"/>
      <c r="EC127" s="226"/>
      <c r="ED127" s="226"/>
      <c r="EE127" s="226"/>
      <c r="EF127" s="226"/>
      <c r="EG127" s="226"/>
      <c r="EH127" s="226"/>
      <c r="EI127" s="226"/>
      <c r="EJ127" s="226"/>
      <c r="EK127" s="226"/>
      <c r="EL127" s="226"/>
      <c r="EM127" s="226"/>
      <c r="EN127" s="226"/>
      <c r="EO127" s="226"/>
      <c r="EP127" s="226"/>
      <c r="EQ127" s="226"/>
      <c r="ER127" s="226"/>
      <c r="ES127" s="226"/>
      <c r="ET127" s="226"/>
      <c r="EU127" s="226"/>
      <c r="EV127" s="226"/>
      <c r="EW127" s="226"/>
      <c r="EX127" s="226"/>
      <c r="EY127" s="226"/>
      <c r="EZ127" s="226"/>
      <c r="FA127" s="226"/>
      <c r="FB127" s="226"/>
      <c r="FC127" s="226"/>
      <c r="FD127" s="226"/>
      <c r="FE127" s="226"/>
      <c r="FF127" s="226"/>
      <c r="FG127" s="226"/>
      <c r="FH127" s="226"/>
      <c r="FI127" s="226"/>
      <c r="FJ127" s="226"/>
      <c r="FK127" s="226"/>
      <c r="FL127" s="226"/>
      <c r="FM127" s="226"/>
      <c r="FN127" s="226"/>
      <c r="FO127" s="226"/>
      <c r="FP127" s="226"/>
      <c r="FQ127" s="226"/>
      <c r="FR127" s="226"/>
      <c r="FS127" s="226"/>
      <c r="FT127" s="226"/>
      <c r="FU127" s="226"/>
      <c r="FV127" s="226"/>
      <c r="FW127" s="226"/>
      <c r="FX127" s="226"/>
      <c r="FY127" s="226"/>
      <c r="FZ127" s="226"/>
      <c r="GA127" s="226"/>
      <c r="GB127" s="226"/>
      <c r="GC127" s="226"/>
      <c r="GD127" s="226"/>
      <c r="GE127" s="226"/>
      <c r="GF127" s="226"/>
      <c r="GG127" s="226"/>
    </row>
    <row r="128" spans="1:189" s="225" customFormat="1" ht="15.95" customHeight="1">
      <c r="A128" s="139" t="s">
        <v>228</v>
      </c>
      <c r="B128" s="193" t="s">
        <v>210</v>
      </c>
      <c r="C128" s="228" t="s">
        <v>1</v>
      </c>
      <c r="D128" s="138">
        <v>0</v>
      </c>
      <c r="E128" s="589" t="e">
        <f>#REF!</f>
        <v>#REF!</v>
      </c>
      <c r="F128" s="65" t="e">
        <f>+D128*E128</f>
        <v>#REF!</v>
      </c>
      <c r="O128" s="226"/>
      <c r="P128" s="226"/>
      <c r="Q128" s="226"/>
      <c r="R128" s="226"/>
      <c r="S128" s="226"/>
      <c r="T128" s="226"/>
      <c r="U128" s="226"/>
      <c r="V128" s="226"/>
      <c r="W128" s="226"/>
      <c r="X128" s="226"/>
      <c r="Y128" s="226"/>
      <c r="Z128" s="226"/>
      <c r="AA128" s="226"/>
      <c r="AB128" s="226"/>
      <c r="AC128" s="226"/>
      <c r="AD128" s="226"/>
      <c r="AE128" s="226"/>
      <c r="AF128" s="226"/>
      <c r="AG128" s="226"/>
      <c r="AH128" s="226"/>
      <c r="AI128" s="226"/>
      <c r="AJ128" s="226"/>
      <c r="AK128" s="226"/>
      <c r="AL128" s="226"/>
      <c r="AM128" s="226"/>
      <c r="AN128" s="226"/>
      <c r="AO128" s="226"/>
      <c r="AP128" s="226"/>
      <c r="AQ128" s="226"/>
      <c r="AR128" s="226"/>
      <c r="AS128" s="226"/>
      <c r="AT128" s="226"/>
      <c r="AU128" s="226"/>
      <c r="AV128" s="226"/>
      <c r="AW128" s="226"/>
      <c r="AX128" s="226"/>
      <c r="AY128" s="226"/>
      <c r="AZ128" s="226"/>
      <c r="BA128" s="226"/>
      <c r="BB128" s="226"/>
      <c r="BC128" s="226"/>
      <c r="BD128" s="226"/>
      <c r="BE128" s="226"/>
      <c r="BF128" s="226"/>
      <c r="BG128" s="226"/>
      <c r="BH128" s="226"/>
      <c r="BI128" s="226"/>
      <c r="BJ128" s="226"/>
      <c r="BK128" s="226"/>
      <c r="BL128" s="226"/>
      <c r="BM128" s="226"/>
      <c r="BN128" s="226"/>
      <c r="BO128" s="226"/>
      <c r="BP128" s="226"/>
      <c r="BQ128" s="226"/>
      <c r="BR128" s="226"/>
      <c r="BS128" s="226"/>
      <c r="BT128" s="226"/>
      <c r="BU128" s="226"/>
      <c r="BV128" s="226"/>
      <c r="BW128" s="226"/>
      <c r="BX128" s="226"/>
      <c r="BY128" s="226"/>
      <c r="BZ128" s="226"/>
      <c r="CA128" s="226"/>
      <c r="CB128" s="226"/>
      <c r="CC128" s="226"/>
      <c r="CD128" s="226"/>
      <c r="CE128" s="226"/>
      <c r="CF128" s="226"/>
      <c r="CG128" s="226"/>
      <c r="CH128" s="226"/>
      <c r="CI128" s="226"/>
      <c r="CJ128" s="226"/>
      <c r="CK128" s="226"/>
      <c r="CL128" s="226"/>
      <c r="CM128" s="226"/>
      <c r="CN128" s="226"/>
      <c r="CO128" s="226"/>
      <c r="CP128" s="226"/>
      <c r="CQ128" s="226"/>
      <c r="CR128" s="226"/>
      <c r="CS128" s="226"/>
      <c r="CT128" s="226"/>
      <c r="CU128" s="226"/>
      <c r="CV128" s="226"/>
      <c r="CW128" s="226"/>
      <c r="CX128" s="226"/>
      <c r="CY128" s="226"/>
      <c r="CZ128" s="226"/>
      <c r="DA128" s="226"/>
      <c r="DB128" s="226"/>
      <c r="DC128" s="226"/>
      <c r="DD128" s="226"/>
      <c r="DE128" s="226"/>
      <c r="DF128" s="226"/>
      <c r="DG128" s="226"/>
      <c r="DH128" s="226"/>
      <c r="DI128" s="226"/>
      <c r="DJ128" s="226"/>
      <c r="DK128" s="226"/>
      <c r="DL128" s="226"/>
      <c r="DM128" s="226"/>
      <c r="DN128" s="226"/>
      <c r="DO128" s="226"/>
      <c r="DP128" s="226"/>
      <c r="DQ128" s="226"/>
      <c r="DR128" s="226"/>
      <c r="DS128" s="226"/>
      <c r="DT128" s="226"/>
      <c r="DU128" s="226"/>
      <c r="DV128" s="226"/>
      <c r="DW128" s="226"/>
      <c r="DX128" s="226"/>
      <c r="DY128" s="226"/>
      <c r="DZ128" s="226"/>
      <c r="EA128" s="226"/>
      <c r="EB128" s="226"/>
      <c r="EC128" s="226"/>
      <c r="ED128" s="226"/>
      <c r="EE128" s="226"/>
      <c r="EF128" s="226"/>
      <c r="EG128" s="226"/>
      <c r="EH128" s="226"/>
      <c r="EI128" s="226"/>
      <c r="EJ128" s="226"/>
      <c r="EK128" s="226"/>
      <c r="EL128" s="226"/>
      <c r="EM128" s="226"/>
      <c r="EN128" s="226"/>
      <c r="EO128" s="226"/>
      <c r="EP128" s="226"/>
      <c r="EQ128" s="226"/>
      <c r="ER128" s="226"/>
      <c r="ES128" s="226"/>
      <c r="ET128" s="226"/>
      <c r="EU128" s="226"/>
      <c r="EV128" s="226"/>
      <c r="EW128" s="226"/>
      <c r="EX128" s="226"/>
      <c r="EY128" s="226"/>
      <c r="EZ128" s="226"/>
      <c r="FA128" s="226"/>
      <c r="FB128" s="226"/>
      <c r="FC128" s="226"/>
      <c r="FD128" s="226"/>
      <c r="FE128" s="226"/>
      <c r="FF128" s="226"/>
      <c r="FG128" s="226"/>
      <c r="FH128" s="226"/>
      <c r="FI128" s="226"/>
      <c r="FJ128" s="226"/>
      <c r="FK128" s="226"/>
      <c r="FL128" s="226"/>
      <c r="FM128" s="226"/>
      <c r="FN128" s="226"/>
      <c r="FO128" s="226"/>
      <c r="FP128" s="226"/>
      <c r="FQ128" s="226"/>
      <c r="FR128" s="226"/>
      <c r="FS128" s="226"/>
      <c r="FT128" s="226"/>
      <c r="FU128" s="226"/>
      <c r="FV128" s="226"/>
      <c r="FW128" s="226"/>
      <c r="FX128" s="226"/>
      <c r="FY128" s="226"/>
      <c r="FZ128" s="226"/>
      <c r="GA128" s="226"/>
      <c r="GB128" s="226"/>
      <c r="GC128" s="226"/>
      <c r="GD128" s="226"/>
      <c r="GE128" s="226"/>
      <c r="GF128" s="226"/>
      <c r="GG128" s="226"/>
    </row>
    <row r="129" spans="1:189" s="225" customFormat="1" ht="15.95" customHeight="1">
      <c r="A129" s="17"/>
      <c r="B129" s="230"/>
      <c r="C129" s="228"/>
      <c r="D129" s="138"/>
      <c r="E129" s="587"/>
      <c r="F129" s="65"/>
      <c r="O129" s="226"/>
      <c r="P129" s="226"/>
      <c r="Q129" s="226"/>
      <c r="R129" s="226"/>
      <c r="S129" s="226"/>
      <c r="T129" s="226"/>
      <c r="U129" s="226"/>
      <c r="V129" s="226"/>
      <c r="W129" s="226"/>
      <c r="X129" s="226"/>
      <c r="Y129" s="226"/>
      <c r="Z129" s="226"/>
      <c r="AA129" s="226"/>
      <c r="AB129" s="226"/>
      <c r="AC129" s="226"/>
      <c r="AD129" s="226"/>
      <c r="AE129" s="226"/>
      <c r="AF129" s="226"/>
      <c r="AG129" s="226"/>
      <c r="AH129" s="226"/>
      <c r="AI129" s="226"/>
      <c r="AJ129" s="226"/>
      <c r="AK129" s="226"/>
      <c r="AL129" s="226"/>
      <c r="AM129" s="226"/>
      <c r="AN129" s="226"/>
      <c r="AO129" s="226"/>
      <c r="AP129" s="226"/>
      <c r="AQ129" s="226"/>
      <c r="AR129" s="226"/>
      <c r="AS129" s="226"/>
      <c r="AT129" s="226"/>
      <c r="AU129" s="226"/>
      <c r="AV129" s="226"/>
      <c r="AW129" s="226"/>
      <c r="AX129" s="226"/>
      <c r="AY129" s="226"/>
      <c r="AZ129" s="226"/>
      <c r="BA129" s="226"/>
      <c r="BB129" s="226"/>
      <c r="BC129" s="226"/>
      <c r="BD129" s="226"/>
      <c r="BE129" s="226"/>
      <c r="BF129" s="226"/>
      <c r="BG129" s="226"/>
      <c r="BH129" s="226"/>
      <c r="BI129" s="226"/>
      <c r="BJ129" s="226"/>
      <c r="BK129" s="226"/>
      <c r="BL129" s="226"/>
      <c r="BM129" s="226"/>
      <c r="BN129" s="226"/>
      <c r="BO129" s="226"/>
      <c r="BP129" s="226"/>
      <c r="BQ129" s="226"/>
      <c r="BR129" s="226"/>
      <c r="BS129" s="226"/>
      <c r="BT129" s="226"/>
      <c r="BU129" s="226"/>
      <c r="BV129" s="226"/>
      <c r="BW129" s="226"/>
      <c r="BX129" s="226"/>
      <c r="BY129" s="226"/>
      <c r="BZ129" s="226"/>
      <c r="CA129" s="226"/>
      <c r="CB129" s="226"/>
      <c r="CC129" s="226"/>
      <c r="CD129" s="226"/>
      <c r="CE129" s="226"/>
      <c r="CF129" s="226"/>
      <c r="CG129" s="226"/>
      <c r="CH129" s="226"/>
      <c r="CI129" s="226"/>
      <c r="CJ129" s="226"/>
      <c r="CK129" s="226"/>
      <c r="CL129" s="226"/>
      <c r="CM129" s="226"/>
      <c r="CN129" s="226"/>
      <c r="CO129" s="226"/>
      <c r="CP129" s="226"/>
      <c r="CQ129" s="226"/>
      <c r="CR129" s="226"/>
      <c r="CS129" s="226"/>
      <c r="CT129" s="226"/>
      <c r="CU129" s="226"/>
      <c r="CV129" s="226"/>
      <c r="CW129" s="226"/>
      <c r="CX129" s="226"/>
      <c r="CY129" s="226"/>
      <c r="CZ129" s="226"/>
      <c r="DA129" s="226"/>
      <c r="DB129" s="226"/>
      <c r="DC129" s="226"/>
      <c r="DD129" s="226"/>
      <c r="DE129" s="226"/>
      <c r="DF129" s="226"/>
      <c r="DG129" s="226"/>
      <c r="DH129" s="226"/>
      <c r="DI129" s="226"/>
      <c r="DJ129" s="226"/>
      <c r="DK129" s="226"/>
      <c r="DL129" s="226"/>
      <c r="DM129" s="226"/>
      <c r="DN129" s="226"/>
      <c r="DO129" s="226"/>
      <c r="DP129" s="226"/>
      <c r="DQ129" s="226"/>
      <c r="DR129" s="226"/>
      <c r="DS129" s="226"/>
      <c r="DT129" s="226"/>
      <c r="DU129" s="226"/>
      <c r="DV129" s="226"/>
      <c r="DW129" s="226"/>
      <c r="DX129" s="226"/>
      <c r="DY129" s="226"/>
      <c r="DZ129" s="226"/>
      <c r="EA129" s="226"/>
      <c r="EB129" s="226"/>
      <c r="EC129" s="226"/>
      <c r="ED129" s="226"/>
      <c r="EE129" s="226"/>
      <c r="EF129" s="226"/>
      <c r="EG129" s="226"/>
      <c r="EH129" s="226"/>
      <c r="EI129" s="226"/>
      <c r="EJ129" s="226"/>
      <c r="EK129" s="226"/>
      <c r="EL129" s="226"/>
      <c r="EM129" s="226"/>
      <c r="EN129" s="226"/>
      <c r="EO129" s="226"/>
      <c r="EP129" s="226"/>
      <c r="EQ129" s="226"/>
      <c r="ER129" s="226"/>
      <c r="ES129" s="226"/>
      <c r="ET129" s="226"/>
      <c r="EU129" s="226"/>
      <c r="EV129" s="226"/>
      <c r="EW129" s="226"/>
      <c r="EX129" s="226"/>
      <c r="EY129" s="226"/>
      <c r="EZ129" s="226"/>
      <c r="FA129" s="226"/>
      <c r="FB129" s="226"/>
      <c r="FC129" s="226"/>
      <c r="FD129" s="226"/>
      <c r="FE129" s="226"/>
      <c r="FF129" s="226"/>
      <c r="FG129" s="226"/>
      <c r="FH129" s="226"/>
      <c r="FI129" s="226"/>
      <c r="FJ129" s="226"/>
      <c r="FK129" s="226"/>
      <c r="FL129" s="226"/>
      <c r="FM129" s="226"/>
      <c r="FN129" s="226"/>
      <c r="FO129" s="226"/>
      <c r="FP129" s="226"/>
      <c r="FQ129" s="226"/>
      <c r="FR129" s="226"/>
      <c r="FS129" s="226"/>
      <c r="FT129" s="226"/>
      <c r="FU129" s="226"/>
      <c r="FV129" s="226"/>
      <c r="FW129" s="226"/>
      <c r="FX129" s="226"/>
      <c r="FY129" s="226"/>
      <c r="FZ129" s="226"/>
      <c r="GA129" s="226"/>
      <c r="GB129" s="226"/>
      <c r="GC129" s="226"/>
      <c r="GD129" s="226"/>
      <c r="GE129" s="226"/>
      <c r="GF129" s="226"/>
      <c r="GG129" s="226"/>
    </row>
    <row r="130" spans="1:189" s="225" customFormat="1" ht="15.95" customHeight="1">
      <c r="A130" s="247" t="s">
        <v>219</v>
      </c>
      <c r="B130" s="223" t="s">
        <v>220</v>
      </c>
      <c r="C130" s="224"/>
      <c r="D130" s="200"/>
      <c r="E130" s="583"/>
      <c r="F130" s="63"/>
      <c r="H130" s="259"/>
      <c r="I130" s="265"/>
      <c r="J130" s="259"/>
      <c r="K130" s="226"/>
      <c r="L130" s="226"/>
      <c r="M130" s="226"/>
      <c r="N130" s="226"/>
      <c r="O130" s="226"/>
      <c r="P130" s="226"/>
      <c r="Q130" s="226"/>
      <c r="R130" s="226"/>
      <c r="S130" s="226"/>
      <c r="T130" s="226"/>
      <c r="U130" s="226"/>
      <c r="V130" s="226"/>
      <c r="W130" s="226"/>
      <c r="X130" s="226"/>
      <c r="Y130" s="226"/>
      <c r="Z130" s="226"/>
      <c r="AA130" s="226"/>
      <c r="AB130" s="226"/>
      <c r="AC130" s="226"/>
      <c r="AD130" s="226"/>
      <c r="AE130" s="226"/>
      <c r="AF130" s="226"/>
      <c r="AG130" s="226"/>
      <c r="AH130" s="226"/>
      <c r="AI130" s="226"/>
      <c r="AJ130" s="226"/>
      <c r="AK130" s="226"/>
      <c r="AL130" s="226"/>
      <c r="AM130" s="226"/>
      <c r="AN130" s="226"/>
      <c r="AO130" s="226"/>
      <c r="AP130" s="226"/>
      <c r="AQ130" s="226"/>
      <c r="AR130" s="226"/>
      <c r="AS130" s="226"/>
      <c r="AT130" s="226"/>
      <c r="AU130" s="226"/>
      <c r="AV130" s="226"/>
      <c r="AW130" s="226"/>
      <c r="AX130" s="226"/>
      <c r="AY130" s="226"/>
      <c r="AZ130" s="226"/>
      <c r="BA130" s="226"/>
      <c r="BB130" s="226"/>
      <c r="BC130" s="226"/>
      <c r="BD130" s="226"/>
      <c r="BE130" s="226"/>
      <c r="BF130" s="226"/>
      <c r="BG130" s="226"/>
      <c r="BH130" s="226"/>
      <c r="BI130" s="226"/>
      <c r="BJ130" s="226"/>
      <c r="BK130" s="226"/>
      <c r="BL130" s="226"/>
      <c r="BM130" s="226"/>
      <c r="BN130" s="226"/>
      <c r="BO130" s="226"/>
      <c r="BP130" s="226"/>
      <c r="BQ130" s="226"/>
      <c r="BR130" s="226"/>
      <c r="BS130" s="226"/>
      <c r="BT130" s="226"/>
      <c r="BU130" s="226"/>
      <c r="BV130" s="226"/>
      <c r="BW130" s="226"/>
      <c r="BX130" s="226"/>
      <c r="BY130" s="226"/>
      <c r="BZ130" s="226"/>
      <c r="CA130" s="226"/>
      <c r="CB130" s="226"/>
      <c r="CC130" s="226"/>
      <c r="CD130" s="226"/>
      <c r="CE130" s="226"/>
      <c r="CF130" s="226"/>
      <c r="CG130" s="226"/>
      <c r="CH130" s="226"/>
      <c r="CI130" s="226"/>
      <c r="CJ130" s="226"/>
      <c r="CK130" s="226"/>
      <c r="CL130" s="226"/>
      <c r="CM130" s="226"/>
      <c r="CN130" s="226"/>
      <c r="CO130" s="226"/>
      <c r="CP130" s="226"/>
      <c r="CQ130" s="226"/>
      <c r="CR130" s="226"/>
      <c r="CS130" s="226"/>
      <c r="CT130" s="226"/>
      <c r="CU130" s="226"/>
      <c r="CV130" s="226"/>
      <c r="CW130" s="226"/>
      <c r="CX130" s="226"/>
      <c r="CY130" s="226"/>
      <c r="CZ130" s="226"/>
      <c r="DA130" s="226"/>
      <c r="DB130" s="226"/>
      <c r="DC130" s="226"/>
      <c r="DD130" s="226"/>
      <c r="DE130" s="226"/>
      <c r="DF130" s="226"/>
      <c r="DG130" s="226"/>
      <c r="DH130" s="226"/>
      <c r="DI130" s="226"/>
      <c r="DJ130" s="226"/>
      <c r="DK130" s="226"/>
      <c r="DL130" s="226"/>
      <c r="DM130" s="226"/>
      <c r="DN130" s="226"/>
      <c r="DO130" s="226"/>
      <c r="DP130" s="226"/>
      <c r="DQ130" s="226"/>
      <c r="DR130" s="226"/>
      <c r="DS130" s="226"/>
      <c r="DT130" s="226"/>
      <c r="DU130" s="226"/>
      <c r="DV130" s="226"/>
      <c r="DW130" s="226"/>
      <c r="DX130" s="226"/>
      <c r="DY130" s="226"/>
      <c r="DZ130" s="226"/>
      <c r="EA130" s="226"/>
      <c r="EB130" s="226"/>
      <c r="EC130" s="226"/>
      <c r="ED130" s="226"/>
      <c r="EE130" s="226"/>
      <c r="EF130" s="226"/>
      <c r="EG130" s="226"/>
      <c r="EH130" s="226"/>
      <c r="EI130" s="226"/>
      <c r="EJ130" s="226"/>
      <c r="EK130" s="226"/>
      <c r="EL130" s="226"/>
      <c r="EM130" s="226"/>
      <c r="EN130" s="226"/>
      <c r="EO130" s="226"/>
      <c r="EP130" s="226"/>
      <c r="EQ130" s="226"/>
      <c r="ER130" s="226"/>
      <c r="ES130" s="226"/>
      <c r="ET130" s="226"/>
      <c r="EU130" s="226"/>
      <c r="EV130" s="226"/>
      <c r="EW130" s="226"/>
      <c r="EX130" s="226"/>
      <c r="EY130" s="226"/>
      <c r="EZ130" s="226"/>
      <c r="FA130" s="226"/>
      <c r="FB130" s="226"/>
      <c r="FC130" s="226"/>
      <c r="FD130" s="226"/>
      <c r="FE130" s="226"/>
      <c r="FF130" s="226"/>
      <c r="FG130" s="226"/>
      <c r="FH130" s="226"/>
      <c r="FI130" s="226"/>
      <c r="FJ130" s="226"/>
      <c r="FK130" s="226"/>
      <c r="FL130" s="226"/>
      <c r="FM130" s="226"/>
      <c r="FN130" s="226"/>
      <c r="FO130" s="226"/>
      <c r="FP130" s="226"/>
      <c r="FQ130" s="226"/>
      <c r="FR130" s="226"/>
      <c r="FS130" s="226"/>
      <c r="FT130" s="226"/>
      <c r="FU130" s="226"/>
      <c r="FV130" s="226"/>
      <c r="FW130" s="226"/>
      <c r="FX130" s="226"/>
      <c r="FY130" s="226"/>
      <c r="FZ130" s="226"/>
      <c r="GA130" s="226"/>
      <c r="GB130" s="226"/>
      <c r="GC130" s="226"/>
      <c r="GD130" s="226"/>
      <c r="GE130" s="226"/>
      <c r="GF130" s="226"/>
      <c r="GG130" s="226"/>
    </row>
    <row r="131" spans="1:189" s="198" customFormat="1" ht="15.95" customHeight="1">
      <c r="A131" s="139" t="s">
        <v>230</v>
      </c>
      <c r="B131" s="193"/>
      <c r="C131" s="228" t="s">
        <v>27</v>
      </c>
      <c r="D131" s="138">
        <v>3</v>
      </c>
      <c r="E131" s="589" t="e">
        <f>#REF!</f>
        <v>#REF!</v>
      </c>
      <c r="F131" s="65" t="e">
        <f>+D131*E131</f>
        <v>#REF!</v>
      </c>
      <c r="G131" s="225"/>
      <c r="H131" s="259"/>
      <c r="I131" s="265"/>
      <c r="J131" s="259"/>
      <c r="K131" s="199"/>
      <c r="L131" s="199"/>
      <c r="M131" s="199"/>
      <c r="N131" s="199"/>
      <c r="O131" s="199"/>
      <c r="P131" s="199"/>
      <c r="Q131" s="199"/>
      <c r="R131" s="199"/>
      <c r="S131" s="199"/>
      <c r="T131" s="199"/>
      <c r="U131" s="199"/>
      <c r="V131" s="199"/>
      <c r="W131" s="199"/>
      <c r="X131" s="199"/>
      <c r="Y131" s="199"/>
      <c r="Z131" s="199"/>
      <c r="AA131" s="199"/>
      <c r="AB131" s="199"/>
      <c r="AC131" s="199"/>
      <c r="AD131" s="199"/>
      <c r="AE131" s="199"/>
      <c r="AF131" s="199"/>
      <c r="AG131" s="199"/>
      <c r="AH131" s="199"/>
      <c r="AI131" s="199"/>
      <c r="AJ131" s="199"/>
      <c r="AK131" s="199"/>
      <c r="AL131" s="199"/>
      <c r="AM131" s="199"/>
      <c r="AN131" s="199"/>
      <c r="AO131" s="199"/>
      <c r="AP131" s="199"/>
      <c r="AQ131" s="199"/>
      <c r="AR131" s="199"/>
      <c r="AS131" s="199"/>
      <c r="AT131" s="199"/>
      <c r="AU131" s="199"/>
      <c r="AV131" s="199"/>
      <c r="AW131" s="199"/>
      <c r="AX131" s="199"/>
      <c r="AY131" s="199"/>
      <c r="AZ131" s="199"/>
      <c r="BA131" s="199"/>
      <c r="BB131" s="199"/>
      <c r="BC131" s="199"/>
      <c r="BD131" s="199"/>
      <c r="BE131" s="199"/>
      <c r="BF131" s="199"/>
      <c r="BG131" s="199"/>
      <c r="BH131" s="199"/>
      <c r="BI131" s="199"/>
      <c r="BJ131" s="199"/>
      <c r="BK131" s="199"/>
      <c r="BL131" s="199"/>
      <c r="BM131" s="199"/>
      <c r="BN131" s="199"/>
      <c r="BO131" s="199"/>
      <c r="BP131" s="199"/>
      <c r="BQ131" s="199"/>
      <c r="BR131" s="199"/>
      <c r="BS131" s="199"/>
      <c r="BT131" s="199"/>
      <c r="BU131" s="199"/>
      <c r="BV131" s="199"/>
      <c r="BW131" s="199"/>
      <c r="BX131" s="199"/>
      <c r="BY131" s="199"/>
      <c r="BZ131" s="199"/>
      <c r="CA131" s="199"/>
      <c r="CB131" s="199"/>
      <c r="CC131" s="199"/>
      <c r="CD131" s="199"/>
      <c r="CE131" s="199"/>
      <c r="CF131" s="199"/>
      <c r="CG131" s="199"/>
      <c r="CH131" s="199"/>
      <c r="CI131" s="199"/>
      <c r="CJ131" s="199"/>
      <c r="CK131" s="199"/>
      <c r="CL131" s="199"/>
      <c r="CM131" s="199"/>
      <c r="CN131" s="199"/>
      <c r="CO131" s="199"/>
      <c r="CP131" s="199"/>
      <c r="CQ131" s="199"/>
      <c r="CR131" s="199"/>
      <c r="CS131" s="199"/>
      <c r="CT131" s="199"/>
      <c r="CU131" s="199"/>
      <c r="CV131" s="199"/>
      <c r="CW131" s="199"/>
      <c r="CX131" s="199"/>
      <c r="CY131" s="199"/>
      <c r="CZ131" s="199"/>
      <c r="DA131" s="199"/>
      <c r="DB131" s="199"/>
      <c r="DC131" s="199"/>
      <c r="DD131" s="199"/>
      <c r="DE131" s="199"/>
      <c r="DF131" s="199"/>
      <c r="DG131" s="199"/>
      <c r="DH131" s="199"/>
      <c r="DI131" s="199"/>
      <c r="DJ131" s="199"/>
      <c r="DK131" s="199"/>
      <c r="DL131" s="199"/>
      <c r="DM131" s="199"/>
      <c r="DN131" s="199"/>
      <c r="DO131" s="199"/>
      <c r="DP131" s="199"/>
      <c r="DQ131" s="199"/>
      <c r="DR131" s="199"/>
      <c r="DS131" s="199"/>
      <c r="DT131" s="199"/>
      <c r="DU131" s="199"/>
      <c r="DV131" s="199"/>
      <c r="DW131" s="199"/>
      <c r="DX131" s="199"/>
      <c r="DY131" s="199"/>
      <c r="DZ131" s="199"/>
      <c r="EA131" s="199"/>
      <c r="EB131" s="199"/>
      <c r="EC131" s="199"/>
      <c r="ED131" s="199"/>
      <c r="EE131" s="199"/>
      <c r="EF131" s="199"/>
      <c r="EG131" s="199"/>
      <c r="EH131" s="199"/>
      <c r="EI131" s="199"/>
      <c r="EJ131" s="199"/>
      <c r="EK131" s="199"/>
      <c r="EL131" s="199"/>
      <c r="EM131" s="199"/>
      <c r="EN131" s="199"/>
      <c r="EO131" s="199"/>
      <c r="EP131" s="199"/>
      <c r="EQ131" s="199"/>
      <c r="ER131" s="199"/>
      <c r="ES131" s="199"/>
      <c r="ET131" s="199"/>
      <c r="EU131" s="199"/>
      <c r="EV131" s="199"/>
      <c r="EW131" s="199"/>
      <c r="EX131" s="199"/>
      <c r="EY131" s="199"/>
      <c r="EZ131" s="199"/>
      <c r="FA131" s="199"/>
      <c r="FB131" s="199"/>
      <c r="FC131" s="199"/>
      <c r="FD131" s="199"/>
      <c r="FE131" s="199"/>
      <c r="FF131" s="199"/>
      <c r="FG131" s="199"/>
      <c r="FH131" s="199"/>
      <c r="FI131" s="199"/>
      <c r="FJ131" s="199"/>
      <c r="FK131" s="199"/>
      <c r="FL131" s="199"/>
      <c r="FM131" s="199"/>
      <c r="FN131" s="199"/>
      <c r="FO131" s="199"/>
      <c r="FP131" s="199"/>
      <c r="FQ131" s="199"/>
      <c r="FR131" s="199"/>
      <c r="FS131" s="199"/>
      <c r="FT131" s="199"/>
      <c r="FU131" s="199"/>
      <c r="FV131" s="199"/>
      <c r="FW131" s="199"/>
      <c r="FX131" s="199"/>
      <c r="FY131" s="199"/>
      <c r="FZ131" s="199"/>
      <c r="GA131" s="199"/>
      <c r="GB131" s="199"/>
      <c r="GC131" s="199"/>
      <c r="GD131" s="199"/>
      <c r="GE131" s="199"/>
      <c r="GF131" s="199"/>
      <c r="GG131" s="199"/>
    </row>
    <row r="132" spans="1:189" s="225" customFormat="1" ht="15.95" customHeight="1">
      <c r="A132" s="17"/>
      <c r="B132" s="230"/>
      <c r="C132" s="228"/>
      <c r="D132" s="138"/>
      <c r="E132" s="587"/>
      <c r="F132" s="65"/>
      <c r="H132" s="259">
        <f>37+13+19</f>
        <v>69</v>
      </c>
      <c r="I132" s="265">
        <v>1.05</v>
      </c>
      <c r="J132" s="259">
        <f>H132*I132</f>
        <v>72.45</v>
      </c>
      <c r="K132" s="226"/>
      <c r="L132" s="226"/>
      <c r="M132" s="226"/>
      <c r="N132" s="226"/>
      <c r="O132" s="226"/>
      <c r="P132" s="226"/>
      <c r="Q132" s="226"/>
      <c r="R132" s="226"/>
      <c r="S132" s="226"/>
      <c r="T132" s="226"/>
      <c r="U132" s="226"/>
      <c r="V132" s="226"/>
      <c r="W132" s="226"/>
      <c r="X132" s="226"/>
      <c r="Y132" s="226"/>
      <c r="Z132" s="226"/>
      <c r="AA132" s="226"/>
      <c r="AB132" s="226"/>
      <c r="AC132" s="226"/>
      <c r="AD132" s="226"/>
      <c r="AE132" s="226"/>
      <c r="AF132" s="226"/>
      <c r="AG132" s="226"/>
      <c r="AH132" s="226"/>
      <c r="AI132" s="226"/>
      <c r="AJ132" s="226"/>
      <c r="AK132" s="226"/>
      <c r="AL132" s="226"/>
      <c r="AM132" s="226"/>
      <c r="AN132" s="226"/>
      <c r="AO132" s="226"/>
      <c r="AP132" s="226"/>
      <c r="AQ132" s="226"/>
      <c r="AR132" s="226"/>
      <c r="AS132" s="226"/>
      <c r="AT132" s="226"/>
      <c r="AU132" s="226"/>
      <c r="AV132" s="226"/>
      <c r="AW132" s="226"/>
      <c r="AX132" s="226"/>
      <c r="AY132" s="226"/>
      <c r="AZ132" s="226"/>
      <c r="BA132" s="226"/>
      <c r="BB132" s="226"/>
      <c r="BC132" s="226"/>
      <c r="BD132" s="226"/>
      <c r="BE132" s="226"/>
      <c r="BF132" s="226"/>
      <c r="BG132" s="226"/>
      <c r="BH132" s="226"/>
      <c r="BI132" s="226"/>
      <c r="BJ132" s="226"/>
      <c r="BK132" s="226"/>
      <c r="BL132" s="226"/>
      <c r="BM132" s="226"/>
      <c r="BN132" s="226"/>
      <c r="BO132" s="226"/>
      <c r="BP132" s="226"/>
      <c r="BQ132" s="226"/>
      <c r="BR132" s="226"/>
      <c r="BS132" s="226"/>
      <c r="BT132" s="226"/>
      <c r="BU132" s="226"/>
      <c r="BV132" s="226"/>
      <c r="BW132" s="226"/>
      <c r="BX132" s="226"/>
      <c r="BY132" s="226"/>
      <c r="BZ132" s="226"/>
      <c r="CA132" s="226"/>
      <c r="CB132" s="226"/>
      <c r="CC132" s="226"/>
      <c r="CD132" s="226"/>
      <c r="CE132" s="226"/>
      <c r="CF132" s="226"/>
      <c r="CG132" s="226"/>
      <c r="CH132" s="226"/>
      <c r="CI132" s="226"/>
      <c r="CJ132" s="226"/>
      <c r="CK132" s="226"/>
      <c r="CL132" s="226"/>
      <c r="CM132" s="226"/>
      <c r="CN132" s="226"/>
      <c r="CO132" s="226"/>
      <c r="CP132" s="226"/>
      <c r="CQ132" s="226"/>
      <c r="CR132" s="226"/>
      <c r="CS132" s="226"/>
      <c r="CT132" s="226"/>
      <c r="CU132" s="226"/>
      <c r="CV132" s="226"/>
      <c r="CW132" s="226"/>
      <c r="CX132" s="226"/>
      <c r="CY132" s="226"/>
      <c r="CZ132" s="226"/>
      <c r="DA132" s="226"/>
      <c r="DB132" s="226"/>
      <c r="DC132" s="226"/>
      <c r="DD132" s="226"/>
      <c r="DE132" s="226"/>
      <c r="DF132" s="226"/>
      <c r="DG132" s="226"/>
      <c r="DH132" s="226"/>
      <c r="DI132" s="226"/>
      <c r="DJ132" s="226"/>
      <c r="DK132" s="226"/>
      <c r="DL132" s="226"/>
      <c r="DM132" s="226"/>
      <c r="DN132" s="226"/>
      <c r="DO132" s="226"/>
      <c r="DP132" s="226"/>
      <c r="DQ132" s="226"/>
      <c r="DR132" s="226"/>
      <c r="DS132" s="226"/>
      <c r="DT132" s="226"/>
      <c r="DU132" s="226"/>
      <c r="DV132" s="226"/>
      <c r="DW132" s="226"/>
      <c r="DX132" s="226"/>
      <c r="DY132" s="226"/>
      <c r="DZ132" s="226"/>
      <c r="EA132" s="226"/>
      <c r="EB132" s="226"/>
      <c r="EC132" s="226"/>
      <c r="ED132" s="226"/>
      <c r="EE132" s="226"/>
      <c r="EF132" s="226"/>
      <c r="EG132" s="226"/>
      <c r="EH132" s="226"/>
      <c r="EI132" s="226"/>
      <c r="EJ132" s="226"/>
      <c r="EK132" s="226"/>
      <c r="EL132" s="226"/>
      <c r="EM132" s="226"/>
      <c r="EN132" s="226"/>
      <c r="EO132" s="226"/>
      <c r="EP132" s="226"/>
      <c r="EQ132" s="226"/>
      <c r="ER132" s="226"/>
      <c r="ES132" s="226"/>
      <c r="ET132" s="226"/>
      <c r="EU132" s="226"/>
      <c r="EV132" s="226"/>
      <c r="EW132" s="226"/>
      <c r="EX132" s="226"/>
      <c r="EY132" s="226"/>
      <c r="EZ132" s="226"/>
      <c r="FA132" s="226"/>
      <c r="FB132" s="226"/>
      <c r="FC132" s="226"/>
      <c r="FD132" s="226"/>
      <c r="FE132" s="226"/>
      <c r="FF132" s="226"/>
      <c r="FG132" s="226"/>
      <c r="FH132" s="226"/>
      <c r="FI132" s="226"/>
      <c r="FJ132" s="226"/>
      <c r="FK132" s="226"/>
      <c r="FL132" s="226"/>
      <c r="FM132" s="226"/>
      <c r="FN132" s="226"/>
      <c r="FO132" s="226"/>
      <c r="FP132" s="226"/>
      <c r="FQ132" s="226"/>
      <c r="FR132" s="226"/>
      <c r="FS132" s="226"/>
      <c r="FT132" s="226"/>
      <c r="FU132" s="226"/>
      <c r="FV132" s="226"/>
      <c r="FW132" s="226"/>
      <c r="FX132" s="226"/>
      <c r="FY132" s="226"/>
      <c r="FZ132" s="226"/>
      <c r="GA132" s="226"/>
      <c r="GB132" s="226"/>
      <c r="GC132" s="226"/>
      <c r="GD132" s="226"/>
      <c r="GE132" s="226"/>
      <c r="GF132" s="226"/>
      <c r="GG132" s="226"/>
    </row>
    <row r="133" spans="1:189" s="225" customFormat="1" ht="15.95" customHeight="1">
      <c r="A133" s="432" t="e">
        <f>+#REF!</f>
        <v>#REF!</v>
      </c>
      <c r="B133" s="223" t="e">
        <f>+#REF!</f>
        <v>#REF!</v>
      </c>
      <c r="C133" s="224"/>
      <c r="D133" s="200"/>
      <c r="E133" s="583"/>
      <c r="F133" s="63"/>
      <c r="H133" s="259"/>
      <c r="I133" s="265"/>
      <c r="J133" s="259"/>
      <c r="K133" s="226"/>
      <c r="L133" s="226"/>
      <c r="M133" s="226"/>
      <c r="N133" s="226"/>
      <c r="O133" s="226"/>
      <c r="P133" s="226"/>
      <c r="Q133" s="226"/>
      <c r="R133" s="226"/>
      <c r="S133" s="226"/>
      <c r="T133" s="226"/>
      <c r="U133" s="226"/>
      <c r="V133" s="226"/>
      <c r="W133" s="226"/>
      <c r="X133" s="226"/>
      <c r="Y133" s="226"/>
      <c r="Z133" s="226"/>
      <c r="AA133" s="226"/>
      <c r="AB133" s="226"/>
      <c r="AC133" s="226"/>
      <c r="AD133" s="226"/>
      <c r="AE133" s="226"/>
      <c r="AF133" s="226"/>
      <c r="AG133" s="226"/>
      <c r="AH133" s="226"/>
      <c r="AI133" s="226"/>
      <c r="AJ133" s="226"/>
      <c r="AK133" s="226"/>
      <c r="AL133" s="226"/>
      <c r="AM133" s="226"/>
      <c r="AN133" s="226"/>
      <c r="AO133" s="226"/>
      <c r="AP133" s="226"/>
      <c r="AQ133" s="226"/>
      <c r="AR133" s="226"/>
      <c r="AS133" s="226"/>
      <c r="AT133" s="226"/>
      <c r="AU133" s="226"/>
      <c r="AV133" s="226"/>
      <c r="AW133" s="226"/>
      <c r="AX133" s="226"/>
      <c r="AY133" s="226"/>
      <c r="AZ133" s="226"/>
      <c r="BA133" s="226"/>
      <c r="BB133" s="226"/>
      <c r="BC133" s="226"/>
      <c r="BD133" s="226"/>
      <c r="BE133" s="226"/>
      <c r="BF133" s="226"/>
      <c r="BG133" s="226"/>
      <c r="BH133" s="226"/>
      <c r="BI133" s="226"/>
      <c r="BJ133" s="226"/>
      <c r="BK133" s="226"/>
      <c r="BL133" s="226"/>
      <c r="BM133" s="226"/>
      <c r="BN133" s="226"/>
      <c r="BO133" s="226"/>
      <c r="BP133" s="226"/>
      <c r="BQ133" s="226"/>
      <c r="BR133" s="226"/>
      <c r="BS133" s="226"/>
      <c r="BT133" s="226"/>
      <c r="BU133" s="226"/>
      <c r="BV133" s="226"/>
      <c r="BW133" s="226"/>
      <c r="BX133" s="226"/>
      <c r="BY133" s="226"/>
      <c r="BZ133" s="226"/>
      <c r="CA133" s="226"/>
      <c r="CB133" s="226"/>
      <c r="CC133" s="226"/>
      <c r="CD133" s="226"/>
      <c r="CE133" s="226"/>
      <c r="CF133" s="226"/>
      <c r="CG133" s="226"/>
      <c r="CH133" s="226"/>
      <c r="CI133" s="226"/>
      <c r="CJ133" s="226"/>
      <c r="CK133" s="226"/>
      <c r="CL133" s="226"/>
      <c r="CM133" s="226"/>
      <c r="CN133" s="226"/>
      <c r="CO133" s="226"/>
      <c r="CP133" s="226"/>
      <c r="CQ133" s="226"/>
      <c r="CR133" s="226"/>
      <c r="CS133" s="226"/>
      <c r="CT133" s="226"/>
      <c r="CU133" s="226"/>
      <c r="CV133" s="226"/>
      <c r="CW133" s="226"/>
      <c r="CX133" s="226"/>
      <c r="CY133" s="226"/>
      <c r="CZ133" s="226"/>
      <c r="DA133" s="226"/>
      <c r="DB133" s="226"/>
      <c r="DC133" s="226"/>
      <c r="DD133" s="226"/>
      <c r="DE133" s="226"/>
      <c r="DF133" s="226"/>
      <c r="DG133" s="226"/>
      <c r="DH133" s="226"/>
      <c r="DI133" s="226"/>
      <c r="DJ133" s="226"/>
      <c r="DK133" s="226"/>
      <c r="DL133" s="226"/>
      <c r="DM133" s="226"/>
      <c r="DN133" s="226"/>
      <c r="DO133" s="226"/>
      <c r="DP133" s="226"/>
      <c r="DQ133" s="226"/>
      <c r="DR133" s="226"/>
      <c r="DS133" s="226"/>
      <c r="DT133" s="226"/>
      <c r="DU133" s="226"/>
      <c r="DV133" s="226"/>
      <c r="DW133" s="226"/>
      <c r="DX133" s="226"/>
      <c r="DY133" s="226"/>
      <c r="DZ133" s="226"/>
      <c r="EA133" s="226"/>
      <c r="EB133" s="226"/>
      <c r="EC133" s="226"/>
      <c r="ED133" s="226"/>
      <c r="EE133" s="226"/>
      <c r="EF133" s="226"/>
      <c r="EG133" s="226"/>
      <c r="EH133" s="226"/>
      <c r="EI133" s="226"/>
      <c r="EJ133" s="226"/>
      <c r="EK133" s="226"/>
      <c r="EL133" s="226"/>
      <c r="EM133" s="226"/>
      <c r="EN133" s="226"/>
      <c r="EO133" s="226"/>
      <c r="EP133" s="226"/>
      <c r="EQ133" s="226"/>
      <c r="ER133" s="226"/>
      <c r="ES133" s="226"/>
      <c r="ET133" s="226"/>
      <c r="EU133" s="226"/>
      <c r="EV133" s="226"/>
      <c r="EW133" s="226"/>
      <c r="EX133" s="226"/>
      <c r="EY133" s="226"/>
      <c r="EZ133" s="226"/>
      <c r="FA133" s="226"/>
      <c r="FB133" s="226"/>
      <c r="FC133" s="226"/>
      <c r="FD133" s="226"/>
      <c r="FE133" s="226"/>
      <c r="FF133" s="226"/>
      <c r="FG133" s="226"/>
      <c r="FH133" s="226"/>
      <c r="FI133" s="226"/>
      <c r="FJ133" s="226"/>
      <c r="FK133" s="226"/>
      <c r="FL133" s="226"/>
      <c r="FM133" s="226"/>
      <c r="FN133" s="226"/>
      <c r="FO133" s="226"/>
      <c r="FP133" s="226"/>
      <c r="FQ133" s="226"/>
      <c r="FR133" s="226"/>
      <c r="FS133" s="226"/>
      <c r="FT133" s="226"/>
      <c r="FU133" s="226"/>
      <c r="FV133" s="226"/>
      <c r="FW133" s="226"/>
      <c r="FX133" s="226"/>
      <c r="FY133" s="226"/>
      <c r="FZ133" s="226"/>
      <c r="GA133" s="226"/>
      <c r="GB133" s="226"/>
      <c r="GC133" s="226"/>
      <c r="GD133" s="226"/>
      <c r="GE133" s="226"/>
      <c r="GF133" s="226"/>
      <c r="GG133" s="226"/>
    </row>
    <row r="134" spans="1:189" s="198" customFormat="1" ht="15.95" customHeight="1">
      <c r="A134" s="231" t="e">
        <f>+#REF!</f>
        <v>#REF!</v>
      </c>
      <c r="B134" s="231" t="e">
        <f>+#REF!</f>
        <v>#REF!</v>
      </c>
      <c r="C134" s="228" t="s">
        <v>1</v>
      </c>
      <c r="D134" s="138">
        <f>J138</f>
        <v>0</v>
      </c>
      <c r="E134" s="587" t="e">
        <f>#REF!</f>
        <v>#REF!</v>
      </c>
      <c r="F134" s="65" t="e">
        <f>+D134*E134</f>
        <v>#REF!</v>
      </c>
      <c r="G134" s="225"/>
      <c r="H134" s="259"/>
      <c r="I134" s="265"/>
      <c r="J134" s="259"/>
      <c r="K134" s="199"/>
      <c r="L134" s="199"/>
      <c r="M134" s="199"/>
      <c r="N134" s="199"/>
      <c r="O134" s="199"/>
      <c r="P134" s="199"/>
      <c r="Q134" s="199"/>
      <c r="R134" s="199"/>
      <c r="S134" s="199"/>
      <c r="T134" s="199"/>
      <c r="U134" s="199"/>
      <c r="V134" s="199"/>
      <c r="W134" s="199"/>
      <c r="X134" s="199"/>
      <c r="Y134" s="199"/>
      <c r="Z134" s="199"/>
      <c r="AA134" s="199"/>
      <c r="AB134" s="199"/>
      <c r="AC134" s="199"/>
      <c r="AD134" s="199"/>
      <c r="AE134" s="199"/>
      <c r="AF134" s="199"/>
      <c r="AG134" s="199"/>
      <c r="AH134" s="199"/>
      <c r="AI134" s="199"/>
      <c r="AJ134" s="199"/>
      <c r="AK134" s="199"/>
      <c r="AL134" s="199"/>
      <c r="AM134" s="199"/>
      <c r="AN134" s="199"/>
      <c r="AO134" s="199"/>
      <c r="AP134" s="199"/>
      <c r="AQ134" s="199"/>
      <c r="AR134" s="199"/>
      <c r="AS134" s="199"/>
      <c r="AT134" s="199"/>
      <c r="AU134" s="199"/>
      <c r="AV134" s="199"/>
      <c r="AW134" s="199"/>
      <c r="AX134" s="199"/>
      <c r="AY134" s="199"/>
      <c r="AZ134" s="199"/>
      <c r="BA134" s="199"/>
      <c r="BB134" s="199"/>
      <c r="BC134" s="199"/>
      <c r="BD134" s="199"/>
      <c r="BE134" s="199"/>
      <c r="BF134" s="199"/>
      <c r="BG134" s="199"/>
      <c r="BH134" s="199"/>
      <c r="BI134" s="199"/>
      <c r="BJ134" s="199"/>
      <c r="BK134" s="199"/>
      <c r="BL134" s="199"/>
      <c r="BM134" s="199"/>
      <c r="BN134" s="199"/>
      <c r="BO134" s="199"/>
      <c r="BP134" s="199"/>
      <c r="BQ134" s="199"/>
      <c r="BR134" s="199"/>
      <c r="BS134" s="199"/>
      <c r="BT134" s="199"/>
      <c r="BU134" s="199"/>
      <c r="BV134" s="199"/>
      <c r="BW134" s="199"/>
      <c r="BX134" s="199"/>
      <c r="BY134" s="199"/>
      <c r="BZ134" s="199"/>
      <c r="CA134" s="199"/>
      <c r="CB134" s="199"/>
      <c r="CC134" s="199"/>
      <c r="CD134" s="199"/>
      <c r="CE134" s="199"/>
      <c r="CF134" s="199"/>
      <c r="CG134" s="199"/>
      <c r="CH134" s="199"/>
      <c r="CI134" s="199"/>
      <c r="CJ134" s="199"/>
      <c r="CK134" s="199"/>
      <c r="CL134" s="199"/>
      <c r="CM134" s="199"/>
      <c r="CN134" s="199"/>
      <c r="CO134" s="199"/>
      <c r="CP134" s="199"/>
      <c r="CQ134" s="199"/>
      <c r="CR134" s="199"/>
      <c r="CS134" s="199"/>
      <c r="CT134" s="199"/>
      <c r="CU134" s="199"/>
      <c r="CV134" s="199"/>
      <c r="CW134" s="199"/>
      <c r="CX134" s="199"/>
      <c r="CY134" s="199"/>
      <c r="CZ134" s="199"/>
      <c r="DA134" s="199"/>
      <c r="DB134" s="199"/>
      <c r="DC134" s="199"/>
      <c r="DD134" s="199"/>
      <c r="DE134" s="199"/>
      <c r="DF134" s="199"/>
      <c r="DG134" s="199"/>
      <c r="DH134" s="199"/>
      <c r="DI134" s="199"/>
      <c r="DJ134" s="199"/>
      <c r="DK134" s="199"/>
      <c r="DL134" s="199"/>
      <c r="DM134" s="199"/>
      <c r="DN134" s="199"/>
      <c r="DO134" s="199"/>
      <c r="DP134" s="199"/>
      <c r="DQ134" s="199"/>
      <c r="DR134" s="199"/>
      <c r="DS134" s="199"/>
      <c r="DT134" s="199"/>
      <c r="DU134" s="199"/>
      <c r="DV134" s="199"/>
      <c r="DW134" s="199"/>
      <c r="DX134" s="199"/>
      <c r="DY134" s="199"/>
      <c r="DZ134" s="199"/>
      <c r="EA134" s="199"/>
      <c r="EB134" s="199"/>
      <c r="EC134" s="199"/>
      <c r="ED134" s="199"/>
      <c r="EE134" s="199"/>
      <c r="EF134" s="199"/>
      <c r="EG134" s="199"/>
      <c r="EH134" s="199"/>
      <c r="EI134" s="199"/>
      <c r="EJ134" s="199"/>
      <c r="EK134" s="199"/>
      <c r="EL134" s="199"/>
      <c r="EM134" s="199"/>
      <c r="EN134" s="199"/>
      <c r="EO134" s="199"/>
      <c r="EP134" s="199"/>
      <c r="EQ134" s="199"/>
      <c r="ER134" s="199"/>
      <c r="ES134" s="199"/>
      <c r="ET134" s="199"/>
      <c r="EU134" s="199"/>
      <c r="EV134" s="199"/>
      <c r="EW134" s="199"/>
      <c r="EX134" s="199"/>
      <c r="EY134" s="199"/>
      <c r="EZ134" s="199"/>
      <c r="FA134" s="199"/>
      <c r="FB134" s="199"/>
      <c r="FC134" s="199"/>
      <c r="FD134" s="199"/>
      <c r="FE134" s="199"/>
      <c r="FF134" s="199"/>
      <c r="FG134" s="199"/>
      <c r="FH134" s="199"/>
      <c r="FI134" s="199"/>
      <c r="FJ134" s="199"/>
      <c r="FK134" s="199"/>
      <c r="FL134" s="199"/>
      <c r="FM134" s="199"/>
      <c r="FN134" s="199"/>
      <c r="FO134" s="199"/>
      <c r="FP134" s="199"/>
      <c r="FQ134" s="199"/>
      <c r="FR134" s="199"/>
      <c r="FS134" s="199"/>
      <c r="FT134" s="199"/>
      <c r="FU134" s="199"/>
      <c r="FV134" s="199"/>
      <c r="FW134" s="199"/>
      <c r="FX134" s="199"/>
      <c r="FY134" s="199"/>
      <c r="FZ134" s="199"/>
      <c r="GA134" s="199"/>
      <c r="GB134" s="199"/>
      <c r="GC134" s="199"/>
      <c r="GD134" s="199"/>
      <c r="GE134" s="199"/>
      <c r="GF134" s="199"/>
      <c r="GG134" s="199"/>
    </row>
    <row r="135" spans="1:189" s="225" customFormat="1" ht="15.95" customHeight="1">
      <c r="A135" s="231" t="e">
        <f>+#REF!</f>
        <v>#REF!</v>
      </c>
      <c r="B135" s="231" t="e">
        <f>+#REF!</f>
        <v>#REF!</v>
      </c>
      <c r="C135" s="228" t="s">
        <v>27</v>
      </c>
      <c r="D135" s="138">
        <f>J135</f>
        <v>194.88333333333333</v>
      </c>
      <c r="E135" s="587" t="e">
        <f>#REF!</f>
        <v>#REF!</v>
      </c>
      <c r="F135" s="65" t="e">
        <f>+D135*E135</f>
        <v>#REF!</v>
      </c>
      <c r="H135" s="259">
        <f>(10+(H123+H122+H121)/12)</f>
        <v>177.16666666666666</v>
      </c>
      <c r="I135" s="265">
        <v>1.1000000000000001</v>
      </c>
      <c r="J135" s="259">
        <f>H135*I135</f>
        <v>194.88333333333333</v>
      </c>
      <c r="K135" s="226"/>
      <c r="L135" s="226"/>
      <c r="M135" s="226"/>
      <c r="N135" s="226"/>
      <c r="O135" s="226"/>
      <c r="P135" s="226"/>
      <c r="Q135" s="226"/>
      <c r="R135" s="226"/>
      <c r="S135" s="226"/>
      <c r="T135" s="226"/>
      <c r="U135" s="226"/>
      <c r="V135" s="226"/>
      <c r="W135" s="226"/>
      <c r="X135" s="226"/>
      <c r="Y135" s="226"/>
      <c r="Z135" s="226"/>
      <c r="AA135" s="226"/>
      <c r="AB135" s="226"/>
      <c r="AC135" s="226"/>
      <c r="AD135" s="226"/>
      <c r="AE135" s="226"/>
      <c r="AF135" s="226"/>
      <c r="AG135" s="226"/>
      <c r="AH135" s="226"/>
      <c r="AI135" s="226"/>
      <c r="AJ135" s="226"/>
      <c r="AK135" s="226"/>
      <c r="AL135" s="226"/>
      <c r="AM135" s="226"/>
      <c r="AN135" s="226"/>
      <c r="AO135" s="226"/>
      <c r="AP135" s="226"/>
      <c r="AQ135" s="226"/>
      <c r="AR135" s="226"/>
      <c r="AS135" s="226"/>
      <c r="AT135" s="226"/>
      <c r="AU135" s="226"/>
      <c r="AV135" s="226"/>
      <c r="AW135" s="226"/>
      <c r="AX135" s="226"/>
      <c r="AY135" s="226"/>
      <c r="AZ135" s="226"/>
      <c r="BA135" s="226"/>
      <c r="BB135" s="226"/>
      <c r="BC135" s="226"/>
      <c r="BD135" s="226"/>
      <c r="BE135" s="226"/>
      <c r="BF135" s="226"/>
      <c r="BG135" s="226"/>
      <c r="BH135" s="226"/>
      <c r="BI135" s="226"/>
      <c r="BJ135" s="226"/>
      <c r="BK135" s="226"/>
      <c r="BL135" s="226"/>
      <c r="BM135" s="226"/>
      <c r="BN135" s="226"/>
      <c r="BO135" s="226"/>
      <c r="BP135" s="226"/>
      <c r="BQ135" s="226"/>
      <c r="BR135" s="226"/>
      <c r="BS135" s="226"/>
      <c r="BT135" s="226"/>
      <c r="BU135" s="226"/>
      <c r="BV135" s="226"/>
      <c r="BW135" s="226"/>
      <c r="BX135" s="226"/>
      <c r="BY135" s="226"/>
      <c r="BZ135" s="226"/>
      <c r="CA135" s="226"/>
      <c r="CB135" s="226"/>
      <c r="CC135" s="226"/>
      <c r="CD135" s="226"/>
      <c r="CE135" s="226"/>
      <c r="CF135" s="226"/>
      <c r="CG135" s="226"/>
      <c r="CH135" s="226"/>
      <c r="CI135" s="226"/>
      <c r="CJ135" s="226"/>
      <c r="CK135" s="226"/>
      <c r="CL135" s="226"/>
      <c r="CM135" s="226"/>
      <c r="CN135" s="226"/>
      <c r="CO135" s="226"/>
      <c r="CP135" s="226"/>
      <c r="CQ135" s="226"/>
      <c r="CR135" s="226"/>
      <c r="CS135" s="226"/>
      <c r="CT135" s="226"/>
      <c r="CU135" s="226"/>
      <c r="CV135" s="226"/>
      <c r="CW135" s="226"/>
      <c r="CX135" s="226"/>
      <c r="CY135" s="226"/>
      <c r="CZ135" s="226"/>
      <c r="DA135" s="226"/>
      <c r="DB135" s="226"/>
      <c r="DC135" s="226"/>
      <c r="DD135" s="226"/>
      <c r="DE135" s="226"/>
      <c r="DF135" s="226"/>
      <c r="DG135" s="226"/>
      <c r="DH135" s="226"/>
      <c r="DI135" s="226"/>
      <c r="DJ135" s="226"/>
      <c r="DK135" s="226"/>
      <c r="DL135" s="226"/>
      <c r="DM135" s="226"/>
      <c r="DN135" s="226"/>
      <c r="DO135" s="226"/>
      <c r="DP135" s="226"/>
      <c r="DQ135" s="226"/>
      <c r="DR135" s="226"/>
      <c r="DS135" s="226"/>
      <c r="DT135" s="226"/>
      <c r="DU135" s="226"/>
      <c r="DV135" s="226"/>
      <c r="DW135" s="226"/>
      <c r="DX135" s="226"/>
      <c r="DY135" s="226"/>
      <c r="DZ135" s="226"/>
      <c r="EA135" s="226"/>
      <c r="EB135" s="226"/>
      <c r="EC135" s="226"/>
      <c r="ED135" s="226"/>
      <c r="EE135" s="226"/>
      <c r="EF135" s="226"/>
      <c r="EG135" s="226"/>
      <c r="EH135" s="226"/>
      <c r="EI135" s="226"/>
      <c r="EJ135" s="226"/>
      <c r="EK135" s="226"/>
      <c r="EL135" s="226"/>
      <c r="EM135" s="226"/>
      <c r="EN135" s="226"/>
      <c r="EO135" s="226"/>
      <c r="EP135" s="226"/>
      <c r="EQ135" s="226"/>
      <c r="ER135" s="226"/>
      <c r="ES135" s="226"/>
      <c r="ET135" s="226"/>
      <c r="EU135" s="226"/>
      <c r="EV135" s="226"/>
      <c r="EW135" s="226"/>
      <c r="EX135" s="226"/>
      <c r="EY135" s="226"/>
      <c r="EZ135" s="226"/>
      <c r="FA135" s="226"/>
      <c r="FB135" s="226"/>
      <c r="FC135" s="226"/>
      <c r="FD135" s="226"/>
      <c r="FE135" s="226"/>
      <c r="FF135" s="226"/>
      <c r="FG135" s="226"/>
      <c r="FH135" s="226"/>
      <c r="FI135" s="226"/>
      <c r="FJ135" s="226"/>
      <c r="FK135" s="226"/>
      <c r="FL135" s="226"/>
      <c r="FM135" s="226"/>
      <c r="FN135" s="226"/>
      <c r="FO135" s="226"/>
      <c r="FP135" s="226"/>
      <c r="FQ135" s="226"/>
      <c r="FR135" s="226"/>
      <c r="FS135" s="226"/>
      <c r="FT135" s="226"/>
      <c r="FU135" s="226"/>
      <c r="FV135" s="226"/>
      <c r="FW135" s="226"/>
      <c r="FX135" s="226"/>
      <c r="FY135" s="226"/>
      <c r="FZ135" s="226"/>
      <c r="GA135" s="226"/>
      <c r="GB135" s="226"/>
      <c r="GC135" s="226"/>
      <c r="GD135" s="226"/>
      <c r="GE135" s="226"/>
      <c r="GF135" s="226"/>
      <c r="GG135" s="226"/>
    </row>
    <row r="136" spans="1:189" s="225" customFormat="1" ht="15.95" customHeight="1">
      <c r="A136" s="17"/>
      <c r="B136" s="230"/>
      <c r="C136" s="228"/>
      <c r="D136" s="138"/>
      <c r="E136" s="587"/>
      <c r="F136" s="65"/>
      <c r="H136" s="259"/>
      <c r="I136" s="265"/>
      <c r="J136" s="259"/>
      <c r="K136" s="226"/>
      <c r="L136" s="226"/>
      <c r="M136" s="226"/>
      <c r="N136" s="226"/>
      <c r="O136" s="226"/>
      <c r="P136" s="226"/>
      <c r="Q136" s="226"/>
      <c r="R136" s="226"/>
      <c r="S136" s="226"/>
      <c r="T136" s="226"/>
      <c r="U136" s="226"/>
      <c r="V136" s="226"/>
      <c r="W136" s="226"/>
      <c r="X136" s="226"/>
      <c r="Y136" s="226"/>
      <c r="Z136" s="226"/>
      <c r="AA136" s="226"/>
      <c r="AB136" s="226"/>
      <c r="AC136" s="226"/>
      <c r="AD136" s="226"/>
      <c r="AE136" s="226"/>
      <c r="AF136" s="226"/>
      <c r="AG136" s="226"/>
      <c r="AH136" s="226"/>
      <c r="AI136" s="226"/>
      <c r="AJ136" s="226"/>
      <c r="AK136" s="226"/>
      <c r="AL136" s="226"/>
      <c r="AM136" s="226"/>
      <c r="AN136" s="226"/>
      <c r="AO136" s="226"/>
      <c r="AP136" s="226"/>
      <c r="AQ136" s="226"/>
      <c r="AR136" s="226"/>
      <c r="AS136" s="226"/>
      <c r="AT136" s="226"/>
      <c r="AU136" s="226"/>
      <c r="AV136" s="226"/>
      <c r="AW136" s="226"/>
      <c r="AX136" s="226"/>
      <c r="AY136" s="226"/>
      <c r="AZ136" s="226"/>
      <c r="BA136" s="226"/>
      <c r="BB136" s="226"/>
      <c r="BC136" s="226"/>
      <c r="BD136" s="226"/>
      <c r="BE136" s="226"/>
      <c r="BF136" s="226"/>
      <c r="BG136" s="226"/>
      <c r="BH136" s="226"/>
      <c r="BI136" s="226"/>
      <c r="BJ136" s="226"/>
      <c r="BK136" s="226"/>
      <c r="BL136" s="226"/>
      <c r="BM136" s="226"/>
      <c r="BN136" s="226"/>
      <c r="BO136" s="226"/>
      <c r="BP136" s="226"/>
      <c r="BQ136" s="226"/>
      <c r="BR136" s="226"/>
      <c r="BS136" s="226"/>
      <c r="BT136" s="226"/>
      <c r="BU136" s="226"/>
      <c r="BV136" s="226"/>
      <c r="BW136" s="226"/>
      <c r="BX136" s="226"/>
      <c r="BY136" s="226"/>
      <c r="BZ136" s="226"/>
      <c r="CA136" s="226"/>
      <c r="CB136" s="226"/>
      <c r="CC136" s="226"/>
      <c r="CD136" s="226"/>
      <c r="CE136" s="226"/>
      <c r="CF136" s="226"/>
      <c r="CG136" s="226"/>
      <c r="CH136" s="226"/>
      <c r="CI136" s="226"/>
      <c r="CJ136" s="226"/>
      <c r="CK136" s="226"/>
      <c r="CL136" s="226"/>
      <c r="CM136" s="226"/>
      <c r="CN136" s="226"/>
      <c r="CO136" s="226"/>
      <c r="CP136" s="226"/>
      <c r="CQ136" s="226"/>
      <c r="CR136" s="226"/>
      <c r="CS136" s="226"/>
      <c r="CT136" s="226"/>
      <c r="CU136" s="226"/>
      <c r="CV136" s="226"/>
      <c r="CW136" s="226"/>
      <c r="CX136" s="226"/>
      <c r="CY136" s="226"/>
      <c r="CZ136" s="226"/>
      <c r="DA136" s="226"/>
      <c r="DB136" s="226"/>
      <c r="DC136" s="226"/>
      <c r="DD136" s="226"/>
      <c r="DE136" s="226"/>
      <c r="DF136" s="226"/>
      <c r="DG136" s="226"/>
      <c r="DH136" s="226"/>
      <c r="DI136" s="226"/>
      <c r="DJ136" s="226"/>
      <c r="DK136" s="226"/>
      <c r="DL136" s="226"/>
      <c r="DM136" s="226"/>
      <c r="DN136" s="226"/>
      <c r="DO136" s="226"/>
      <c r="DP136" s="226"/>
      <c r="DQ136" s="226"/>
      <c r="DR136" s="226"/>
      <c r="DS136" s="226"/>
      <c r="DT136" s="226"/>
      <c r="DU136" s="226"/>
      <c r="DV136" s="226"/>
      <c r="DW136" s="226"/>
      <c r="DX136" s="226"/>
      <c r="DY136" s="226"/>
      <c r="DZ136" s="226"/>
      <c r="EA136" s="226"/>
      <c r="EB136" s="226"/>
      <c r="EC136" s="226"/>
      <c r="ED136" s="226"/>
      <c r="EE136" s="226"/>
      <c r="EF136" s="226"/>
      <c r="EG136" s="226"/>
      <c r="EH136" s="226"/>
      <c r="EI136" s="226"/>
      <c r="EJ136" s="226"/>
      <c r="EK136" s="226"/>
      <c r="EL136" s="226"/>
      <c r="EM136" s="226"/>
      <c r="EN136" s="226"/>
      <c r="EO136" s="226"/>
      <c r="EP136" s="226"/>
      <c r="EQ136" s="226"/>
      <c r="ER136" s="226"/>
      <c r="ES136" s="226"/>
      <c r="ET136" s="226"/>
      <c r="EU136" s="226"/>
      <c r="EV136" s="226"/>
      <c r="EW136" s="226"/>
      <c r="EX136" s="226"/>
      <c r="EY136" s="226"/>
      <c r="EZ136" s="226"/>
      <c r="FA136" s="226"/>
      <c r="FB136" s="226"/>
      <c r="FC136" s="226"/>
      <c r="FD136" s="226"/>
      <c r="FE136" s="226"/>
      <c r="FF136" s="226"/>
      <c r="FG136" s="226"/>
      <c r="FH136" s="226"/>
      <c r="FI136" s="226"/>
      <c r="FJ136" s="226"/>
      <c r="FK136" s="226"/>
      <c r="FL136" s="226"/>
      <c r="FM136" s="226"/>
      <c r="FN136" s="226"/>
      <c r="FO136" s="226"/>
      <c r="FP136" s="226"/>
      <c r="FQ136" s="226"/>
      <c r="FR136" s="226"/>
      <c r="FS136" s="226"/>
      <c r="FT136" s="226"/>
      <c r="FU136" s="226"/>
      <c r="FV136" s="226"/>
      <c r="FW136" s="226"/>
      <c r="FX136" s="226"/>
      <c r="FY136" s="226"/>
      <c r="FZ136" s="226"/>
      <c r="GA136" s="226"/>
      <c r="GB136" s="226"/>
      <c r="GC136" s="226"/>
      <c r="GD136" s="226"/>
      <c r="GE136" s="226"/>
      <c r="GF136" s="226"/>
      <c r="GG136" s="226"/>
    </row>
    <row r="137" spans="1:189" s="225" customFormat="1" ht="15.95" customHeight="1">
      <c r="A137" s="141">
        <v>515</v>
      </c>
      <c r="B137" s="43" t="s">
        <v>148</v>
      </c>
      <c r="C137" s="248"/>
      <c r="D137" s="249"/>
      <c r="E137" s="583"/>
      <c r="F137" s="63"/>
      <c r="H137" s="259"/>
      <c r="I137" s="265"/>
      <c r="J137" s="259"/>
      <c r="K137" s="226"/>
      <c r="L137" s="226"/>
      <c r="M137" s="226"/>
      <c r="N137" s="226"/>
      <c r="O137" s="226"/>
      <c r="P137" s="226"/>
      <c r="Q137" s="226"/>
      <c r="R137" s="226"/>
      <c r="S137" s="226"/>
      <c r="T137" s="226"/>
      <c r="U137" s="226"/>
      <c r="V137" s="226"/>
      <c r="W137" s="226"/>
      <c r="X137" s="226"/>
      <c r="Y137" s="226"/>
      <c r="Z137" s="226"/>
      <c r="AA137" s="226"/>
      <c r="AB137" s="226"/>
      <c r="AC137" s="226"/>
      <c r="AD137" s="226"/>
      <c r="AE137" s="226"/>
      <c r="AF137" s="226"/>
      <c r="AG137" s="226"/>
      <c r="AH137" s="226"/>
      <c r="AI137" s="226"/>
      <c r="AJ137" s="226"/>
      <c r="AK137" s="226"/>
      <c r="AL137" s="226"/>
      <c r="AM137" s="226"/>
      <c r="AN137" s="226"/>
      <c r="AO137" s="226"/>
      <c r="AP137" s="226"/>
      <c r="AQ137" s="226"/>
      <c r="AR137" s="226"/>
      <c r="AS137" s="226"/>
      <c r="AT137" s="226"/>
      <c r="AU137" s="226"/>
      <c r="AV137" s="226"/>
      <c r="AW137" s="226"/>
      <c r="AX137" s="226"/>
      <c r="AY137" s="226"/>
      <c r="AZ137" s="226"/>
      <c r="BA137" s="226"/>
      <c r="BB137" s="226"/>
      <c r="BC137" s="226"/>
      <c r="BD137" s="226"/>
      <c r="BE137" s="226"/>
      <c r="BF137" s="226"/>
      <c r="BG137" s="226"/>
      <c r="BH137" s="226"/>
      <c r="BI137" s="226"/>
      <c r="BJ137" s="226"/>
      <c r="BK137" s="226"/>
      <c r="BL137" s="226"/>
      <c r="BM137" s="226"/>
      <c r="BN137" s="226"/>
      <c r="BO137" s="226"/>
      <c r="BP137" s="226"/>
      <c r="BQ137" s="226"/>
      <c r="BR137" s="226"/>
      <c r="BS137" s="226"/>
      <c r="BT137" s="226"/>
      <c r="BU137" s="226"/>
      <c r="BV137" s="226"/>
      <c r="BW137" s="226"/>
      <c r="BX137" s="226"/>
      <c r="BY137" s="226"/>
      <c r="BZ137" s="226"/>
      <c r="CA137" s="226"/>
      <c r="CB137" s="226"/>
      <c r="CC137" s="226"/>
      <c r="CD137" s="226"/>
      <c r="CE137" s="226"/>
      <c r="CF137" s="226"/>
      <c r="CG137" s="226"/>
      <c r="CH137" s="226"/>
      <c r="CI137" s="226"/>
      <c r="CJ137" s="226"/>
      <c r="CK137" s="226"/>
      <c r="CL137" s="226"/>
      <c r="CM137" s="226"/>
      <c r="CN137" s="226"/>
      <c r="CO137" s="226"/>
      <c r="CP137" s="226"/>
      <c r="CQ137" s="226"/>
      <c r="CR137" s="226"/>
      <c r="CS137" s="226"/>
      <c r="CT137" s="226"/>
      <c r="CU137" s="226"/>
      <c r="CV137" s="226"/>
      <c r="CW137" s="226"/>
      <c r="CX137" s="226"/>
      <c r="CY137" s="226"/>
      <c r="CZ137" s="226"/>
      <c r="DA137" s="226"/>
      <c r="DB137" s="226"/>
      <c r="DC137" s="226"/>
      <c r="DD137" s="226"/>
      <c r="DE137" s="226"/>
      <c r="DF137" s="226"/>
      <c r="DG137" s="226"/>
      <c r="DH137" s="226"/>
      <c r="DI137" s="226"/>
      <c r="DJ137" s="226"/>
      <c r="DK137" s="226"/>
      <c r="DL137" s="226"/>
      <c r="DM137" s="226"/>
      <c r="DN137" s="226"/>
      <c r="DO137" s="226"/>
      <c r="DP137" s="226"/>
      <c r="DQ137" s="226"/>
      <c r="DR137" s="226"/>
      <c r="DS137" s="226"/>
      <c r="DT137" s="226"/>
      <c r="DU137" s="226"/>
      <c r="DV137" s="226"/>
      <c r="DW137" s="226"/>
      <c r="DX137" s="226"/>
      <c r="DY137" s="226"/>
      <c r="DZ137" s="226"/>
      <c r="EA137" s="226"/>
      <c r="EB137" s="226"/>
      <c r="EC137" s="226"/>
      <c r="ED137" s="226"/>
      <c r="EE137" s="226"/>
      <c r="EF137" s="226"/>
      <c r="EG137" s="226"/>
      <c r="EH137" s="226"/>
      <c r="EI137" s="226"/>
      <c r="EJ137" s="226"/>
      <c r="EK137" s="226"/>
      <c r="EL137" s="226"/>
      <c r="EM137" s="226"/>
      <c r="EN137" s="226"/>
      <c r="EO137" s="226"/>
      <c r="EP137" s="226"/>
      <c r="EQ137" s="226"/>
      <c r="ER137" s="226"/>
      <c r="ES137" s="226"/>
      <c r="ET137" s="226"/>
      <c r="EU137" s="226"/>
      <c r="EV137" s="226"/>
      <c r="EW137" s="226"/>
      <c r="EX137" s="226"/>
      <c r="EY137" s="226"/>
      <c r="EZ137" s="226"/>
      <c r="FA137" s="226"/>
      <c r="FB137" s="226"/>
      <c r="FC137" s="226"/>
      <c r="FD137" s="226"/>
      <c r="FE137" s="226"/>
      <c r="FF137" s="226"/>
      <c r="FG137" s="226"/>
      <c r="FH137" s="226"/>
      <c r="FI137" s="226"/>
      <c r="FJ137" s="226"/>
      <c r="FK137" s="226"/>
      <c r="FL137" s="226"/>
      <c r="FM137" s="226"/>
      <c r="FN137" s="226"/>
      <c r="FO137" s="226"/>
      <c r="FP137" s="226"/>
      <c r="FQ137" s="226"/>
      <c r="FR137" s="226"/>
      <c r="FS137" s="226"/>
      <c r="FT137" s="226"/>
      <c r="FU137" s="226"/>
      <c r="FV137" s="226"/>
      <c r="FW137" s="226"/>
      <c r="FX137" s="226"/>
      <c r="FY137" s="226"/>
      <c r="FZ137" s="226"/>
      <c r="GA137" s="226"/>
      <c r="GB137" s="226"/>
      <c r="GC137" s="226"/>
      <c r="GD137" s="226"/>
      <c r="GE137" s="226"/>
      <c r="GF137" s="226"/>
      <c r="GG137" s="226"/>
    </row>
    <row r="138" spans="1:189" s="225" customFormat="1" ht="15.95" customHeight="1">
      <c r="A138" s="143" t="s">
        <v>150</v>
      </c>
      <c r="B138" s="242" t="s">
        <v>221</v>
      </c>
      <c r="C138" s="251" t="s">
        <v>27</v>
      </c>
      <c r="D138" s="82">
        <f>J142</f>
        <v>0</v>
      </c>
      <c r="E138" s="586" t="e">
        <f>#REF!</f>
        <v>#REF!</v>
      </c>
      <c r="F138" s="64" t="e">
        <f>+D138*E138</f>
        <v>#REF!</v>
      </c>
      <c r="H138" s="259">
        <v>0</v>
      </c>
      <c r="I138" s="265">
        <v>1</v>
      </c>
      <c r="J138" s="259">
        <f>H138*I138</f>
        <v>0</v>
      </c>
      <c r="K138" s="226"/>
      <c r="L138" s="226"/>
      <c r="M138" s="226"/>
      <c r="N138" s="226"/>
      <c r="O138" s="226"/>
      <c r="P138" s="226"/>
      <c r="Q138" s="226"/>
      <c r="R138" s="226"/>
      <c r="S138" s="226"/>
      <c r="T138" s="226"/>
      <c r="U138" s="226"/>
      <c r="V138" s="226"/>
      <c r="W138" s="226"/>
      <c r="X138" s="226"/>
      <c r="Y138" s="226"/>
      <c r="Z138" s="226"/>
      <c r="AA138" s="226"/>
      <c r="AB138" s="226"/>
      <c r="AC138" s="226"/>
      <c r="AD138" s="226"/>
      <c r="AE138" s="226"/>
      <c r="AF138" s="226"/>
      <c r="AG138" s="226"/>
      <c r="AH138" s="226"/>
      <c r="AI138" s="226"/>
      <c r="AJ138" s="226"/>
      <c r="AK138" s="226"/>
      <c r="AL138" s="226"/>
      <c r="AM138" s="226"/>
      <c r="AN138" s="226"/>
      <c r="AO138" s="226"/>
      <c r="AP138" s="226"/>
      <c r="AQ138" s="226"/>
      <c r="AR138" s="226"/>
      <c r="AS138" s="226"/>
      <c r="AT138" s="226"/>
      <c r="AU138" s="226"/>
      <c r="AV138" s="226"/>
      <c r="AW138" s="226"/>
      <c r="AX138" s="226"/>
      <c r="AY138" s="226"/>
      <c r="AZ138" s="226"/>
      <c r="BA138" s="226"/>
      <c r="BB138" s="226"/>
      <c r="BC138" s="226"/>
      <c r="BD138" s="226"/>
      <c r="BE138" s="226"/>
      <c r="BF138" s="226"/>
      <c r="BG138" s="226"/>
      <c r="BH138" s="226"/>
      <c r="BI138" s="226"/>
      <c r="BJ138" s="226"/>
      <c r="BK138" s="226"/>
      <c r="BL138" s="226"/>
      <c r="BM138" s="226"/>
      <c r="BN138" s="226"/>
      <c r="BO138" s="226"/>
      <c r="BP138" s="226"/>
      <c r="BQ138" s="226"/>
      <c r="BR138" s="226"/>
      <c r="BS138" s="226"/>
      <c r="BT138" s="226"/>
      <c r="BU138" s="226"/>
      <c r="BV138" s="226"/>
      <c r="BW138" s="226"/>
      <c r="BX138" s="226"/>
      <c r="BY138" s="226"/>
      <c r="BZ138" s="226"/>
      <c r="CA138" s="226"/>
      <c r="CB138" s="226"/>
      <c r="CC138" s="226"/>
      <c r="CD138" s="226"/>
      <c r="CE138" s="226"/>
      <c r="CF138" s="226"/>
      <c r="CG138" s="226"/>
      <c r="CH138" s="226"/>
      <c r="CI138" s="226"/>
      <c r="CJ138" s="226"/>
      <c r="CK138" s="226"/>
      <c r="CL138" s="226"/>
      <c r="CM138" s="226"/>
      <c r="CN138" s="226"/>
      <c r="CO138" s="226"/>
      <c r="CP138" s="226"/>
      <c r="CQ138" s="226"/>
      <c r="CR138" s="226"/>
      <c r="CS138" s="226"/>
      <c r="CT138" s="226"/>
      <c r="CU138" s="226"/>
      <c r="CV138" s="226"/>
      <c r="CW138" s="226"/>
      <c r="CX138" s="226"/>
      <c r="CY138" s="226"/>
      <c r="CZ138" s="226"/>
      <c r="DA138" s="226"/>
      <c r="DB138" s="226"/>
      <c r="DC138" s="226"/>
      <c r="DD138" s="226"/>
      <c r="DE138" s="226"/>
      <c r="DF138" s="226"/>
      <c r="DG138" s="226"/>
      <c r="DH138" s="226"/>
      <c r="DI138" s="226"/>
      <c r="DJ138" s="226"/>
      <c r="DK138" s="226"/>
      <c r="DL138" s="226"/>
      <c r="DM138" s="226"/>
      <c r="DN138" s="226"/>
      <c r="DO138" s="226"/>
      <c r="DP138" s="226"/>
      <c r="DQ138" s="226"/>
      <c r="DR138" s="226"/>
      <c r="DS138" s="226"/>
      <c r="DT138" s="226"/>
      <c r="DU138" s="226"/>
      <c r="DV138" s="226"/>
      <c r="DW138" s="226"/>
      <c r="DX138" s="226"/>
      <c r="DY138" s="226"/>
      <c r="DZ138" s="226"/>
      <c r="EA138" s="226"/>
      <c r="EB138" s="226"/>
      <c r="EC138" s="226"/>
      <c r="ED138" s="226"/>
      <c r="EE138" s="226"/>
      <c r="EF138" s="226"/>
      <c r="EG138" s="226"/>
      <c r="EH138" s="226"/>
      <c r="EI138" s="226"/>
      <c r="EJ138" s="226"/>
      <c r="EK138" s="226"/>
      <c r="EL138" s="226"/>
      <c r="EM138" s="226"/>
      <c r="EN138" s="226"/>
      <c r="EO138" s="226"/>
      <c r="EP138" s="226"/>
      <c r="EQ138" s="226"/>
      <c r="ER138" s="226"/>
      <c r="ES138" s="226"/>
      <c r="ET138" s="226"/>
      <c r="EU138" s="226"/>
      <c r="EV138" s="226"/>
      <c r="EW138" s="226"/>
      <c r="EX138" s="226"/>
      <c r="EY138" s="226"/>
      <c r="EZ138" s="226"/>
      <c r="FA138" s="226"/>
      <c r="FB138" s="226"/>
      <c r="FC138" s="226"/>
      <c r="FD138" s="226"/>
      <c r="FE138" s="226"/>
      <c r="FF138" s="226"/>
      <c r="FG138" s="226"/>
      <c r="FH138" s="226"/>
      <c r="FI138" s="226"/>
      <c r="FJ138" s="226"/>
      <c r="FK138" s="226"/>
      <c r="FL138" s="226"/>
      <c r="FM138" s="226"/>
      <c r="FN138" s="226"/>
      <c r="FO138" s="226"/>
      <c r="FP138" s="226"/>
      <c r="FQ138" s="226"/>
      <c r="FR138" s="226"/>
      <c r="FS138" s="226"/>
      <c r="FT138" s="226"/>
      <c r="FU138" s="226"/>
      <c r="FV138" s="226"/>
      <c r="FW138" s="226"/>
      <c r="FX138" s="226"/>
      <c r="FY138" s="226"/>
      <c r="FZ138" s="226"/>
      <c r="GA138" s="226"/>
      <c r="GB138" s="226"/>
      <c r="GC138" s="226"/>
      <c r="GD138" s="226"/>
      <c r="GE138" s="226"/>
      <c r="GF138" s="226"/>
      <c r="GG138" s="226"/>
    </row>
    <row r="139" spans="1:189" s="225" customFormat="1" ht="15.95" customHeight="1">
      <c r="A139" s="442" t="e">
        <f>+#REF!</f>
        <v>#REF!</v>
      </c>
      <c r="B139" s="43" t="e">
        <f>+#REF!</f>
        <v>#REF!</v>
      </c>
      <c r="C139" s="248"/>
      <c r="D139" s="249"/>
      <c r="E139" s="583"/>
      <c r="F139" s="63"/>
      <c r="K139" s="226"/>
      <c r="L139" s="226"/>
      <c r="M139" s="226"/>
      <c r="N139" s="226"/>
      <c r="O139" s="226"/>
      <c r="P139" s="226"/>
      <c r="Q139" s="226"/>
      <c r="R139" s="226"/>
      <c r="S139" s="226"/>
      <c r="T139" s="226"/>
      <c r="U139" s="226"/>
      <c r="V139" s="226"/>
      <c r="W139" s="226"/>
      <c r="X139" s="226"/>
      <c r="Y139" s="226"/>
      <c r="Z139" s="226"/>
      <c r="AA139" s="226"/>
      <c r="AB139" s="226"/>
      <c r="AC139" s="226"/>
      <c r="AD139" s="226"/>
      <c r="AE139" s="226"/>
      <c r="AF139" s="226"/>
      <c r="AG139" s="226"/>
      <c r="AH139" s="226"/>
      <c r="AI139" s="226"/>
      <c r="AJ139" s="226"/>
      <c r="AK139" s="226"/>
      <c r="AL139" s="226"/>
      <c r="AM139" s="226"/>
      <c r="AN139" s="226"/>
      <c r="AO139" s="226"/>
      <c r="AP139" s="226"/>
      <c r="AQ139" s="226"/>
      <c r="AR139" s="226"/>
      <c r="AS139" s="226"/>
      <c r="AT139" s="226"/>
      <c r="AU139" s="226"/>
      <c r="AV139" s="226"/>
      <c r="AW139" s="226"/>
      <c r="AX139" s="226"/>
      <c r="AY139" s="226"/>
      <c r="AZ139" s="226"/>
      <c r="BA139" s="226"/>
      <c r="BB139" s="226"/>
      <c r="BC139" s="226"/>
      <c r="BD139" s="226"/>
      <c r="BE139" s="226"/>
      <c r="BF139" s="226"/>
      <c r="BG139" s="226"/>
      <c r="BH139" s="226"/>
      <c r="BI139" s="226"/>
      <c r="BJ139" s="226"/>
      <c r="BK139" s="226"/>
      <c r="BL139" s="226"/>
      <c r="BM139" s="226"/>
      <c r="BN139" s="226"/>
      <c r="BO139" s="226"/>
      <c r="BP139" s="226"/>
      <c r="BQ139" s="226"/>
      <c r="BR139" s="226"/>
      <c r="BS139" s="226"/>
      <c r="BT139" s="226"/>
      <c r="BU139" s="226"/>
      <c r="BV139" s="226"/>
      <c r="BW139" s="226"/>
      <c r="BX139" s="226"/>
      <c r="BY139" s="226"/>
      <c r="BZ139" s="226"/>
      <c r="CA139" s="226"/>
      <c r="CB139" s="226"/>
      <c r="CC139" s="226"/>
      <c r="CD139" s="226"/>
      <c r="CE139" s="226"/>
      <c r="CF139" s="226"/>
      <c r="CG139" s="226"/>
      <c r="CH139" s="226"/>
      <c r="CI139" s="226"/>
      <c r="CJ139" s="226"/>
      <c r="CK139" s="226"/>
      <c r="CL139" s="226"/>
      <c r="CM139" s="226"/>
      <c r="CN139" s="226"/>
      <c r="CO139" s="226"/>
      <c r="CP139" s="226"/>
      <c r="CQ139" s="226"/>
      <c r="CR139" s="226"/>
      <c r="CS139" s="226"/>
      <c r="CT139" s="226"/>
      <c r="CU139" s="226"/>
      <c r="CV139" s="226"/>
      <c r="CW139" s="226"/>
      <c r="CX139" s="226"/>
      <c r="CY139" s="226"/>
      <c r="CZ139" s="226"/>
      <c r="DA139" s="226"/>
      <c r="DB139" s="226"/>
      <c r="DC139" s="226"/>
      <c r="DD139" s="226"/>
      <c r="DE139" s="226"/>
      <c r="DF139" s="226"/>
      <c r="DG139" s="226"/>
      <c r="DH139" s="226"/>
      <c r="DI139" s="226"/>
      <c r="DJ139" s="226"/>
      <c r="DK139" s="226"/>
      <c r="DL139" s="226"/>
      <c r="DM139" s="226"/>
      <c r="DN139" s="226"/>
      <c r="DO139" s="226"/>
      <c r="DP139" s="226"/>
      <c r="DQ139" s="226"/>
      <c r="DR139" s="226"/>
      <c r="DS139" s="226"/>
      <c r="DT139" s="226"/>
      <c r="DU139" s="226"/>
      <c r="DV139" s="226"/>
      <c r="DW139" s="226"/>
      <c r="DX139" s="226"/>
      <c r="DY139" s="226"/>
      <c r="DZ139" s="226"/>
      <c r="EA139" s="226"/>
      <c r="EB139" s="226"/>
      <c r="EC139" s="226"/>
      <c r="ED139" s="226"/>
      <c r="EE139" s="226"/>
      <c r="EF139" s="226"/>
      <c r="EG139" s="226"/>
      <c r="EH139" s="226"/>
      <c r="EI139" s="226"/>
      <c r="EJ139" s="226"/>
      <c r="EK139" s="226"/>
      <c r="EL139" s="226"/>
      <c r="EM139" s="226"/>
      <c r="EN139" s="226"/>
      <c r="EO139" s="226"/>
      <c r="EP139" s="226"/>
      <c r="EQ139" s="226"/>
      <c r="ER139" s="226"/>
      <c r="ES139" s="226"/>
      <c r="ET139" s="226"/>
      <c r="EU139" s="226"/>
      <c r="EV139" s="226"/>
      <c r="EW139" s="226"/>
      <c r="EX139" s="226"/>
      <c r="EY139" s="226"/>
      <c r="EZ139" s="226"/>
      <c r="FA139" s="226"/>
      <c r="FB139" s="226"/>
      <c r="FC139" s="226"/>
      <c r="FD139" s="226"/>
      <c r="FE139" s="226"/>
      <c r="FF139" s="226"/>
      <c r="FG139" s="226"/>
      <c r="FH139" s="226"/>
      <c r="FI139" s="226"/>
      <c r="FJ139" s="226"/>
      <c r="FK139" s="226"/>
      <c r="FL139" s="226"/>
      <c r="FM139" s="226"/>
      <c r="FN139" s="226"/>
      <c r="FO139" s="226"/>
      <c r="FP139" s="226"/>
      <c r="FQ139" s="226"/>
      <c r="FR139" s="226"/>
      <c r="FS139" s="226"/>
      <c r="FT139" s="226"/>
      <c r="FU139" s="226"/>
      <c r="FV139" s="226"/>
      <c r="FW139" s="226"/>
      <c r="FX139" s="226"/>
      <c r="FY139" s="226"/>
      <c r="FZ139" s="226"/>
      <c r="GA139" s="226"/>
      <c r="GB139" s="226"/>
      <c r="GC139" s="226"/>
      <c r="GD139" s="226"/>
      <c r="GE139" s="226"/>
      <c r="GF139" s="226"/>
      <c r="GG139" s="226"/>
    </row>
    <row r="140" spans="1:189" s="225" customFormat="1" ht="18" customHeight="1">
      <c r="A140" s="443" t="e">
        <f>+#REF!</f>
        <v>#REF!</v>
      </c>
      <c r="B140" s="242" t="e">
        <f>+#REF!</f>
        <v>#REF!</v>
      </c>
      <c r="C140" s="251" t="s">
        <v>1</v>
      </c>
      <c r="D140" s="82">
        <f>J140</f>
        <v>1766.6000000000001</v>
      </c>
      <c r="E140" s="586" t="e">
        <f>#REF!*0</f>
        <v>#REF!</v>
      </c>
      <c r="F140" s="64" t="e">
        <f>+D140*E140</f>
        <v>#REF!</v>
      </c>
      <c r="H140" s="259">
        <f>F5*2</f>
        <v>1606</v>
      </c>
      <c r="I140" s="265">
        <v>1.1000000000000001</v>
      </c>
      <c r="J140" s="259">
        <f>H140*I140</f>
        <v>1766.6000000000001</v>
      </c>
      <c r="K140" s="226"/>
      <c r="L140" s="226"/>
      <c r="M140" s="226"/>
      <c r="N140" s="226"/>
      <c r="O140" s="226"/>
      <c r="P140" s="226"/>
      <c r="Q140" s="226"/>
      <c r="R140" s="226"/>
      <c r="S140" s="226"/>
      <c r="T140" s="226"/>
      <c r="U140" s="226"/>
      <c r="V140" s="226"/>
      <c r="W140" s="226"/>
      <c r="X140" s="226"/>
      <c r="Y140" s="226"/>
      <c r="Z140" s="226"/>
      <c r="AA140" s="226"/>
      <c r="AB140" s="226"/>
      <c r="AC140" s="226"/>
      <c r="AD140" s="226"/>
      <c r="AE140" s="226"/>
      <c r="AF140" s="226"/>
      <c r="AG140" s="226"/>
      <c r="AH140" s="226"/>
      <c r="AI140" s="226"/>
      <c r="AJ140" s="226"/>
      <c r="AK140" s="226"/>
      <c r="AL140" s="226"/>
      <c r="AM140" s="226"/>
      <c r="AN140" s="226"/>
      <c r="AO140" s="226"/>
      <c r="AP140" s="226"/>
      <c r="AQ140" s="226"/>
      <c r="AR140" s="226"/>
      <c r="AS140" s="226"/>
      <c r="AT140" s="226"/>
      <c r="AU140" s="226"/>
      <c r="AV140" s="226"/>
      <c r="AW140" s="226"/>
      <c r="AX140" s="226"/>
      <c r="AY140" s="226"/>
      <c r="AZ140" s="226"/>
      <c r="BA140" s="226"/>
      <c r="BB140" s="226"/>
      <c r="BC140" s="226"/>
      <c r="BD140" s="226"/>
      <c r="BE140" s="226"/>
      <c r="BF140" s="226"/>
      <c r="BG140" s="226"/>
      <c r="BH140" s="226"/>
      <c r="BI140" s="226"/>
      <c r="BJ140" s="226"/>
      <c r="BK140" s="226"/>
      <c r="BL140" s="226"/>
      <c r="BM140" s="226"/>
      <c r="BN140" s="226"/>
      <c r="BO140" s="226"/>
      <c r="BP140" s="226"/>
      <c r="BQ140" s="226"/>
      <c r="BR140" s="226"/>
      <c r="BS140" s="226"/>
      <c r="BT140" s="226"/>
      <c r="BU140" s="226"/>
      <c r="BV140" s="226"/>
      <c r="BW140" s="226"/>
      <c r="BX140" s="226"/>
      <c r="BY140" s="226"/>
      <c r="BZ140" s="226"/>
      <c r="CA140" s="226"/>
      <c r="CB140" s="226"/>
      <c r="CC140" s="226"/>
      <c r="CD140" s="226"/>
      <c r="CE140" s="226"/>
      <c r="CF140" s="226"/>
      <c r="CG140" s="226"/>
      <c r="CH140" s="226"/>
      <c r="CI140" s="226"/>
      <c r="CJ140" s="226"/>
      <c r="CK140" s="226"/>
      <c r="CL140" s="226"/>
      <c r="CM140" s="226"/>
      <c r="CN140" s="226"/>
      <c r="CO140" s="226"/>
      <c r="CP140" s="226"/>
      <c r="CQ140" s="226"/>
      <c r="CR140" s="226"/>
      <c r="CS140" s="226"/>
      <c r="CT140" s="226"/>
      <c r="CU140" s="226"/>
      <c r="CV140" s="226"/>
      <c r="CW140" s="226"/>
      <c r="CX140" s="226"/>
      <c r="CY140" s="226"/>
      <c r="CZ140" s="226"/>
      <c r="DA140" s="226"/>
      <c r="DB140" s="226"/>
      <c r="DC140" s="226"/>
      <c r="DD140" s="226"/>
      <c r="DE140" s="226"/>
      <c r="DF140" s="226"/>
      <c r="DG140" s="226"/>
      <c r="DH140" s="226"/>
      <c r="DI140" s="226"/>
      <c r="DJ140" s="226"/>
      <c r="DK140" s="226"/>
      <c r="DL140" s="226"/>
      <c r="DM140" s="226"/>
      <c r="DN140" s="226"/>
      <c r="DO140" s="226"/>
      <c r="DP140" s="226"/>
      <c r="DQ140" s="226"/>
      <c r="DR140" s="226"/>
      <c r="DS140" s="226"/>
      <c r="DT140" s="226"/>
      <c r="DU140" s="226"/>
      <c r="DV140" s="226"/>
      <c r="DW140" s="226"/>
      <c r="DX140" s="226"/>
      <c r="DY140" s="226"/>
      <c r="DZ140" s="226"/>
      <c r="EA140" s="226"/>
      <c r="EB140" s="226"/>
      <c r="EC140" s="226"/>
      <c r="ED140" s="226"/>
      <c r="EE140" s="226"/>
      <c r="EF140" s="226"/>
      <c r="EG140" s="226"/>
      <c r="EH140" s="226"/>
      <c r="EI140" s="226"/>
      <c r="EJ140" s="226"/>
      <c r="EK140" s="226"/>
      <c r="EL140" s="226"/>
      <c r="EM140" s="226"/>
      <c r="EN140" s="226"/>
      <c r="EO140" s="226"/>
      <c r="EP140" s="226"/>
      <c r="EQ140" s="226"/>
      <c r="ER140" s="226"/>
      <c r="ES140" s="226"/>
      <c r="ET140" s="226"/>
      <c r="EU140" s="226"/>
      <c r="EV140" s="226"/>
      <c r="EW140" s="226"/>
      <c r="EX140" s="226"/>
      <c r="EY140" s="226"/>
      <c r="EZ140" s="226"/>
      <c r="FA140" s="226"/>
      <c r="FB140" s="226"/>
      <c r="FC140" s="226"/>
      <c r="FD140" s="226"/>
      <c r="FE140" s="226"/>
      <c r="FF140" s="226"/>
      <c r="FG140" s="226"/>
      <c r="FH140" s="226"/>
      <c r="FI140" s="226"/>
      <c r="FJ140" s="226"/>
      <c r="FK140" s="226"/>
      <c r="FL140" s="226"/>
      <c r="FM140" s="226"/>
      <c r="FN140" s="226"/>
      <c r="FO140" s="226"/>
      <c r="FP140" s="226"/>
      <c r="FQ140" s="226"/>
      <c r="FR140" s="226"/>
      <c r="FS140" s="226"/>
      <c r="FT140" s="226"/>
      <c r="FU140" s="226"/>
      <c r="FV140" s="226"/>
      <c r="FW140" s="226"/>
      <c r="FX140" s="226"/>
      <c r="FY140" s="226"/>
      <c r="FZ140" s="226"/>
      <c r="GA140" s="226"/>
      <c r="GB140" s="226"/>
      <c r="GC140" s="226"/>
      <c r="GD140" s="226"/>
      <c r="GE140" s="226"/>
      <c r="GF140" s="226"/>
      <c r="GG140" s="226"/>
    </row>
    <row r="141" spans="1:189" s="225" customFormat="1" ht="16.5" customHeight="1">
      <c r="A141" s="139">
        <v>517</v>
      </c>
      <c r="B141" s="197" t="s">
        <v>152</v>
      </c>
      <c r="C141" s="252"/>
      <c r="D141" s="78"/>
      <c r="E141" s="587"/>
      <c r="F141" s="65"/>
      <c r="H141" s="259"/>
      <c r="I141" s="265"/>
      <c r="J141" s="259"/>
      <c r="K141" s="226"/>
      <c r="L141" s="226"/>
      <c r="M141" s="226"/>
      <c r="N141" s="226"/>
      <c r="O141" s="226"/>
      <c r="P141" s="226"/>
      <c r="Q141" s="226"/>
      <c r="R141" s="226"/>
      <c r="S141" s="226"/>
      <c r="T141" s="226"/>
      <c r="U141" s="226"/>
      <c r="V141" s="226"/>
      <c r="W141" s="226"/>
      <c r="X141" s="226"/>
      <c r="Y141" s="226"/>
      <c r="Z141" s="226"/>
      <c r="AA141" s="226"/>
      <c r="AB141" s="226"/>
      <c r="AC141" s="226"/>
      <c r="AD141" s="226"/>
      <c r="AE141" s="226"/>
      <c r="AF141" s="226"/>
      <c r="AG141" s="226"/>
      <c r="AH141" s="226"/>
      <c r="AI141" s="226"/>
      <c r="AJ141" s="226"/>
      <c r="AK141" s="226"/>
      <c r="AL141" s="226"/>
      <c r="AM141" s="226"/>
      <c r="AN141" s="226"/>
      <c r="AO141" s="226"/>
      <c r="AP141" s="226"/>
      <c r="AQ141" s="226"/>
      <c r="AR141" s="226"/>
      <c r="AS141" s="226"/>
      <c r="AT141" s="226"/>
      <c r="AU141" s="226"/>
      <c r="AV141" s="226"/>
      <c r="AW141" s="226"/>
      <c r="AX141" s="226"/>
      <c r="AY141" s="226"/>
      <c r="AZ141" s="226"/>
      <c r="BA141" s="226"/>
      <c r="BB141" s="226"/>
      <c r="BC141" s="226"/>
      <c r="BD141" s="226"/>
      <c r="BE141" s="226"/>
      <c r="BF141" s="226"/>
      <c r="BG141" s="226"/>
      <c r="BH141" s="226"/>
      <c r="BI141" s="226"/>
      <c r="BJ141" s="226"/>
      <c r="BK141" s="226"/>
      <c r="BL141" s="226"/>
      <c r="BM141" s="226"/>
      <c r="BN141" s="226"/>
      <c r="BO141" s="226"/>
      <c r="BP141" s="226"/>
      <c r="BQ141" s="226"/>
      <c r="BR141" s="226"/>
      <c r="BS141" s="226"/>
      <c r="BT141" s="226"/>
      <c r="BU141" s="226"/>
      <c r="BV141" s="226"/>
      <c r="BW141" s="226"/>
      <c r="BX141" s="226"/>
      <c r="BY141" s="226"/>
      <c r="BZ141" s="226"/>
      <c r="CA141" s="226"/>
      <c r="CB141" s="226"/>
      <c r="CC141" s="226"/>
      <c r="CD141" s="226"/>
      <c r="CE141" s="226"/>
      <c r="CF141" s="226"/>
      <c r="CG141" s="226"/>
      <c r="CH141" s="226"/>
      <c r="CI141" s="226"/>
      <c r="CJ141" s="226"/>
      <c r="CK141" s="226"/>
      <c r="CL141" s="226"/>
      <c r="CM141" s="226"/>
      <c r="CN141" s="226"/>
      <c r="CO141" s="226"/>
      <c r="CP141" s="226"/>
      <c r="CQ141" s="226"/>
      <c r="CR141" s="226"/>
      <c r="CS141" s="226"/>
      <c r="CT141" s="226"/>
      <c r="CU141" s="226"/>
      <c r="CV141" s="226"/>
      <c r="CW141" s="226"/>
      <c r="CX141" s="226"/>
      <c r="CY141" s="226"/>
      <c r="CZ141" s="226"/>
      <c r="DA141" s="226"/>
      <c r="DB141" s="226"/>
      <c r="DC141" s="226"/>
      <c r="DD141" s="226"/>
      <c r="DE141" s="226"/>
      <c r="DF141" s="226"/>
      <c r="DG141" s="226"/>
      <c r="DH141" s="226"/>
      <c r="DI141" s="226"/>
      <c r="DJ141" s="226"/>
      <c r="DK141" s="226"/>
      <c r="DL141" s="226"/>
      <c r="DM141" s="226"/>
      <c r="DN141" s="226"/>
      <c r="DO141" s="226"/>
      <c r="DP141" s="226"/>
      <c r="DQ141" s="226"/>
      <c r="DR141" s="226"/>
      <c r="DS141" s="226"/>
      <c r="DT141" s="226"/>
      <c r="DU141" s="226"/>
      <c r="DV141" s="226"/>
      <c r="DW141" s="226"/>
      <c r="DX141" s="226"/>
      <c r="DY141" s="226"/>
      <c r="DZ141" s="226"/>
      <c r="EA141" s="226"/>
      <c r="EB141" s="226"/>
      <c r="EC141" s="226"/>
      <c r="ED141" s="226"/>
      <c r="EE141" s="226"/>
      <c r="EF141" s="226"/>
      <c r="EG141" s="226"/>
      <c r="EH141" s="226"/>
      <c r="EI141" s="226"/>
      <c r="EJ141" s="226"/>
      <c r="EK141" s="226"/>
      <c r="EL141" s="226"/>
      <c r="EM141" s="226"/>
      <c r="EN141" s="226"/>
      <c r="EO141" s="226"/>
      <c r="EP141" s="226"/>
      <c r="EQ141" s="226"/>
      <c r="ER141" s="226"/>
      <c r="ES141" s="226"/>
      <c r="ET141" s="226"/>
      <c r="EU141" s="226"/>
      <c r="EV141" s="226"/>
      <c r="EW141" s="226"/>
      <c r="EX141" s="226"/>
      <c r="EY141" s="226"/>
      <c r="EZ141" s="226"/>
      <c r="FA141" s="226"/>
      <c r="FB141" s="226"/>
      <c r="FC141" s="226"/>
      <c r="FD141" s="226"/>
      <c r="FE141" s="226"/>
      <c r="FF141" s="226"/>
      <c r="FG141" s="226"/>
      <c r="FH141" s="226"/>
      <c r="FI141" s="226"/>
      <c r="FJ141" s="226"/>
      <c r="FK141" s="226"/>
      <c r="FL141" s="226"/>
      <c r="FM141" s="226"/>
      <c r="FN141" s="226"/>
      <c r="FO141" s="226"/>
      <c r="FP141" s="226"/>
      <c r="FQ141" s="226"/>
      <c r="FR141" s="226"/>
      <c r="FS141" s="226"/>
      <c r="FT141" s="226"/>
      <c r="FU141" s="226"/>
      <c r="FV141" s="226"/>
      <c r="FW141" s="226"/>
      <c r="FX141" s="226"/>
      <c r="FY141" s="226"/>
      <c r="FZ141" s="226"/>
      <c r="GA141" s="226"/>
      <c r="GB141" s="226"/>
      <c r="GC141" s="226"/>
      <c r="GD141" s="226"/>
      <c r="GE141" s="226"/>
      <c r="GF141" s="226"/>
      <c r="GG141" s="226"/>
    </row>
    <row r="142" spans="1:189" s="225" customFormat="1" ht="15.95" customHeight="1">
      <c r="A142" s="143" t="s">
        <v>153</v>
      </c>
      <c r="B142" s="196" t="s">
        <v>276</v>
      </c>
      <c r="C142" s="252" t="s">
        <v>1</v>
      </c>
      <c r="D142" s="138">
        <f>J146</f>
        <v>0</v>
      </c>
      <c r="E142" s="587" t="e">
        <f>#REF!</f>
        <v>#REF!</v>
      </c>
      <c r="F142" s="65" t="e">
        <f>+D142*E142</f>
        <v>#REF!</v>
      </c>
      <c r="H142" s="259">
        <v>0</v>
      </c>
      <c r="I142" s="265">
        <v>1.05</v>
      </c>
      <c r="J142" s="259">
        <f>H142*I142</f>
        <v>0</v>
      </c>
      <c r="K142" s="226"/>
      <c r="L142" s="226"/>
      <c r="M142" s="226"/>
      <c r="N142" s="226"/>
      <c r="O142" s="226"/>
      <c r="P142" s="226"/>
      <c r="Q142" s="226"/>
      <c r="R142" s="226"/>
      <c r="S142" s="226"/>
      <c r="T142" s="226"/>
      <c r="U142" s="226"/>
      <c r="V142" s="226"/>
      <c r="W142" s="226"/>
      <c r="X142" s="226"/>
      <c r="Y142" s="226"/>
      <c r="Z142" s="226"/>
      <c r="AA142" s="226"/>
      <c r="AB142" s="226"/>
      <c r="AC142" s="226"/>
      <c r="AD142" s="226"/>
      <c r="AE142" s="226"/>
      <c r="AF142" s="226"/>
      <c r="AG142" s="226"/>
      <c r="AH142" s="226"/>
      <c r="AI142" s="226"/>
      <c r="AJ142" s="226"/>
      <c r="AK142" s="226"/>
      <c r="AL142" s="226"/>
      <c r="AM142" s="226"/>
      <c r="AN142" s="226"/>
      <c r="AO142" s="226"/>
      <c r="AP142" s="226"/>
      <c r="AQ142" s="226"/>
      <c r="AR142" s="226"/>
      <c r="AS142" s="226"/>
      <c r="AT142" s="226"/>
      <c r="AU142" s="226"/>
      <c r="AV142" s="226"/>
      <c r="AW142" s="226"/>
      <c r="AX142" s="226"/>
      <c r="AY142" s="226"/>
      <c r="AZ142" s="226"/>
      <c r="BA142" s="226"/>
      <c r="BB142" s="226"/>
      <c r="BC142" s="226"/>
      <c r="BD142" s="226"/>
      <c r="BE142" s="226"/>
      <c r="BF142" s="226"/>
      <c r="BG142" s="226"/>
      <c r="BH142" s="226"/>
      <c r="BI142" s="226"/>
      <c r="BJ142" s="226"/>
      <c r="BK142" s="226"/>
      <c r="BL142" s="226"/>
      <c r="BM142" s="226"/>
      <c r="BN142" s="226"/>
      <c r="BO142" s="226"/>
      <c r="BP142" s="226"/>
      <c r="BQ142" s="226"/>
      <c r="BR142" s="226"/>
      <c r="BS142" s="226"/>
      <c r="BT142" s="226"/>
      <c r="BU142" s="226"/>
      <c r="BV142" s="226"/>
      <c r="BW142" s="226"/>
      <c r="BX142" s="226"/>
      <c r="BY142" s="226"/>
      <c r="BZ142" s="226"/>
      <c r="CA142" s="226"/>
      <c r="CB142" s="226"/>
      <c r="CC142" s="226"/>
      <c r="CD142" s="226"/>
      <c r="CE142" s="226"/>
      <c r="CF142" s="226"/>
      <c r="CG142" s="226"/>
      <c r="CH142" s="226"/>
      <c r="CI142" s="226"/>
      <c r="CJ142" s="226"/>
      <c r="CK142" s="226"/>
      <c r="CL142" s="226"/>
      <c r="CM142" s="226"/>
      <c r="CN142" s="226"/>
      <c r="CO142" s="226"/>
      <c r="CP142" s="226"/>
      <c r="CQ142" s="226"/>
      <c r="CR142" s="226"/>
      <c r="CS142" s="226"/>
      <c r="CT142" s="226"/>
      <c r="CU142" s="226"/>
      <c r="CV142" s="226"/>
      <c r="CW142" s="226"/>
      <c r="CX142" s="226"/>
      <c r="CY142" s="226"/>
      <c r="CZ142" s="226"/>
      <c r="DA142" s="226"/>
      <c r="DB142" s="226"/>
      <c r="DC142" s="226"/>
      <c r="DD142" s="226"/>
      <c r="DE142" s="226"/>
      <c r="DF142" s="226"/>
      <c r="DG142" s="226"/>
      <c r="DH142" s="226"/>
      <c r="DI142" s="226"/>
      <c r="DJ142" s="226"/>
      <c r="DK142" s="226"/>
      <c r="DL142" s="226"/>
      <c r="DM142" s="226"/>
      <c r="DN142" s="226"/>
      <c r="DO142" s="226"/>
      <c r="DP142" s="226"/>
      <c r="DQ142" s="226"/>
      <c r="DR142" s="226"/>
      <c r="DS142" s="226"/>
      <c r="DT142" s="226"/>
      <c r="DU142" s="226"/>
      <c r="DV142" s="226"/>
      <c r="DW142" s="226"/>
      <c r="DX142" s="226"/>
      <c r="DY142" s="226"/>
      <c r="DZ142" s="226"/>
      <c r="EA142" s="226"/>
      <c r="EB142" s="226"/>
      <c r="EC142" s="226"/>
      <c r="ED142" s="226"/>
      <c r="EE142" s="226"/>
      <c r="EF142" s="226"/>
      <c r="EG142" s="226"/>
      <c r="EH142" s="226"/>
      <c r="EI142" s="226"/>
      <c r="EJ142" s="226"/>
      <c r="EK142" s="226"/>
      <c r="EL142" s="226"/>
      <c r="EM142" s="226"/>
      <c r="EN142" s="226"/>
      <c r="EO142" s="226"/>
      <c r="EP142" s="226"/>
      <c r="EQ142" s="226"/>
      <c r="ER142" s="226"/>
      <c r="ES142" s="226"/>
      <c r="ET142" s="226"/>
      <c r="EU142" s="226"/>
      <c r="EV142" s="226"/>
      <c r="EW142" s="226"/>
      <c r="EX142" s="226"/>
      <c r="EY142" s="226"/>
      <c r="EZ142" s="226"/>
      <c r="FA142" s="226"/>
      <c r="FB142" s="226"/>
      <c r="FC142" s="226"/>
      <c r="FD142" s="226"/>
      <c r="FE142" s="226"/>
      <c r="FF142" s="226"/>
      <c r="FG142" s="226"/>
      <c r="FH142" s="226"/>
      <c r="FI142" s="226"/>
      <c r="FJ142" s="226"/>
      <c r="FK142" s="226"/>
      <c r="FL142" s="226"/>
      <c r="FM142" s="226"/>
      <c r="FN142" s="226"/>
      <c r="FO142" s="226"/>
      <c r="FP142" s="226"/>
      <c r="FQ142" s="226"/>
      <c r="FR142" s="226"/>
      <c r="FS142" s="226"/>
      <c r="FT142" s="226"/>
      <c r="FU142" s="226"/>
      <c r="FV142" s="226"/>
      <c r="FW142" s="226"/>
      <c r="FX142" s="226"/>
      <c r="FY142" s="226"/>
      <c r="FZ142" s="226"/>
      <c r="GA142" s="226"/>
      <c r="GB142" s="226"/>
      <c r="GC142" s="226"/>
      <c r="GD142" s="226"/>
      <c r="GE142" s="226"/>
      <c r="GF142" s="226"/>
      <c r="GG142" s="226"/>
    </row>
    <row r="143" spans="1:189" s="225" customFormat="1" ht="16.5" customHeight="1">
      <c r="A143" s="139">
        <v>518</v>
      </c>
      <c r="B143" s="43" t="s">
        <v>180</v>
      </c>
      <c r="C143" s="252"/>
      <c r="D143" s="78"/>
      <c r="E143" s="587"/>
      <c r="F143" s="65"/>
      <c r="H143" s="259"/>
      <c r="I143" s="265"/>
      <c r="J143" s="259"/>
      <c r="K143" s="226"/>
      <c r="L143" s="226"/>
      <c r="M143" s="226"/>
      <c r="N143" s="226"/>
      <c r="O143" s="226"/>
      <c r="P143" s="226"/>
      <c r="Q143" s="226"/>
      <c r="R143" s="226"/>
      <c r="S143" s="226"/>
      <c r="T143" s="226"/>
      <c r="U143" s="226"/>
      <c r="V143" s="226"/>
      <c r="W143" s="226"/>
      <c r="X143" s="226"/>
      <c r="Y143" s="226"/>
      <c r="Z143" s="226"/>
      <c r="AA143" s="226"/>
      <c r="AB143" s="226"/>
      <c r="AC143" s="226"/>
      <c r="AD143" s="226"/>
      <c r="AE143" s="226"/>
      <c r="AF143" s="226"/>
      <c r="AG143" s="226"/>
      <c r="AH143" s="226"/>
      <c r="AI143" s="226"/>
      <c r="AJ143" s="226"/>
      <c r="AK143" s="226"/>
      <c r="AL143" s="226"/>
      <c r="AM143" s="226"/>
      <c r="AN143" s="226"/>
      <c r="AO143" s="226"/>
      <c r="AP143" s="226"/>
      <c r="AQ143" s="226"/>
      <c r="AR143" s="226"/>
      <c r="AS143" s="226"/>
      <c r="AT143" s="226"/>
      <c r="AU143" s="226"/>
      <c r="AV143" s="226"/>
      <c r="AW143" s="226"/>
      <c r="AX143" s="226"/>
      <c r="AY143" s="226"/>
      <c r="AZ143" s="226"/>
      <c r="BA143" s="226"/>
      <c r="BB143" s="226"/>
      <c r="BC143" s="226"/>
      <c r="BD143" s="226"/>
      <c r="BE143" s="226"/>
      <c r="BF143" s="226"/>
      <c r="BG143" s="226"/>
      <c r="BH143" s="226"/>
      <c r="BI143" s="226"/>
      <c r="BJ143" s="226"/>
      <c r="BK143" s="226"/>
      <c r="BL143" s="226"/>
      <c r="BM143" s="226"/>
      <c r="BN143" s="226"/>
      <c r="BO143" s="226"/>
      <c r="BP143" s="226"/>
      <c r="BQ143" s="226"/>
      <c r="BR143" s="226"/>
      <c r="BS143" s="226"/>
      <c r="BT143" s="226"/>
      <c r="BU143" s="226"/>
      <c r="BV143" s="226"/>
      <c r="BW143" s="226"/>
      <c r="BX143" s="226"/>
      <c r="BY143" s="226"/>
      <c r="BZ143" s="226"/>
      <c r="CA143" s="226"/>
      <c r="CB143" s="226"/>
      <c r="CC143" s="226"/>
      <c r="CD143" s="226"/>
      <c r="CE143" s="226"/>
      <c r="CF143" s="226"/>
      <c r="CG143" s="226"/>
      <c r="CH143" s="226"/>
      <c r="CI143" s="226"/>
      <c r="CJ143" s="226"/>
      <c r="CK143" s="226"/>
      <c r="CL143" s="226"/>
      <c r="CM143" s="226"/>
      <c r="CN143" s="226"/>
      <c r="CO143" s="226"/>
      <c r="CP143" s="226"/>
      <c r="CQ143" s="226"/>
      <c r="CR143" s="226"/>
      <c r="CS143" s="226"/>
      <c r="CT143" s="226"/>
      <c r="CU143" s="226"/>
      <c r="CV143" s="226"/>
      <c r="CW143" s="226"/>
      <c r="CX143" s="226"/>
      <c r="CY143" s="226"/>
      <c r="CZ143" s="226"/>
      <c r="DA143" s="226"/>
      <c r="DB143" s="226"/>
      <c r="DC143" s="226"/>
      <c r="DD143" s="226"/>
      <c r="DE143" s="226"/>
      <c r="DF143" s="226"/>
      <c r="DG143" s="226"/>
      <c r="DH143" s="226"/>
      <c r="DI143" s="226"/>
      <c r="DJ143" s="226"/>
      <c r="DK143" s="226"/>
      <c r="DL143" s="226"/>
      <c r="DM143" s="226"/>
      <c r="DN143" s="226"/>
      <c r="DO143" s="226"/>
      <c r="DP143" s="226"/>
      <c r="DQ143" s="226"/>
      <c r="DR143" s="226"/>
      <c r="DS143" s="226"/>
      <c r="DT143" s="226"/>
      <c r="DU143" s="226"/>
      <c r="DV143" s="226"/>
      <c r="DW143" s="226"/>
      <c r="DX143" s="226"/>
      <c r="DY143" s="226"/>
      <c r="DZ143" s="226"/>
      <c r="EA143" s="226"/>
      <c r="EB143" s="226"/>
      <c r="EC143" s="226"/>
      <c r="ED143" s="226"/>
      <c r="EE143" s="226"/>
      <c r="EF143" s="226"/>
      <c r="EG143" s="226"/>
      <c r="EH143" s="226"/>
      <c r="EI143" s="226"/>
      <c r="EJ143" s="226"/>
      <c r="EK143" s="226"/>
      <c r="EL143" s="226"/>
      <c r="EM143" s="226"/>
      <c r="EN143" s="226"/>
      <c r="EO143" s="226"/>
      <c r="EP143" s="226"/>
      <c r="EQ143" s="226"/>
      <c r="ER143" s="226"/>
      <c r="ES143" s="226"/>
      <c r="ET143" s="226"/>
      <c r="EU143" s="226"/>
      <c r="EV143" s="226"/>
      <c r="EW143" s="226"/>
      <c r="EX143" s="226"/>
      <c r="EY143" s="226"/>
      <c r="EZ143" s="226"/>
      <c r="FA143" s="226"/>
      <c r="FB143" s="226"/>
      <c r="FC143" s="226"/>
      <c r="FD143" s="226"/>
      <c r="FE143" s="226"/>
      <c r="FF143" s="226"/>
      <c r="FG143" s="226"/>
      <c r="FH143" s="226"/>
      <c r="FI143" s="226"/>
      <c r="FJ143" s="226"/>
      <c r="FK143" s="226"/>
      <c r="FL143" s="226"/>
      <c r="FM143" s="226"/>
      <c r="FN143" s="226"/>
      <c r="FO143" s="226"/>
      <c r="FP143" s="226"/>
      <c r="FQ143" s="226"/>
      <c r="FR143" s="226"/>
      <c r="FS143" s="226"/>
      <c r="FT143" s="226"/>
      <c r="FU143" s="226"/>
      <c r="FV143" s="226"/>
      <c r="FW143" s="226"/>
      <c r="FX143" s="226"/>
      <c r="FY143" s="226"/>
      <c r="FZ143" s="226"/>
      <c r="GA143" s="226"/>
      <c r="GB143" s="226"/>
      <c r="GC143" s="226"/>
      <c r="GD143" s="226"/>
      <c r="GE143" s="226"/>
      <c r="GF143" s="226"/>
      <c r="GG143" s="226"/>
    </row>
    <row r="144" spans="1:189" s="225" customFormat="1" ht="15.95" customHeight="1">
      <c r="A144" s="139" t="s">
        <v>179</v>
      </c>
      <c r="B144" s="230" t="s">
        <v>181</v>
      </c>
      <c r="C144" s="252" t="s">
        <v>1</v>
      </c>
      <c r="D144" s="138">
        <f>J148</f>
        <v>0</v>
      </c>
      <c r="E144" s="587" t="e">
        <f>#REF!</f>
        <v>#REF!</v>
      </c>
      <c r="F144" s="65" t="e">
        <f>+D144*E144</f>
        <v>#REF!</v>
      </c>
      <c r="K144" s="226"/>
      <c r="L144" s="226"/>
      <c r="M144" s="226"/>
      <c r="N144" s="226"/>
      <c r="O144" s="226"/>
      <c r="P144" s="226"/>
      <c r="Q144" s="226"/>
      <c r="R144" s="226"/>
      <c r="S144" s="226"/>
      <c r="T144" s="226"/>
      <c r="U144" s="226"/>
      <c r="V144" s="226"/>
      <c r="W144" s="226"/>
      <c r="X144" s="226"/>
      <c r="Y144" s="226"/>
      <c r="Z144" s="226"/>
      <c r="AA144" s="226"/>
      <c r="AB144" s="226"/>
      <c r="AC144" s="226"/>
      <c r="AD144" s="226"/>
      <c r="AE144" s="226"/>
      <c r="AF144" s="226"/>
      <c r="AG144" s="226"/>
      <c r="AH144" s="226"/>
      <c r="AI144" s="226"/>
      <c r="AJ144" s="226"/>
      <c r="AK144" s="226"/>
      <c r="AL144" s="226"/>
      <c r="AM144" s="226"/>
      <c r="AN144" s="226"/>
      <c r="AO144" s="226"/>
      <c r="AP144" s="226"/>
      <c r="AQ144" s="226"/>
      <c r="AR144" s="226"/>
      <c r="AS144" s="226"/>
      <c r="AT144" s="226"/>
      <c r="AU144" s="226"/>
      <c r="AV144" s="226"/>
      <c r="AW144" s="226"/>
      <c r="AX144" s="226"/>
      <c r="AY144" s="226"/>
      <c r="AZ144" s="226"/>
      <c r="BA144" s="226"/>
      <c r="BB144" s="226"/>
      <c r="BC144" s="226"/>
      <c r="BD144" s="226"/>
      <c r="BE144" s="226"/>
      <c r="BF144" s="226"/>
      <c r="BG144" s="226"/>
      <c r="BH144" s="226"/>
      <c r="BI144" s="226"/>
      <c r="BJ144" s="226"/>
      <c r="BK144" s="226"/>
      <c r="BL144" s="226"/>
      <c r="BM144" s="226"/>
      <c r="BN144" s="226"/>
      <c r="BO144" s="226"/>
      <c r="BP144" s="226"/>
      <c r="BQ144" s="226"/>
      <c r="BR144" s="226"/>
      <c r="BS144" s="226"/>
      <c r="BT144" s="226"/>
      <c r="BU144" s="226"/>
      <c r="BV144" s="226"/>
      <c r="BW144" s="226"/>
      <c r="BX144" s="226"/>
      <c r="BY144" s="226"/>
      <c r="BZ144" s="226"/>
      <c r="CA144" s="226"/>
      <c r="CB144" s="226"/>
      <c r="CC144" s="226"/>
      <c r="CD144" s="226"/>
      <c r="CE144" s="226"/>
      <c r="CF144" s="226"/>
      <c r="CG144" s="226"/>
      <c r="CH144" s="226"/>
      <c r="CI144" s="226"/>
      <c r="CJ144" s="226"/>
      <c r="CK144" s="226"/>
      <c r="CL144" s="226"/>
      <c r="CM144" s="226"/>
      <c r="CN144" s="226"/>
      <c r="CO144" s="226"/>
      <c r="CP144" s="226"/>
      <c r="CQ144" s="226"/>
      <c r="CR144" s="226"/>
      <c r="CS144" s="226"/>
      <c r="CT144" s="226"/>
      <c r="CU144" s="226"/>
      <c r="CV144" s="226"/>
      <c r="CW144" s="226"/>
      <c r="CX144" s="226"/>
      <c r="CY144" s="226"/>
      <c r="CZ144" s="226"/>
      <c r="DA144" s="226"/>
      <c r="DB144" s="226"/>
      <c r="DC144" s="226"/>
      <c r="DD144" s="226"/>
      <c r="DE144" s="226"/>
      <c r="DF144" s="226"/>
      <c r="DG144" s="226"/>
      <c r="DH144" s="226"/>
      <c r="DI144" s="226"/>
      <c r="DJ144" s="226"/>
      <c r="DK144" s="226"/>
      <c r="DL144" s="226"/>
      <c r="DM144" s="226"/>
      <c r="DN144" s="226"/>
      <c r="DO144" s="226"/>
      <c r="DP144" s="226"/>
      <c r="DQ144" s="226"/>
      <c r="DR144" s="226"/>
      <c r="DS144" s="226"/>
      <c r="DT144" s="226"/>
      <c r="DU144" s="226"/>
      <c r="DV144" s="226"/>
      <c r="DW144" s="226"/>
      <c r="DX144" s="226"/>
      <c r="DY144" s="226"/>
      <c r="DZ144" s="226"/>
      <c r="EA144" s="226"/>
      <c r="EB144" s="226"/>
      <c r="EC144" s="226"/>
      <c r="ED144" s="226"/>
      <c r="EE144" s="226"/>
      <c r="EF144" s="226"/>
      <c r="EG144" s="226"/>
      <c r="EH144" s="226"/>
      <c r="EI144" s="226"/>
      <c r="EJ144" s="226"/>
      <c r="EK144" s="226"/>
      <c r="EL144" s="226"/>
      <c r="EM144" s="226"/>
      <c r="EN144" s="226"/>
      <c r="EO144" s="226"/>
      <c r="EP144" s="226"/>
      <c r="EQ144" s="226"/>
      <c r="ER144" s="226"/>
      <c r="ES144" s="226"/>
      <c r="ET144" s="226"/>
      <c r="EU144" s="226"/>
      <c r="EV144" s="226"/>
      <c r="EW144" s="226"/>
      <c r="EX144" s="226"/>
      <c r="EY144" s="226"/>
      <c r="EZ144" s="226"/>
      <c r="FA144" s="226"/>
      <c r="FB144" s="226"/>
      <c r="FC144" s="226"/>
      <c r="FD144" s="226"/>
      <c r="FE144" s="226"/>
      <c r="FF144" s="226"/>
      <c r="FG144" s="226"/>
      <c r="FH144" s="226"/>
      <c r="FI144" s="226"/>
      <c r="FJ144" s="226"/>
      <c r="FK144" s="226"/>
      <c r="FL144" s="226"/>
      <c r="FM144" s="226"/>
      <c r="FN144" s="226"/>
      <c r="FO144" s="226"/>
      <c r="FP144" s="226"/>
      <c r="FQ144" s="226"/>
      <c r="FR144" s="226"/>
      <c r="FS144" s="226"/>
      <c r="FT144" s="226"/>
      <c r="FU144" s="226"/>
      <c r="FV144" s="226"/>
      <c r="FW144" s="226"/>
      <c r="FX144" s="226"/>
      <c r="FY144" s="226"/>
      <c r="FZ144" s="226"/>
      <c r="GA144" s="226"/>
      <c r="GB144" s="226"/>
      <c r="GC144" s="226"/>
      <c r="GD144" s="226"/>
      <c r="GE144" s="226"/>
      <c r="GF144" s="226"/>
      <c r="GG144" s="226"/>
    </row>
    <row r="145" spans="1:189" s="225" customFormat="1" ht="15.95" customHeight="1">
      <c r="A145" s="36" t="s">
        <v>183</v>
      </c>
      <c r="B145" s="196" t="s">
        <v>182</v>
      </c>
      <c r="C145" s="254" t="s">
        <v>1</v>
      </c>
      <c r="D145" s="82">
        <f>J149</f>
        <v>0</v>
      </c>
      <c r="E145" s="586" t="e">
        <f>#REF!</f>
        <v>#REF!</v>
      </c>
      <c r="F145" s="64" t="e">
        <f>+D145*E145</f>
        <v>#REF!</v>
      </c>
      <c r="H145" s="259"/>
      <c r="I145" s="265"/>
      <c r="J145" s="259"/>
      <c r="K145" s="226"/>
      <c r="L145" s="226"/>
      <c r="M145" s="226"/>
      <c r="N145" s="226"/>
      <c r="O145" s="226"/>
      <c r="P145" s="226"/>
      <c r="Q145" s="226"/>
      <c r="R145" s="226"/>
      <c r="S145" s="226"/>
      <c r="T145" s="226"/>
      <c r="U145" s="226"/>
      <c r="V145" s="226"/>
      <c r="W145" s="226"/>
      <c r="X145" s="226"/>
      <c r="Y145" s="226"/>
      <c r="Z145" s="226"/>
      <c r="AA145" s="226"/>
      <c r="AB145" s="226"/>
      <c r="AC145" s="226"/>
      <c r="AD145" s="226"/>
      <c r="AE145" s="226"/>
      <c r="AF145" s="226"/>
      <c r="AG145" s="226"/>
      <c r="AH145" s="226"/>
      <c r="AI145" s="226"/>
      <c r="AJ145" s="226"/>
      <c r="AK145" s="226"/>
      <c r="AL145" s="226"/>
      <c r="AM145" s="226"/>
      <c r="AN145" s="226"/>
      <c r="AO145" s="226"/>
      <c r="AP145" s="226"/>
      <c r="AQ145" s="226"/>
      <c r="AR145" s="226"/>
      <c r="AS145" s="226"/>
      <c r="AT145" s="226"/>
      <c r="AU145" s="226"/>
      <c r="AV145" s="226"/>
      <c r="AW145" s="226"/>
      <c r="AX145" s="226"/>
      <c r="AY145" s="226"/>
      <c r="AZ145" s="226"/>
      <c r="BA145" s="226"/>
      <c r="BB145" s="226"/>
      <c r="BC145" s="226"/>
      <c r="BD145" s="226"/>
      <c r="BE145" s="226"/>
      <c r="BF145" s="226"/>
      <c r="BG145" s="226"/>
      <c r="BH145" s="226"/>
      <c r="BI145" s="226"/>
      <c r="BJ145" s="226"/>
      <c r="BK145" s="226"/>
      <c r="BL145" s="226"/>
      <c r="BM145" s="226"/>
      <c r="BN145" s="226"/>
      <c r="BO145" s="226"/>
      <c r="BP145" s="226"/>
      <c r="BQ145" s="226"/>
      <c r="BR145" s="226"/>
      <c r="BS145" s="226"/>
      <c r="BT145" s="226"/>
      <c r="BU145" s="226"/>
      <c r="BV145" s="226"/>
      <c r="BW145" s="226"/>
      <c r="BX145" s="226"/>
      <c r="BY145" s="226"/>
      <c r="BZ145" s="226"/>
      <c r="CA145" s="226"/>
      <c r="CB145" s="226"/>
      <c r="CC145" s="226"/>
      <c r="CD145" s="226"/>
      <c r="CE145" s="226"/>
      <c r="CF145" s="226"/>
      <c r="CG145" s="226"/>
      <c r="CH145" s="226"/>
      <c r="CI145" s="226"/>
      <c r="CJ145" s="226"/>
      <c r="CK145" s="226"/>
      <c r="CL145" s="226"/>
      <c r="CM145" s="226"/>
      <c r="CN145" s="226"/>
      <c r="CO145" s="226"/>
      <c r="CP145" s="226"/>
      <c r="CQ145" s="226"/>
      <c r="CR145" s="226"/>
      <c r="CS145" s="226"/>
      <c r="CT145" s="226"/>
      <c r="CU145" s="226"/>
      <c r="CV145" s="226"/>
      <c r="CW145" s="226"/>
      <c r="CX145" s="226"/>
      <c r="CY145" s="226"/>
      <c r="CZ145" s="226"/>
      <c r="DA145" s="226"/>
      <c r="DB145" s="226"/>
      <c r="DC145" s="226"/>
      <c r="DD145" s="226"/>
      <c r="DE145" s="226"/>
      <c r="DF145" s="226"/>
      <c r="DG145" s="226"/>
      <c r="DH145" s="226"/>
      <c r="DI145" s="226"/>
      <c r="DJ145" s="226"/>
      <c r="DK145" s="226"/>
      <c r="DL145" s="226"/>
      <c r="DM145" s="226"/>
      <c r="DN145" s="226"/>
      <c r="DO145" s="226"/>
      <c r="DP145" s="226"/>
      <c r="DQ145" s="226"/>
      <c r="DR145" s="226"/>
      <c r="DS145" s="226"/>
      <c r="DT145" s="226"/>
      <c r="DU145" s="226"/>
      <c r="DV145" s="226"/>
      <c r="DW145" s="226"/>
      <c r="DX145" s="226"/>
      <c r="DY145" s="226"/>
      <c r="DZ145" s="226"/>
      <c r="EA145" s="226"/>
      <c r="EB145" s="226"/>
      <c r="EC145" s="226"/>
      <c r="ED145" s="226"/>
      <c r="EE145" s="226"/>
      <c r="EF145" s="226"/>
      <c r="EG145" s="226"/>
      <c r="EH145" s="226"/>
      <c r="EI145" s="226"/>
      <c r="EJ145" s="226"/>
      <c r="EK145" s="226"/>
      <c r="EL145" s="226"/>
      <c r="EM145" s="226"/>
      <c r="EN145" s="226"/>
      <c r="EO145" s="226"/>
      <c r="EP145" s="226"/>
      <c r="EQ145" s="226"/>
      <c r="ER145" s="226"/>
      <c r="ES145" s="226"/>
      <c r="ET145" s="226"/>
      <c r="EU145" s="226"/>
      <c r="EV145" s="226"/>
      <c r="EW145" s="226"/>
      <c r="EX145" s="226"/>
      <c r="EY145" s="226"/>
      <c r="EZ145" s="226"/>
      <c r="FA145" s="226"/>
      <c r="FB145" s="226"/>
      <c r="FC145" s="226"/>
      <c r="FD145" s="226"/>
      <c r="FE145" s="226"/>
      <c r="FF145" s="226"/>
      <c r="FG145" s="226"/>
      <c r="FH145" s="226"/>
      <c r="FI145" s="226"/>
      <c r="FJ145" s="226"/>
      <c r="FK145" s="226"/>
      <c r="FL145" s="226"/>
      <c r="FM145" s="226"/>
      <c r="FN145" s="226"/>
      <c r="FO145" s="226"/>
      <c r="FP145" s="226"/>
      <c r="FQ145" s="226"/>
      <c r="FR145" s="226"/>
      <c r="FS145" s="226"/>
      <c r="FT145" s="226"/>
      <c r="FU145" s="226"/>
      <c r="FV145" s="226"/>
      <c r="FW145" s="226"/>
      <c r="FX145" s="226"/>
      <c r="FY145" s="226"/>
      <c r="FZ145" s="226"/>
      <c r="GA145" s="226"/>
      <c r="GB145" s="226"/>
      <c r="GC145" s="226"/>
      <c r="GD145" s="226"/>
      <c r="GE145" s="226"/>
      <c r="GF145" s="226"/>
      <c r="GG145" s="226"/>
    </row>
    <row r="146" spans="1:189" s="225" customFormat="1" ht="15.95" customHeight="1">
      <c r="A146" s="431"/>
      <c r="B146" s="239"/>
      <c r="C146" s="95"/>
      <c r="D146" s="92"/>
      <c r="E146" s="580" t="s">
        <v>113</v>
      </c>
      <c r="F146" s="94" t="e">
        <f>SUM(F94:F145)</f>
        <v>#REF!</v>
      </c>
      <c r="H146" s="259">
        <v>0</v>
      </c>
      <c r="I146" s="265">
        <v>1.05</v>
      </c>
      <c r="J146" s="259">
        <f>H146*I146</f>
        <v>0</v>
      </c>
      <c r="K146" s="226"/>
      <c r="L146" s="226"/>
      <c r="M146" s="226"/>
      <c r="N146" s="226"/>
      <c r="O146" s="226"/>
      <c r="P146" s="226"/>
      <c r="Q146" s="226"/>
      <c r="R146" s="226"/>
      <c r="S146" s="226"/>
      <c r="T146" s="226"/>
      <c r="U146" s="226"/>
      <c r="V146" s="226"/>
      <c r="W146" s="226"/>
      <c r="X146" s="226"/>
      <c r="Y146" s="226"/>
      <c r="Z146" s="226"/>
      <c r="AA146" s="226"/>
      <c r="AB146" s="226"/>
      <c r="AC146" s="226"/>
      <c r="AD146" s="226"/>
      <c r="AE146" s="226"/>
      <c r="AF146" s="226"/>
      <c r="AG146" s="226"/>
      <c r="AH146" s="226"/>
      <c r="AI146" s="226"/>
      <c r="AJ146" s="226"/>
      <c r="AK146" s="226"/>
      <c r="AL146" s="226"/>
      <c r="AM146" s="226"/>
      <c r="AN146" s="226"/>
      <c r="AO146" s="226"/>
      <c r="AP146" s="226"/>
      <c r="AQ146" s="226"/>
      <c r="AR146" s="226"/>
      <c r="AS146" s="226"/>
      <c r="AT146" s="226"/>
      <c r="AU146" s="226"/>
      <c r="AV146" s="226"/>
      <c r="AW146" s="226"/>
      <c r="AX146" s="226"/>
      <c r="AY146" s="226"/>
      <c r="AZ146" s="226"/>
      <c r="BA146" s="226"/>
      <c r="BB146" s="226"/>
      <c r="BC146" s="226"/>
      <c r="BD146" s="226"/>
      <c r="BE146" s="226"/>
      <c r="BF146" s="226"/>
      <c r="BG146" s="226"/>
      <c r="BH146" s="226"/>
      <c r="BI146" s="226"/>
      <c r="BJ146" s="226"/>
      <c r="BK146" s="226"/>
      <c r="BL146" s="226"/>
      <c r="BM146" s="226"/>
      <c r="BN146" s="226"/>
      <c r="BO146" s="226"/>
      <c r="BP146" s="226"/>
      <c r="BQ146" s="226"/>
      <c r="BR146" s="226"/>
      <c r="BS146" s="226"/>
      <c r="BT146" s="226"/>
      <c r="BU146" s="226"/>
      <c r="BV146" s="226"/>
      <c r="BW146" s="226"/>
      <c r="BX146" s="226"/>
      <c r="BY146" s="226"/>
      <c r="BZ146" s="226"/>
      <c r="CA146" s="226"/>
      <c r="CB146" s="226"/>
      <c r="CC146" s="226"/>
      <c r="CD146" s="226"/>
      <c r="CE146" s="226"/>
      <c r="CF146" s="226"/>
      <c r="CG146" s="226"/>
      <c r="CH146" s="226"/>
      <c r="CI146" s="226"/>
      <c r="CJ146" s="226"/>
      <c r="CK146" s="226"/>
      <c r="CL146" s="226"/>
      <c r="CM146" s="226"/>
      <c r="CN146" s="226"/>
      <c r="CO146" s="226"/>
      <c r="CP146" s="226"/>
      <c r="CQ146" s="226"/>
      <c r="CR146" s="226"/>
      <c r="CS146" s="226"/>
      <c r="CT146" s="226"/>
      <c r="CU146" s="226"/>
      <c r="CV146" s="226"/>
      <c r="CW146" s="226"/>
      <c r="CX146" s="226"/>
      <c r="CY146" s="226"/>
      <c r="CZ146" s="226"/>
      <c r="DA146" s="226"/>
      <c r="DB146" s="226"/>
      <c r="DC146" s="226"/>
      <c r="DD146" s="226"/>
      <c r="DE146" s="226"/>
      <c r="DF146" s="226"/>
      <c r="DG146" s="226"/>
      <c r="DH146" s="226"/>
      <c r="DI146" s="226"/>
      <c r="DJ146" s="226"/>
      <c r="DK146" s="226"/>
      <c r="DL146" s="226"/>
      <c r="DM146" s="226"/>
      <c r="DN146" s="226"/>
      <c r="DO146" s="226"/>
      <c r="DP146" s="226"/>
      <c r="DQ146" s="226"/>
      <c r="DR146" s="226"/>
      <c r="DS146" s="226"/>
      <c r="DT146" s="226"/>
      <c r="DU146" s="226"/>
      <c r="DV146" s="226"/>
      <c r="DW146" s="226"/>
      <c r="DX146" s="226"/>
      <c r="DY146" s="226"/>
      <c r="DZ146" s="226"/>
      <c r="EA146" s="226"/>
      <c r="EB146" s="226"/>
      <c r="EC146" s="226"/>
      <c r="ED146" s="226"/>
      <c r="EE146" s="226"/>
      <c r="EF146" s="226"/>
      <c r="EG146" s="226"/>
      <c r="EH146" s="226"/>
      <c r="EI146" s="226"/>
      <c r="EJ146" s="226"/>
      <c r="EK146" s="226"/>
      <c r="EL146" s="226"/>
      <c r="EM146" s="226"/>
      <c r="EN146" s="226"/>
      <c r="EO146" s="226"/>
      <c r="EP146" s="226"/>
      <c r="EQ146" s="226"/>
      <c r="ER146" s="226"/>
      <c r="ES146" s="226"/>
      <c r="ET146" s="226"/>
      <c r="EU146" s="226"/>
      <c r="EV146" s="226"/>
      <c r="EW146" s="226"/>
      <c r="EX146" s="226"/>
      <c r="EY146" s="226"/>
      <c r="EZ146" s="226"/>
      <c r="FA146" s="226"/>
      <c r="FB146" s="226"/>
      <c r="FC146" s="226"/>
      <c r="FD146" s="226"/>
      <c r="FE146" s="226"/>
      <c r="FF146" s="226"/>
      <c r="FG146" s="226"/>
      <c r="FH146" s="226"/>
      <c r="FI146" s="226"/>
      <c r="FJ146" s="226"/>
      <c r="FK146" s="226"/>
      <c r="FL146" s="226"/>
      <c r="FM146" s="226"/>
      <c r="FN146" s="226"/>
      <c r="FO146" s="226"/>
      <c r="FP146" s="226"/>
      <c r="FQ146" s="226"/>
      <c r="FR146" s="226"/>
      <c r="FS146" s="226"/>
      <c r="FT146" s="226"/>
      <c r="FU146" s="226"/>
      <c r="FV146" s="226"/>
      <c r="FW146" s="226"/>
      <c r="FX146" s="226"/>
      <c r="FY146" s="226"/>
      <c r="FZ146" s="226"/>
      <c r="GA146" s="226"/>
      <c r="GB146" s="226"/>
      <c r="GC146" s="226"/>
      <c r="GD146" s="226"/>
      <c r="GE146" s="226"/>
      <c r="GF146" s="226"/>
      <c r="GG146" s="226"/>
    </row>
    <row r="147" spans="1:189" s="225" customFormat="1" ht="15.95" customHeight="1">
      <c r="A147" s="406"/>
      <c r="B147" s="12"/>
      <c r="C147" s="13"/>
      <c r="D147" s="76"/>
      <c r="E147" s="374"/>
      <c r="F147" s="66"/>
      <c r="H147" s="259"/>
      <c r="I147" s="265"/>
      <c r="J147" s="259"/>
      <c r="K147" s="226"/>
      <c r="L147" s="226"/>
      <c r="M147" s="226"/>
      <c r="N147" s="226"/>
      <c r="O147" s="226"/>
      <c r="P147" s="226"/>
      <c r="Q147" s="226"/>
      <c r="R147" s="226"/>
      <c r="S147" s="226"/>
      <c r="T147" s="226"/>
      <c r="U147" s="226"/>
      <c r="V147" s="226"/>
      <c r="W147" s="226"/>
      <c r="X147" s="226"/>
      <c r="Y147" s="226"/>
      <c r="Z147" s="226"/>
      <c r="AA147" s="226"/>
      <c r="AB147" s="226"/>
      <c r="AC147" s="226"/>
      <c r="AD147" s="226"/>
      <c r="AE147" s="226"/>
      <c r="AF147" s="226"/>
      <c r="AG147" s="226"/>
      <c r="AH147" s="226"/>
      <c r="AI147" s="226"/>
      <c r="AJ147" s="226"/>
      <c r="AK147" s="226"/>
      <c r="AL147" s="226"/>
      <c r="AM147" s="226"/>
      <c r="AN147" s="226"/>
      <c r="AO147" s="226"/>
      <c r="AP147" s="226"/>
      <c r="AQ147" s="226"/>
      <c r="AR147" s="226"/>
      <c r="AS147" s="226"/>
      <c r="AT147" s="226"/>
      <c r="AU147" s="226"/>
      <c r="AV147" s="226"/>
      <c r="AW147" s="226"/>
      <c r="AX147" s="226"/>
      <c r="AY147" s="226"/>
      <c r="AZ147" s="226"/>
      <c r="BA147" s="226"/>
      <c r="BB147" s="226"/>
      <c r="BC147" s="226"/>
      <c r="BD147" s="226"/>
      <c r="BE147" s="226"/>
      <c r="BF147" s="226"/>
      <c r="BG147" s="226"/>
      <c r="BH147" s="226"/>
      <c r="BI147" s="226"/>
      <c r="BJ147" s="226"/>
      <c r="BK147" s="226"/>
      <c r="BL147" s="226"/>
      <c r="BM147" s="226"/>
      <c r="BN147" s="226"/>
      <c r="BO147" s="226"/>
      <c r="BP147" s="226"/>
      <c r="BQ147" s="226"/>
      <c r="BR147" s="226"/>
      <c r="BS147" s="226"/>
      <c r="BT147" s="226"/>
      <c r="BU147" s="226"/>
      <c r="BV147" s="226"/>
      <c r="BW147" s="226"/>
      <c r="BX147" s="226"/>
      <c r="BY147" s="226"/>
      <c r="BZ147" s="226"/>
      <c r="CA147" s="226"/>
      <c r="CB147" s="226"/>
      <c r="CC147" s="226"/>
      <c r="CD147" s="226"/>
      <c r="CE147" s="226"/>
      <c r="CF147" s="226"/>
      <c r="CG147" s="226"/>
      <c r="CH147" s="226"/>
      <c r="CI147" s="226"/>
      <c r="CJ147" s="226"/>
      <c r="CK147" s="226"/>
      <c r="CL147" s="226"/>
      <c r="CM147" s="226"/>
      <c r="CN147" s="226"/>
      <c r="CO147" s="226"/>
      <c r="CP147" s="226"/>
      <c r="CQ147" s="226"/>
      <c r="CR147" s="226"/>
      <c r="CS147" s="226"/>
      <c r="CT147" s="226"/>
      <c r="CU147" s="226"/>
      <c r="CV147" s="226"/>
      <c r="CW147" s="226"/>
      <c r="CX147" s="226"/>
      <c r="CY147" s="226"/>
      <c r="CZ147" s="226"/>
      <c r="DA147" s="226"/>
      <c r="DB147" s="226"/>
      <c r="DC147" s="226"/>
      <c r="DD147" s="226"/>
      <c r="DE147" s="226"/>
      <c r="DF147" s="226"/>
      <c r="DG147" s="226"/>
      <c r="DH147" s="226"/>
      <c r="DI147" s="226"/>
      <c r="DJ147" s="226"/>
      <c r="DK147" s="226"/>
      <c r="DL147" s="226"/>
      <c r="DM147" s="226"/>
      <c r="DN147" s="226"/>
      <c r="DO147" s="226"/>
      <c r="DP147" s="226"/>
      <c r="DQ147" s="226"/>
      <c r="DR147" s="226"/>
      <c r="DS147" s="226"/>
      <c r="DT147" s="226"/>
      <c r="DU147" s="226"/>
      <c r="DV147" s="226"/>
      <c r="DW147" s="226"/>
      <c r="DX147" s="226"/>
      <c r="DY147" s="226"/>
      <c r="DZ147" s="226"/>
      <c r="EA147" s="226"/>
      <c r="EB147" s="226"/>
      <c r="EC147" s="226"/>
      <c r="ED147" s="226"/>
      <c r="EE147" s="226"/>
      <c r="EF147" s="226"/>
      <c r="EG147" s="226"/>
      <c r="EH147" s="226"/>
      <c r="EI147" s="226"/>
      <c r="EJ147" s="226"/>
      <c r="EK147" s="226"/>
      <c r="EL147" s="226"/>
      <c r="EM147" s="226"/>
      <c r="EN147" s="226"/>
      <c r="EO147" s="226"/>
      <c r="EP147" s="226"/>
      <c r="EQ147" s="226"/>
      <c r="ER147" s="226"/>
      <c r="ES147" s="226"/>
      <c r="ET147" s="226"/>
      <c r="EU147" s="226"/>
      <c r="EV147" s="226"/>
      <c r="EW147" s="226"/>
      <c r="EX147" s="226"/>
      <c r="EY147" s="226"/>
      <c r="EZ147" s="226"/>
      <c r="FA147" s="226"/>
      <c r="FB147" s="226"/>
      <c r="FC147" s="226"/>
      <c r="FD147" s="226"/>
      <c r="FE147" s="226"/>
      <c r="FF147" s="226"/>
      <c r="FG147" s="226"/>
      <c r="FH147" s="226"/>
      <c r="FI147" s="226"/>
      <c r="FJ147" s="226"/>
      <c r="FK147" s="226"/>
      <c r="FL147" s="226"/>
      <c r="FM147" s="226"/>
      <c r="FN147" s="226"/>
      <c r="FO147" s="226"/>
      <c r="FP147" s="226"/>
      <c r="FQ147" s="226"/>
      <c r="FR147" s="226"/>
      <c r="FS147" s="226"/>
      <c r="FT147" s="226"/>
      <c r="FU147" s="226"/>
      <c r="FV147" s="226"/>
      <c r="FW147" s="226"/>
      <c r="FX147" s="226"/>
      <c r="FY147" s="226"/>
      <c r="FZ147" s="226"/>
      <c r="GA147" s="226"/>
      <c r="GB147" s="226"/>
      <c r="GC147" s="226"/>
      <c r="GD147" s="226"/>
      <c r="GE147" s="226"/>
      <c r="GF147" s="226"/>
      <c r="GG147" s="226"/>
    </row>
    <row r="148" spans="1:189" s="225" customFormat="1" ht="15.95" customHeight="1">
      <c r="A148" s="436" t="s">
        <v>17</v>
      </c>
      <c r="B148" s="3"/>
      <c r="C148" s="52" t="s">
        <v>98</v>
      </c>
      <c r="D148" s="86" t="s">
        <v>99</v>
      </c>
      <c r="E148" s="596" t="s">
        <v>100</v>
      </c>
      <c r="F148" s="241" t="s">
        <v>114</v>
      </c>
      <c r="H148" s="259">
        <v>0</v>
      </c>
      <c r="I148" s="265">
        <v>1.05</v>
      </c>
      <c r="J148" s="259">
        <f>H148*I148</f>
        <v>0</v>
      </c>
      <c r="K148" s="226"/>
      <c r="L148" s="226"/>
      <c r="M148" s="226"/>
      <c r="N148" s="226"/>
      <c r="O148" s="226"/>
      <c r="P148" s="226"/>
      <c r="Q148" s="226"/>
      <c r="R148" s="226"/>
      <c r="S148" s="226"/>
      <c r="T148" s="226"/>
      <c r="U148" s="226"/>
      <c r="V148" s="226"/>
      <c r="W148" s="226"/>
      <c r="X148" s="226"/>
      <c r="Y148" s="226"/>
      <c r="Z148" s="226"/>
      <c r="AA148" s="226"/>
      <c r="AB148" s="226"/>
      <c r="AC148" s="226"/>
      <c r="AD148" s="226"/>
      <c r="AE148" s="226"/>
      <c r="AF148" s="226"/>
      <c r="AG148" s="226"/>
      <c r="AH148" s="226"/>
      <c r="AI148" s="226"/>
      <c r="AJ148" s="226"/>
      <c r="AK148" s="226"/>
      <c r="AL148" s="226"/>
      <c r="AM148" s="226"/>
      <c r="AN148" s="226"/>
      <c r="AO148" s="226"/>
      <c r="AP148" s="226"/>
      <c r="AQ148" s="226"/>
      <c r="AR148" s="226"/>
      <c r="AS148" s="226"/>
      <c r="AT148" s="226"/>
      <c r="AU148" s="226"/>
      <c r="AV148" s="226"/>
      <c r="AW148" s="226"/>
      <c r="AX148" s="226"/>
      <c r="AY148" s="226"/>
      <c r="AZ148" s="226"/>
      <c r="BA148" s="226"/>
      <c r="BB148" s="226"/>
      <c r="BC148" s="226"/>
      <c r="BD148" s="226"/>
      <c r="BE148" s="226"/>
      <c r="BF148" s="226"/>
      <c r="BG148" s="226"/>
      <c r="BH148" s="226"/>
      <c r="BI148" s="226"/>
      <c r="BJ148" s="226"/>
      <c r="BK148" s="226"/>
      <c r="BL148" s="226"/>
      <c r="BM148" s="226"/>
      <c r="BN148" s="226"/>
      <c r="BO148" s="226"/>
      <c r="BP148" s="226"/>
      <c r="BQ148" s="226"/>
      <c r="BR148" s="226"/>
      <c r="BS148" s="226"/>
      <c r="BT148" s="226"/>
      <c r="BU148" s="226"/>
      <c r="BV148" s="226"/>
      <c r="BW148" s="226"/>
      <c r="BX148" s="226"/>
      <c r="BY148" s="226"/>
      <c r="BZ148" s="226"/>
      <c r="CA148" s="226"/>
      <c r="CB148" s="226"/>
      <c r="CC148" s="226"/>
      <c r="CD148" s="226"/>
      <c r="CE148" s="226"/>
      <c r="CF148" s="226"/>
      <c r="CG148" s="226"/>
      <c r="CH148" s="226"/>
      <c r="CI148" s="226"/>
      <c r="CJ148" s="226"/>
      <c r="CK148" s="226"/>
      <c r="CL148" s="226"/>
      <c r="CM148" s="226"/>
      <c r="CN148" s="226"/>
      <c r="CO148" s="226"/>
      <c r="CP148" s="226"/>
      <c r="CQ148" s="226"/>
      <c r="CR148" s="226"/>
      <c r="CS148" s="226"/>
      <c r="CT148" s="226"/>
      <c r="CU148" s="226"/>
      <c r="CV148" s="226"/>
      <c r="CW148" s="226"/>
      <c r="CX148" s="226"/>
      <c r="CY148" s="226"/>
      <c r="CZ148" s="226"/>
      <c r="DA148" s="226"/>
      <c r="DB148" s="226"/>
      <c r="DC148" s="226"/>
      <c r="DD148" s="226"/>
      <c r="DE148" s="226"/>
      <c r="DF148" s="226"/>
      <c r="DG148" s="226"/>
      <c r="DH148" s="226"/>
      <c r="DI148" s="226"/>
      <c r="DJ148" s="226"/>
      <c r="DK148" s="226"/>
      <c r="DL148" s="226"/>
      <c r="DM148" s="226"/>
      <c r="DN148" s="226"/>
      <c r="DO148" s="226"/>
      <c r="DP148" s="226"/>
      <c r="DQ148" s="226"/>
      <c r="DR148" s="226"/>
      <c r="DS148" s="226"/>
      <c r="DT148" s="226"/>
      <c r="DU148" s="226"/>
      <c r="DV148" s="226"/>
      <c r="DW148" s="226"/>
      <c r="DX148" s="226"/>
      <c r="DY148" s="226"/>
      <c r="DZ148" s="226"/>
      <c r="EA148" s="226"/>
      <c r="EB148" s="226"/>
      <c r="EC148" s="226"/>
      <c r="ED148" s="226"/>
      <c r="EE148" s="226"/>
      <c r="EF148" s="226"/>
      <c r="EG148" s="226"/>
      <c r="EH148" s="226"/>
      <c r="EI148" s="226"/>
      <c r="EJ148" s="226"/>
      <c r="EK148" s="226"/>
      <c r="EL148" s="226"/>
      <c r="EM148" s="226"/>
      <c r="EN148" s="226"/>
      <c r="EO148" s="226"/>
      <c r="EP148" s="226"/>
      <c r="EQ148" s="226"/>
      <c r="ER148" s="226"/>
      <c r="ES148" s="226"/>
      <c r="ET148" s="226"/>
      <c r="EU148" s="226"/>
      <c r="EV148" s="226"/>
      <c r="EW148" s="226"/>
      <c r="EX148" s="226"/>
      <c r="EY148" s="226"/>
      <c r="EZ148" s="226"/>
      <c r="FA148" s="226"/>
      <c r="FB148" s="226"/>
      <c r="FC148" s="226"/>
      <c r="FD148" s="226"/>
      <c r="FE148" s="226"/>
      <c r="FF148" s="226"/>
      <c r="FG148" s="226"/>
      <c r="FH148" s="226"/>
      <c r="FI148" s="226"/>
      <c r="FJ148" s="226"/>
      <c r="FK148" s="226"/>
      <c r="FL148" s="226"/>
      <c r="FM148" s="226"/>
      <c r="FN148" s="226"/>
      <c r="FO148" s="226"/>
      <c r="FP148" s="226"/>
      <c r="FQ148" s="226"/>
      <c r="FR148" s="226"/>
      <c r="FS148" s="226"/>
      <c r="FT148" s="226"/>
      <c r="FU148" s="226"/>
      <c r="FV148" s="226"/>
      <c r="FW148" s="226"/>
      <c r="FX148" s="226"/>
      <c r="FY148" s="226"/>
      <c r="FZ148" s="226"/>
      <c r="GA148" s="226"/>
      <c r="GB148" s="226"/>
      <c r="GC148" s="226"/>
      <c r="GD148" s="226"/>
      <c r="GE148" s="226"/>
      <c r="GF148" s="226"/>
      <c r="GG148" s="226"/>
    </row>
    <row r="149" spans="1:189" s="225" customFormat="1" ht="15.95" customHeight="1">
      <c r="A149" s="232" t="s">
        <v>18</v>
      </c>
      <c r="B149" s="125" t="s">
        <v>96</v>
      </c>
      <c r="C149" s="233"/>
      <c r="D149" s="234"/>
      <c r="E149" s="583"/>
      <c r="F149" s="63"/>
      <c r="H149" s="259"/>
      <c r="I149" s="265">
        <v>1.05</v>
      </c>
      <c r="J149" s="259">
        <f>H149*I149</f>
        <v>0</v>
      </c>
      <c r="K149" s="226"/>
      <c r="L149" s="226">
        <f>17500*657</f>
        <v>11497500</v>
      </c>
      <c r="M149" s="226"/>
      <c r="N149" s="226"/>
      <c r="O149" s="226"/>
      <c r="P149" s="226"/>
      <c r="Q149" s="226"/>
      <c r="R149" s="226"/>
      <c r="S149" s="226"/>
      <c r="T149" s="226"/>
      <c r="U149" s="226"/>
      <c r="V149" s="226"/>
      <c r="W149" s="226"/>
      <c r="X149" s="226"/>
      <c r="Y149" s="226"/>
      <c r="Z149" s="226"/>
      <c r="AA149" s="226"/>
      <c r="AB149" s="226"/>
      <c r="AC149" s="226"/>
      <c r="AD149" s="226"/>
      <c r="AE149" s="226"/>
      <c r="AF149" s="226"/>
      <c r="AG149" s="226"/>
      <c r="AH149" s="226"/>
      <c r="AI149" s="226"/>
      <c r="AJ149" s="226"/>
      <c r="AK149" s="226"/>
      <c r="AL149" s="226"/>
      <c r="AM149" s="226"/>
      <c r="AN149" s="226"/>
      <c r="AO149" s="226"/>
      <c r="AP149" s="226"/>
      <c r="AQ149" s="226"/>
      <c r="AR149" s="226"/>
      <c r="AS149" s="226"/>
      <c r="AT149" s="226"/>
      <c r="AU149" s="226"/>
      <c r="AV149" s="226"/>
      <c r="AW149" s="226"/>
      <c r="AX149" s="226"/>
      <c r="AY149" s="226"/>
      <c r="AZ149" s="226"/>
      <c r="BA149" s="226"/>
      <c r="BB149" s="226"/>
      <c r="BC149" s="226"/>
      <c r="BD149" s="226"/>
      <c r="BE149" s="226"/>
      <c r="BF149" s="226"/>
      <c r="BG149" s="226"/>
      <c r="BH149" s="226"/>
      <c r="BI149" s="226"/>
      <c r="BJ149" s="226"/>
      <c r="BK149" s="226"/>
      <c r="BL149" s="226"/>
      <c r="BM149" s="226"/>
      <c r="BN149" s="226"/>
      <c r="BO149" s="226"/>
      <c r="BP149" s="226"/>
      <c r="BQ149" s="226"/>
      <c r="BR149" s="226"/>
      <c r="BS149" s="226"/>
      <c r="BT149" s="226"/>
      <c r="BU149" s="226"/>
      <c r="BV149" s="226"/>
      <c r="BW149" s="226"/>
      <c r="BX149" s="226"/>
      <c r="BY149" s="226"/>
      <c r="BZ149" s="226"/>
      <c r="CA149" s="226"/>
      <c r="CB149" s="226"/>
      <c r="CC149" s="226"/>
      <c r="CD149" s="226"/>
      <c r="CE149" s="226"/>
      <c r="CF149" s="226"/>
      <c r="CG149" s="226"/>
      <c r="CH149" s="226"/>
      <c r="CI149" s="226"/>
      <c r="CJ149" s="226"/>
      <c r="CK149" s="226"/>
      <c r="CL149" s="226"/>
      <c r="CM149" s="226"/>
      <c r="CN149" s="226"/>
      <c r="CO149" s="226"/>
      <c r="CP149" s="226"/>
      <c r="CQ149" s="226"/>
      <c r="CR149" s="226"/>
      <c r="CS149" s="226"/>
      <c r="CT149" s="226"/>
      <c r="CU149" s="226"/>
      <c r="CV149" s="226"/>
      <c r="CW149" s="226"/>
      <c r="CX149" s="226"/>
      <c r="CY149" s="226"/>
      <c r="CZ149" s="226"/>
      <c r="DA149" s="226"/>
      <c r="DB149" s="226"/>
      <c r="DC149" s="226"/>
      <c r="DD149" s="226"/>
      <c r="DE149" s="226"/>
      <c r="DF149" s="226"/>
      <c r="DG149" s="226"/>
      <c r="DH149" s="226"/>
      <c r="DI149" s="226"/>
      <c r="DJ149" s="226"/>
      <c r="DK149" s="226"/>
      <c r="DL149" s="226"/>
      <c r="DM149" s="226"/>
      <c r="DN149" s="226"/>
      <c r="DO149" s="226"/>
      <c r="DP149" s="226"/>
      <c r="DQ149" s="226"/>
      <c r="DR149" s="226"/>
      <c r="DS149" s="226"/>
      <c r="DT149" s="226"/>
      <c r="DU149" s="226"/>
      <c r="DV149" s="226"/>
      <c r="DW149" s="226"/>
      <c r="DX149" s="226"/>
      <c r="DY149" s="226"/>
      <c r="DZ149" s="226"/>
      <c r="EA149" s="226"/>
      <c r="EB149" s="226"/>
      <c r="EC149" s="226"/>
      <c r="ED149" s="226"/>
      <c r="EE149" s="226"/>
      <c r="EF149" s="226"/>
      <c r="EG149" s="226"/>
      <c r="EH149" s="226"/>
      <c r="EI149" s="226"/>
      <c r="EJ149" s="226"/>
      <c r="EK149" s="226"/>
      <c r="EL149" s="226"/>
      <c r="EM149" s="226"/>
      <c r="EN149" s="226"/>
      <c r="EO149" s="226"/>
      <c r="EP149" s="226"/>
      <c r="EQ149" s="226"/>
      <c r="ER149" s="226"/>
      <c r="ES149" s="226"/>
      <c r="ET149" s="226"/>
      <c r="EU149" s="226"/>
      <c r="EV149" s="226"/>
      <c r="EW149" s="226"/>
      <c r="EX149" s="226"/>
      <c r="EY149" s="226"/>
      <c r="EZ149" s="226"/>
      <c r="FA149" s="226"/>
      <c r="FB149" s="226"/>
      <c r="FC149" s="226"/>
      <c r="FD149" s="226"/>
      <c r="FE149" s="226"/>
      <c r="FF149" s="226"/>
      <c r="FG149" s="226"/>
      <c r="FH149" s="226"/>
      <c r="FI149" s="226"/>
      <c r="FJ149" s="226"/>
      <c r="FK149" s="226"/>
      <c r="FL149" s="226"/>
      <c r="FM149" s="226"/>
      <c r="FN149" s="226"/>
      <c r="FO149" s="226"/>
      <c r="FP149" s="226"/>
      <c r="FQ149" s="226"/>
      <c r="FR149" s="226"/>
      <c r="FS149" s="226"/>
      <c r="FT149" s="226"/>
      <c r="FU149" s="226"/>
      <c r="FV149" s="226"/>
      <c r="FW149" s="226"/>
      <c r="FX149" s="226"/>
      <c r="FY149" s="226"/>
      <c r="FZ149" s="226"/>
      <c r="GA149" s="226"/>
      <c r="GB149" s="226"/>
      <c r="GC149" s="226"/>
      <c r="GD149" s="226"/>
      <c r="GE149" s="226"/>
      <c r="GF149" s="226"/>
      <c r="GG149" s="226"/>
    </row>
    <row r="150" spans="1:189" ht="24.75" customHeight="1">
      <c r="A150" s="17" t="s">
        <v>192</v>
      </c>
      <c r="B150" s="39" t="s">
        <v>193</v>
      </c>
      <c r="C150" s="235" t="s">
        <v>27</v>
      </c>
      <c r="D150" s="235">
        <f>J154</f>
        <v>112.42</v>
      </c>
      <c r="E150" s="587" t="e">
        <f>#REF!</f>
        <v>#REF!</v>
      </c>
      <c r="F150" s="65" t="e">
        <f>+D150*E150</f>
        <v>#REF!</v>
      </c>
      <c r="J150" s="259"/>
    </row>
    <row r="151" spans="1:189" ht="15.95" customHeight="1">
      <c r="A151" s="17" t="s">
        <v>194</v>
      </c>
      <c r="B151" s="39" t="s">
        <v>196</v>
      </c>
      <c r="C151" s="153" t="s">
        <v>27</v>
      </c>
      <c r="D151" s="108">
        <f>D150</f>
        <v>112.42</v>
      </c>
      <c r="E151" s="587" t="e">
        <f>#REF!</f>
        <v>#REF!</v>
      </c>
      <c r="F151" s="65" t="e">
        <f>+D151*E151</f>
        <v>#REF!</v>
      </c>
      <c r="J151" s="259"/>
      <c r="L151" s="129">
        <f>17500/22</f>
        <v>795.4545454545455</v>
      </c>
    </row>
    <row r="152" spans="1:189" ht="24" customHeight="1">
      <c r="A152" s="36" t="s">
        <v>236</v>
      </c>
      <c r="B152" s="49" t="s">
        <v>274</v>
      </c>
      <c r="C152" s="113" t="s">
        <v>624</v>
      </c>
      <c r="D152" s="107">
        <v>1</v>
      </c>
      <c r="E152" s="586" t="e">
        <f>50%*#REF!</f>
        <v>#REF!</v>
      </c>
      <c r="F152" s="64" t="e">
        <f>+D152*E152</f>
        <v>#REF!</v>
      </c>
      <c r="J152" s="259"/>
    </row>
    <row r="153" spans="1:189" ht="15.95" customHeight="1">
      <c r="A153" s="232" t="s">
        <v>208</v>
      </c>
      <c r="B153" s="125" t="s">
        <v>154</v>
      </c>
      <c r="C153" s="233"/>
      <c r="D153" s="234"/>
      <c r="E153" s="583"/>
      <c r="F153" s="63"/>
      <c r="J153" s="259"/>
    </row>
    <row r="154" spans="1:189" ht="15.95" customHeight="1">
      <c r="A154" s="17"/>
      <c r="B154" s="39"/>
      <c r="C154" s="235" t="s">
        <v>1</v>
      </c>
      <c r="D154" s="235">
        <f>J158</f>
        <v>0</v>
      </c>
      <c r="E154" s="587" t="e">
        <f>#REF!</f>
        <v>#REF!</v>
      </c>
      <c r="F154" s="65" t="e">
        <f>+D154*E154</f>
        <v>#REF!</v>
      </c>
      <c r="H154" s="255">
        <f>+H38</f>
        <v>107.06666666666666</v>
      </c>
      <c r="I154" s="262">
        <v>1.05</v>
      </c>
      <c r="J154" s="259">
        <f>H154*I154</f>
        <v>112.42</v>
      </c>
    </row>
    <row r="155" spans="1:189" ht="15.95" customHeight="1">
      <c r="A155" s="232" t="s">
        <v>209</v>
      </c>
      <c r="B155" s="125" t="s">
        <v>155</v>
      </c>
      <c r="C155" s="233"/>
      <c r="D155" s="234"/>
      <c r="E155" s="583"/>
      <c r="F155" s="63"/>
    </row>
    <row r="156" spans="1:189" ht="15.95" customHeight="1">
      <c r="A156" s="17"/>
      <c r="B156" s="39"/>
      <c r="C156" s="235" t="s">
        <v>1</v>
      </c>
      <c r="D156" s="235">
        <f>D154</f>
        <v>0</v>
      </c>
      <c r="E156" s="587" t="e">
        <f>#REF!</f>
        <v>#REF!</v>
      </c>
      <c r="F156" s="65" t="e">
        <f>+D156*E156</f>
        <v>#REF!</v>
      </c>
    </row>
    <row r="157" spans="1:189" ht="15.95" customHeight="1">
      <c r="A157" s="232">
        <v>604</v>
      </c>
      <c r="B157" s="43" t="s">
        <v>164</v>
      </c>
      <c r="C157" s="133"/>
      <c r="D157" s="133"/>
      <c r="E157" s="605"/>
      <c r="F157" s="109"/>
    </row>
    <row r="158" spans="1:189" ht="15" customHeight="1">
      <c r="A158" s="47" t="s">
        <v>224</v>
      </c>
      <c r="B158" s="123" t="s">
        <v>223</v>
      </c>
      <c r="C158" s="261" t="s">
        <v>27</v>
      </c>
      <c r="D158" s="151">
        <v>0</v>
      </c>
      <c r="E158" s="590" t="e">
        <f>#REF!</f>
        <v>#REF!</v>
      </c>
      <c r="F158" s="108" t="e">
        <f>+D158*E158</f>
        <v>#REF!</v>
      </c>
      <c r="H158" s="255">
        <v>0</v>
      </c>
      <c r="I158" s="262">
        <v>1.05</v>
      </c>
      <c r="J158" s="255">
        <f>ROUND(H158*I158,0)</f>
        <v>0</v>
      </c>
    </row>
    <row r="159" spans="1:189" ht="15.95" customHeight="1">
      <c r="A159" s="260" t="s">
        <v>225</v>
      </c>
      <c r="B159" s="24" t="s">
        <v>226</v>
      </c>
      <c r="C159" s="154" t="s">
        <v>27</v>
      </c>
      <c r="D159" s="134">
        <v>0</v>
      </c>
      <c r="E159" s="606" t="e">
        <f>#REF!</f>
        <v>#REF!</v>
      </c>
      <c r="F159" s="107" t="e">
        <f>+D159*E159</f>
        <v>#REF!</v>
      </c>
    </row>
    <row r="160" spans="1:189" ht="15" customHeight="1">
      <c r="A160" s="47">
        <v>605</v>
      </c>
      <c r="B160" s="26" t="s">
        <v>156</v>
      </c>
      <c r="C160" s="151"/>
      <c r="D160" s="151"/>
      <c r="E160" s="590"/>
      <c r="F160" s="109"/>
      <c r="H160" s="255">
        <v>0</v>
      </c>
      <c r="I160" s="262">
        <v>1.05</v>
      </c>
      <c r="J160" s="255">
        <f>ROUND(H160*I160,0)</f>
        <v>0</v>
      </c>
    </row>
    <row r="161" spans="1:12" ht="15.95" customHeight="1">
      <c r="A161" s="444"/>
      <c r="B161" s="24"/>
      <c r="C161" s="304" t="s">
        <v>95</v>
      </c>
      <c r="D161" s="528">
        <f>+J161</f>
        <v>9405</v>
      </c>
      <c r="E161" s="607" t="e">
        <f>#REF!</f>
        <v>#REF!</v>
      </c>
      <c r="F161" s="140" t="e">
        <f>+D161*E161</f>
        <v>#REF!</v>
      </c>
      <c r="H161" s="255">
        <f>2115*2 +(3*12*60)*2</f>
        <v>8550</v>
      </c>
      <c r="I161" s="262">
        <v>1.1000000000000001</v>
      </c>
      <c r="J161" s="255">
        <f>+H161*I161</f>
        <v>9405</v>
      </c>
    </row>
    <row r="162" spans="1:12" ht="15.95" customHeight="1">
      <c r="A162" s="47">
        <v>608</v>
      </c>
      <c r="B162" s="26" t="s">
        <v>157</v>
      </c>
      <c r="C162" s="305"/>
      <c r="D162" s="161"/>
      <c r="E162" s="581"/>
      <c r="F162" s="161"/>
    </row>
    <row r="163" spans="1:12" ht="15.95" customHeight="1">
      <c r="A163" s="444"/>
      <c r="B163" s="9"/>
      <c r="C163" s="168" t="s">
        <v>1</v>
      </c>
      <c r="D163" s="185"/>
      <c r="E163" s="582"/>
      <c r="F163" s="185"/>
    </row>
    <row r="164" spans="1:12" ht="26.25" customHeight="1">
      <c r="A164" s="47">
        <v>609</v>
      </c>
      <c r="B164" s="27" t="s">
        <v>158</v>
      </c>
      <c r="C164" s="305"/>
      <c r="D164" s="161"/>
      <c r="E164" s="581"/>
      <c r="F164" s="161"/>
    </row>
    <row r="165" spans="1:12" ht="15.95" customHeight="1">
      <c r="A165" s="444"/>
      <c r="B165" s="9"/>
      <c r="C165" s="168" t="s">
        <v>95</v>
      </c>
      <c r="D165" s="185">
        <f>+J165</f>
        <v>1131.9000000000001</v>
      </c>
      <c r="E165" s="582" t="e">
        <f>#REF!</f>
        <v>#REF!</v>
      </c>
      <c r="F165" s="167" t="e">
        <f>+D165*E165</f>
        <v>#REF!</v>
      </c>
      <c r="H165" s="255">
        <f>+D69*L165</f>
        <v>1029</v>
      </c>
      <c r="I165" s="262">
        <v>1.1000000000000001</v>
      </c>
      <c r="J165" s="255">
        <f>+H165*I165</f>
        <v>1131.9000000000001</v>
      </c>
      <c r="K165" s="199" t="s">
        <v>553</v>
      </c>
      <c r="L165" s="199">
        <v>0.2</v>
      </c>
    </row>
    <row r="166" spans="1:12" ht="27" customHeight="1">
      <c r="A166" s="47">
        <v>610</v>
      </c>
      <c r="B166" s="27" t="s">
        <v>293</v>
      </c>
      <c r="C166" s="162"/>
      <c r="D166" s="140"/>
      <c r="E166" s="589"/>
      <c r="F166" s="140"/>
    </row>
    <row r="167" spans="1:12" ht="15.95" customHeight="1">
      <c r="A167" s="444"/>
      <c r="B167" s="9"/>
      <c r="C167" s="168" t="s">
        <v>27</v>
      </c>
      <c r="D167" s="391">
        <v>2</v>
      </c>
      <c r="E167" s="582" t="e">
        <f>#REF!</f>
        <v>#REF!</v>
      </c>
      <c r="F167" s="185" t="e">
        <f>+D167*E167</f>
        <v>#REF!</v>
      </c>
    </row>
    <row r="168" spans="1:12" ht="15.95" customHeight="1">
      <c r="A168" s="47" t="e">
        <f>+#REF!</f>
        <v>#REF!</v>
      </c>
      <c r="B168" s="27" t="e">
        <f>+#REF!</f>
        <v>#REF!</v>
      </c>
      <c r="C168" s="305"/>
      <c r="D168" s="161"/>
      <c r="E168" s="581"/>
      <c r="F168" s="161"/>
    </row>
    <row r="169" spans="1:12" ht="15.95" customHeight="1">
      <c r="A169" s="444"/>
      <c r="B169" s="9"/>
      <c r="C169" s="168" t="s">
        <v>27</v>
      </c>
      <c r="D169" s="185">
        <v>0</v>
      </c>
      <c r="E169" s="582" t="e">
        <f>+#REF!</f>
        <v>#REF!</v>
      </c>
      <c r="F169" s="167" t="e">
        <f>+D169*E169</f>
        <v>#REF!</v>
      </c>
    </row>
    <row r="170" spans="1:12" ht="24" customHeight="1">
      <c r="C170" s="157"/>
      <c r="D170" s="130"/>
      <c r="E170" s="608" t="s">
        <v>112</v>
      </c>
      <c r="F170" s="132" t="e">
        <f>SUM(F149:F169)</f>
        <v>#REF!</v>
      </c>
    </row>
    <row r="171" spans="1:12" ht="15.95" customHeight="1">
      <c r="D171" s="75"/>
      <c r="E171" s="593"/>
      <c r="F171" s="62"/>
    </row>
    <row r="172" spans="1:12" ht="18.75">
      <c r="C172" s="95"/>
      <c r="D172" s="92"/>
      <c r="E172" s="580" t="s">
        <v>279</v>
      </c>
      <c r="F172" s="96" t="e">
        <f>+F57+F70+F91+F146+F170</f>
        <v>#REF!</v>
      </c>
    </row>
    <row r="173" spans="1:12" ht="15.95" customHeight="1"/>
    <row r="174" spans="1:12" ht="24.75" customHeight="1">
      <c r="A174" s="436" t="s">
        <v>115</v>
      </c>
      <c r="B174" s="33"/>
      <c r="C174" s="52" t="s">
        <v>98</v>
      </c>
      <c r="D174" s="70" t="s">
        <v>99</v>
      </c>
      <c r="E174" s="596" t="s">
        <v>100</v>
      </c>
      <c r="F174" s="241" t="s">
        <v>116</v>
      </c>
      <c r="J174" s="255">
        <f>30*2</f>
        <v>60</v>
      </c>
    </row>
    <row r="175" spans="1:12" ht="12" customHeight="1">
      <c r="A175" s="437" t="s">
        <v>117</v>
      </c>
      <c r="B175" s="27" t="s">
        <v>118</v>
      </c>
      <c r="C175" s="109"/>
      <c r="D175" s="109"/>
      <c r="E175" s="583"/>
      <c r="F175" s="63"/>
    </row>
    <row r="176" spans="1:12" ht="25.5" customHeight="1">
      <c r="A176" s="36"/>
      <c r="B176" s="31"/>
      <c r="C176" s="113" t="s">
        <v>119</v>
      </c>
      <c r="D176" s="113">
        <v>0</v>
      </c>
      <c r="E176" s="592">
        <v>25000000</v>
      </c>
      <c r="F176" s="64">
        <f>+D176*E176</f>
        <v>0</v>
      </c>
    </row>
    <row r="177" spans="1:189" ht="15.75">
      <c r="A177" s="437" t="s">
        <v>120</v>
      </c>
      <c r="B177" s="6" t="s">
        <v>121</v>
      </c>
      <c r="C177" s="108"/>
      <c r="D177" s="108"/>
      <c r="E177" s="587"/>
      <c r="F177" s="65"/>
    </row>
    <row r="178" spans="1:189" ht="24.75" customHeight="1">
      <c r="A178" s="36"/>
      <c r="B178" s="31"/>
      <c r="C178" s="113" t="s">
        <v>119</v>
      </c>
      <c r="D178" s="113">
        <v>0</v>
      </c>
      <c r="E178" s="592">
        <v>50000000</v>
      </c>
      <c r="F178" s="64">
        <f>+D178*E178</f>
        <v>0</v>
      </c>
    </row>
    <row r="179" spans="1:189" ht="15.95" customHeight="1">
      <c r="A179" s="407"/>
      <c r="B179" s="27"/>
      <c r="C179" s="95"/>
      <c r="D179" s="92"/>
      <c r="E179" s="580" t="s">
        <v>122</v>
      </c>
      <c r="F179" s="94">
        <f>SUM(F176:F178)</f>
        <v>0</v>
      </c>
    </row>
    <row r="180" spans="1:189" ht="15.95" customHeight="1"/>
    <row r="181" spans="1:189" ht="15.95" customHeight="1">
      <c r="A181" s="445"/>
      <c r="B181" s="287"/>
      <c r="C181" s="288"/>
      <c r="D181" s="289"/>
      <c r="E181" s="591" t="s">
        <v>280</v>
      </c>
      <c r="F181" s="96" t="e">
        <f>F179+F172+F29</f>
        <v>#REF!</v>
      </c>
    </row>
    <row r="182" spans="1:189" ht="15.95" customHeight="1"/>
    <row r="183" spans="1:189" ht="23.25" customHeight="1"/>
    <row r="185" spans="1:189" s="287" customFormat="1" ht="25.5" customHeight="1">
      <c r="A185" s="421"/>
      <c r="B185" s="142"/>
      <c r="C185" s="142"/>
      <c r="D185" s="142"/>
      <c r="E185" s="374"/>
      <c r="F185" s="142"/>
      <c r="H185" s="291"/>
      <c r="I185" s="292"/>
      <c r="J185" s="291"/>
      <c r="K185" s="293"/>
      <c r="L185" s="293"/>
      <c r="M185" s="293"/>
      <c r="N185" s="293"/>
      <c r="O185" s="293"/>
      <c r="P185" s="293"/>
      <c r="Q185" s="293"/>
      <c r="R185" s="293"/>
      <c r="S185" s="293"/>
      <c r="T185" s="293"/>
      <c r="U185" s="293"/>
      <c r="V185" s="293"/>
      <c r="W185" s="293"/>
      <c r="X185" s="293"/>
      <c r="Y185" s="293"/>
      <c r="Z185" s="293"/>
      <c r="AA185" s="293"/>
      <c r="AB185" s="293"/>
      <c r="AC185" s="293"/>
      <c r="AD185" s="293"/>
      <c r="AE185" s="293"/>
      <c r="AF185" s="293"/>
      <c r="AG185" s="293"/>
      <c r="AH185" s="293"/>
      <c r="AI185" s="293"/>
      <c r="AJ185" s="293"/>
      <c r="AK185" s="293"/>
      <c r="AL185" s="293"/>
      <c r="AM185" s="293"/>
      <c r="AN185" s="293"/>
      <c r="AO185" s="293"/>
      <c r="AP185" s="293"/>
      <c r="AQ185" s="293"/>
      <c r="AR185" s="293"/>
      <c r="AS185" s="293"/>
      <c r="AT185" s="293"/>
      <c r="AU185" s="293"/>
      <c r="AV185" s="293"/>
      <c r="AW185" s="293"/>
      <c r="AX185" s="293"/>
      <c r="AY185" s="293"/>
      <c r="AZ185" s="293"/>
      <c r="BA185" s="293"/>
      <c r="BB185" s="293"/>
      <c r="BC185" s="293"/>
      <c r="BD185" s="293"/>
      <c r="BE185" s="293"/>
      <c r="BF185" s="293"/>
      <c r="BG185" s="293"/>
      <c r="BH185" s="293"/>
      <c r="BI185" s="293"/>
      <c r="BJ185" s="293"/>
      <c r="BK185" s="293"/>
      <c r="BL185" s="293"/>
      <c r="BM185" s="293"/>
      <c r="BN185" s="293"/>
      <c r="BO185" s="293"/>
      <c r="BP185" s="293"/>
      <c r="BQ185" s="293"/>
      <c r="BR185" s="293"/>
      <c r="BS185" s="293"/>
      <c r="BT185" s="293"/>
      <c r="BU185" s="293"/>
      <c r="BV185" s="293"/>
      <c r="BW185" s="293"/>
      <c r="BX185" s="293"/>
      <c r="BY185" s="293"/>
      <c r="BZ185" s="293"/>
      <c r="CA185" s="293"/>
      <c r="CB185" s="293"/>
      <c r="CC185" s="293"/>
      <c r="CD185" s="293"/>
      <c r="CE185" s="293"/>
      <c r="CF185" s="293"/>
      <c r="CG185" s="293"/>
      <c r="CH185" s="293"/>
      <c r="CI185" s="293"/>
      <c r="CJ185" s="293"/>
      <c r="CK185" s="293"/>
      <c r="CL185" s="293"/>
      <c r="CM185" s="293"/>
      <c r="CN185" s="293"/>
      <c r="CO185" s="293"/>
      <c r="CP185" s="293"/>
      <c r="CQ185" s="293"/>
      <c r="CR185" s="293"/>
      <c r="CS185" s="293"/>
      <c r="CT185" s="293"/>
      <c r="CU185" s="293"/>
      <c r="CV185" s="293"/>
      <c r="CW185" s="293"/>
      <c r="CX185" s="293"/>
      <c r="CY185" s="293"/>
      <c r="CZ185" s="293"/>
      <c r="DA185" s="293"/>
      <c r="DB185" s="293"/>
      <c r="DC185" s="293"/>
      <c r="DD185" s="293"/>
      <c r="DE185" s="293"/>
      <c r="DF185" s="293"/>
      <c r="DG185" s="293"/>
      <c r="DH185" s="293"/>
      <c r="DI185" s="293"/>
      <c r="DJ185" s="293"/>
      <c r="DK185" s="293"/>
      <c r="DL185" s="293"/>
      <c r="DM185" s="293"/>
      <c r="DN185" s="293"/>
      <c r="DO185" s="293"/>
      <c r="DP185" s="293"/>
      <c r="DQ185" s="293"/>
      <c r="DR185" s="293"/>
      <c r="DS185" s="293"/>
      <c r="DT185" s="293"/>
      <c r="DU185" s="293"/>
      <c r="DV185" s="293"/>
      <c r="DW185" s="293"/>
      <c r="DX185" s="293"/>
      <c r="DY185" s="293"/>
      <c r="DZ185" s="293"/>
      <c r="EA185" s="293"/>
      <c r="EB185" s="293"/>
      <c r="EC185" s="293"/>
      <c r="ED185" s="293"/>
      <c r="EE185" s="293"/>
      <c r="EF185" s="293"/>
      <c r="EG185" s="293"/>
      <c r="EH185" s="293"/>
      <c r="EI185" s="293"/>
      <c r="EJ185" s="293"/>
      <c r="EK185" s="293"/>
      <c r="EL185" s="293"/>
      <c r="EM185" s="293"/>
      <c r="EN185" s="293"/>
      <c r="EO185" s="293"/>
      <c r="EP185" s="293"/>
      <c r="EQ185" s="293"/>
      <c r="ER185" s="293"/>
      <c r="ES185" s="293"/>
      <c r="ET185" s="293"/>
      <c r="EU185" s="293"/>
      <c r="EV185" s="293"/>
      <c r="EW185" s="293"/>
      <c r="EX185" s="293"/>
      <c r="EY185" s="293"/>
      <c r="EZ185" s="293"/>
      <c r="FA185" s="293"/>
      <c r="FB185" s="293"/>
      <c r="FC185" s="293"/>
      <c r="FD185" s="293"/>
      <c r="FE185" s="293"/>
      <c r="FF185" s="293"/>
      <c r="FG185" s="293"/>
      <c r="FH185" s="293"/>
      <c r="FI185" s="293"/>
      <c r="FJ185" s="293"/>
      <c r="FK185" s="293"/>
      <c r="FL185" s="293"/>
      <c r="FM185" s="293"/>
      <c r="FN185" s="293"/>
      <c r="FO185" s="293"/>
      <c r="FP185" s="293"/>
      <c r="FQ185" s="293"/>
      <c r="FR185" s="293"/>
      <c r="FS185" s="293"/>
      <c r="FT185" s="293"/>
      <c r="FU185" s="293"/>
      <c r="FV185" s="293"/>
      <c r="FW185" s="293"/>
      <c r="FX185" s="293"/>
      <c r="FY185" s="293"/>
      <c r="FZ185" s="293"/>
      <c r="GA185" s="293"/>
      <c r="GB185" s="293"/>
      <c r="GC185" s="293"/>
      <c r="GD185" s="293"/>
      <c r="GE185" s="293"/>
      <c r="GF185" s="293"/>
      <c r="GG185" s="293"/>
    </row>
    <row r="192" spans="1:189" ht="19.5">
      <c r="A192" s="434"/>
      <c r="D192" s="62"/>
      <c r="E192" s="593"/>
      <c r="F192" s="99"/>
    </row>
    <row r="193" spans="2:6" ht="26.25">
      <c r="B193" s="1859"/>
      <c r="C193" s="1859"/>
      <c r="D193" s="1859"/>
      <c r="E193" s="1859"/>
      <c r="F193" s="1859"/>
    </row>
  </sheetData>
  <mergeCells count="2">
    <mergeCell ref="A2:F2"/>
    <mergeCell ref="B193:F193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  <rowBreaks count="2" manualBreakCount="2">
    <brk id="31" max="6" man="1"/>
    <brk id="151" max="6" man="1"/>
  </rowBreaks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7030A0"/>
  </sheetPr>
  <dimension ref="A1:I42"/>
  <sheetViews>
    <sheetView workbookViewId="0"/>
  </sheetViews>
  <sheetFormatPr baseColWidth="10" defaultColWidth="9.140625" defaultRowHeight="15"/>
  <cols>
    <col min="1" max="1" width="8.42578125" style="142" customWidth="1"/>
    <col min="2" max="2" width="4.42578125" style="142" customWidth="1"/>
    <col min="3" max="3" width="68.42578125" style="142" customWidth="1"/>
    <col min="4" max="4" width="10.85546875" style="142" customWidth="1"/>
    <col min="5" max="5" width="15.42578125" style="142" customWidth="1"/>
    <col min="6" max="6" width="17.140625" style="142" customWidth="1"/>
    <col min="7" max="7" width="26.140625" style="142" customWidth="1"/>
    <col min="8" max="8" width="17.28515625" style="142" customWidth="1"/>
    <col min="9" max="9" width="25.7109375" style="142" customWidth="1"/>
    <col min="10" max="16384" width="9.140625" style="142"/>
  </cols>
  <sheetData>
    <row r="1" spans="1:9" ht="20.25" thickBot="1">
      <c r="A1" s="90" t="s">
        <v>105</v>
      </c>
      <c r="G1" s="62"/>
      <c r="H1" s="62"/>
      <c r="I1" s="99"/>
    </row>
    <row r="2" spans="1:9" ht="25.5" thickBot="1">
      <c r="A2" s="1860" t="s">
        <v>421</v>
      </c>
      <c r="B2" s="1861"/>
      <c r="C2" s="1861"/>
      <c r="D2" s="1861"/>
      <c r="E2" s="1861"/>
      <c r="F2" s="1861"/>
      <c r="G2" s="1862"/>
      <c r="H2" s="135"/>
      <c r="I2" s="135"/>
    </row>
    <row r="4" spans="1:9">
      <c r="F4" s="99" t="s">
        <v>177</v>
      </c>
      <c r="G4" s="136" t="e">
        <f>#REF!</f>
        <v>#REF!</v>
      </c>
    </row>
    <row r="5" spans="1:9">
      <c r="F5" s="99" t="s">
        <v>176</v>
      </c>
      <c r="G5" s="136" t="e">
        <f>#REF!</f>
        <v>#REF!</v>
      </c>
    </row>
    <row r="6" spans="1:9">
      <c r="F6" s="99" t="s">
        <v>198</v>
      </c>
      <c r="G6" s="136" t="e">
        <f>#REF!</f>
        <v>#REF!</v>
      </c>
    </row>
    <row r="7" spans="1:9">
      <c r="F7" s="99" t="s">
        <v>197</v>
      </c>
      <c r="G7" s="136" t="e">
        <f>#REF!</f>
        <v>#REF!</v>
      </c>
    </row>
    <row r="8" spans="1:9">
      <c r="F8" s="99" t="s">
        <v>277</v>
      </c>
      <c r="G8" s="136" t="e">
        <f>#REF!</f>
        <v>#REF!</v>
      </c>
    </row>
    <row r="9" spans="1:9">
      <c r="F9" s="394" t="s">
        <v>552</v>
      </c>
      <c r="G9" s="136" t="e">
        <f>#REF!</f>
        <v>#REF!</v>
      </c>
    </row>
    <row r="10" spans="1:9" ht="22.5" customHeight="1">
      <c r="A10" s="1" t="s">
        <v>166</v>
      </c>
      <c r="B10" s="2"/>
      <c r="C10" s="3"/>
      <c r="D10" s="52" t="s">
        <v>98</v>
      </c>
      <c r="E10" s="70" t="s">
        <v>99</v>
      </c>
      <c r="F10" s="71" t="s">
        <v>100</v>
      </c>
      <c r="G10" s="71" t="s">
        <v>114</v>
      </c>
    </row>
    <row r="11" spans="1:9" ht="15.75">
      <c r="A11" s="4" t="s">
        <v>0</v>
      </c>
      <c r="B11" s="5"/>
      <c r="C11" s="6" t="s">
        <v>168</v>
      </c>
      <c r="D11" s="158"/>
      <c r="E11" s="159"/>
      <c r="F11" s="160"/>
      <c r="G11" s="161"/>
    </row>
    <row r="12" spans="1:9" ht="15.75">
      <c r="A12" s="4" t="s">
        <v>167</v>
      </c>
      <c r="B12" s="5"/>
      <c r="C12" s="12" t="s">
        <v>171</v>
      </c>
      <c r="D12" s="162" t="s">
        <v>94</v>
      </c>
      <c r="E12" s="163" t="e">
        <f>G4</f>
        <v>#REF!</v>
      </c>
      <c r="F12" s="164">
        <f>'[3]BPU préf'!E8</f>
        <v>11000</v>
      </c>
      <c r="G12" s="164" t="e">
        <f>E12*F12</f>
        <v>#REF!</v>
      </c>
    </row>
    <row r="13" spans="1:9" ht="15.75">
      <c r="A13" s="22" t="s">
        <v>169</v>
      </c>
      <c r="B13" s="30"/>
      <c r="C13" s="24" t="s">
        <v>170</v>
      </c>
      <c r="D13" s="165" t="s">
        <v>94</v>
      </c>
      <c r="E13" s="166" t="e">
        <f>G5</f>
        <v>#REF!</v>
      </c>
      <c r="F13" s="167">
        <f>'[3]BPU préf'!E9</f>
        <v>9300</v>
      </c>
      <c r="G13" s="167" t="e">
        <f>E13*F13</f>
        <v>#REF!</v>
      </c>
    </row>
    <row r="14" spans="1:9" ht="18.75">
      <c r="A14" s="110"/>
      <c r="B14" s="5"/>
      <c r="C14" s="12"/>
      <c r="D14" s="95"/>
      <c r="E14" s="92"/>
      <c r="F14" s="93" t="s">
        <v>106</v>
      </c>
      <c r="G14" s="94" t="e">
        <f>SUM(G12:G13)</f>
        <v>#REF!</v>
      </c>
    </row>
    <row r="15" spans="1:9" ht="15.75">
      <c r="A15" s="10"/>
      <c r="B15" s="11"/>
      <c r="C15" s="12"/>
      <c r="D15" s="51"/>
      <c r="E15" s="12"/>
      <c r="F15" s="51"/>
      <c r="G15" s="121"/>
    </row>
    <row r="16" spans="1:9" ht="22.5" customHeight="1">
      <c r="A16" s="1" t="s">
        <v>175</v>
      </c>
      <c r="B16" s="2"/>
      <c r="C16" s="3"/>
      <c r="D16" s="52" t="s">
        <v>98</v>
      </c>
      <c r="E16" s="70" t="s">
        <v>99</v>
      </c>
      <c r="F16" s="71" t="s">
        <v>100</v>
      </c>
      <c r="G16" s="71" t="s">
        <v>114</v>
      </c>
    </row>
    <row r="17" spans="1:7" ht="15.75">
      <c r="A17" s="41">
        <v>201</v>
      </c>
      <c r="B17" s="42"/>
      <c r="C17" s="43" t="s">
        <v>199</v>
      </c>
      <c r="D17" s="170" t="s">
        <v>1</v>
      </c>
      <c r="E17" s="171" t="e">
        <f>G7</f>
        <v>#REF!</v>
      </c>
      <c r="F17" s="172">
        <f>'[3]BPU préf'!E12</f>
        <v>7514</v>
      </c>
      <c r="G17" s="173" t="e">
        <f>E17*F17</f>
        <v>#REF!</v>
      </c>
    </row>
    <row r="18" spans="1:7" ht="15.75">
      <c r="A18" s="17">
        <v>202</v>
      </c>
      <c r="B18" s="5"/>
      <c r="C18" s="26" t="s">
        <v>200</v>
      </c>
      <c r="D18" s="272" t="s">
        <v>1</v>
      </c>
      <c r="E18" s="273" t="e">
        <f>+G6</f>
        <v>#REF!</v>
      </c>
      <c r="F18" s="274">
        <f>'[3]BPU préf'!E13</f>
        <v>5700</v>
      </c>
      <c r="G18" s="164" t="e">
        <f>E18*F18</f>
        <v>#REF!</v>
      </c>
    </row>
    <row r="19" spans="1:7" ht="15.75">
      <c r="A19" s="36">
        <v>203</v>
      </c>
      <c r="B19" s="30"/>
      <c r="C19" s="169" t="s">
        <v>246</v>
      </c>
      <c r="D19" s="168" t="s">
        <v>1</v>
      </c>
      <c r="E19" s="174" t="e">
        <f>G8</f>
        <v>#REF!</v>
      </c>
      <c r="F19" s="147">
        <f>'BPU préf'!E16</f>
        <v>6315</v>
      </c>
      <c r="G19" s="167" t="e">
        <f>E19*F19</f>
        <v>#REF!</v>
      </c>
    </row>
    <row r="20" spans="1:7" ht="15.75">
      <c r="A20" s="17">
        <v>204</v>
      </c>
      <c r="B20" s="5"/>
      <c r="C20" s="169" t="s">
        <v>547</v>
      </c>
      <c r="D20" s="168" t="s">
        <v>1</v>
      </c>
      <c r="E20" s="408" t="e">
        <f>+#REF!</f>
        <v>#REF!</v>
      </c>
      <c r="F20" s="409">
        <f>+F17+F19</f>
        <v>13829</v>
      </c>
      <c r="G20" s="167" t="e">
        <f>E20*F20</f>
        <v>#REF!</v>
      </c>
    </row>
    <row r="21" spans="1:7" ht="18.75">
      <c r="A21" s="10"/>
      <c r="B21" s="21"/>
      <c r="C21" s="12"/>
      <c r="D21" s="157"/>
      <c r="E21" s="130"/>
      <c r="F21" s="131" t="s">
        <v>111</v>
      </c>
      <c r="G21" s="132" t="e">
        <f>SUM(G17:G20)</f>
        <v>#REF!</v>
      </c>
    </row>
    <row r="23" spans="1:7" ht="25.5" customHeight="1">
      <c r="D23" s="95"/>
      <c r="E23" s="92"/>
      <c r="F23" s="93" t="s">
        <v>172</v>
      </c>
      <c r="G23" s="94" t="e">
        <f>+G14+G21</f>
        <v>#REF!</v>
      </c>
    </row>
    <row r="42" spans="3:3">
      <c r="C42" s="149"/>
    </row>
  </sheetData>
  <mergeCells count="1">
    <mergeCell ref="A2:G2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7030A0"/>
  </sheetPr>
  <dimension ref="A1:I42"/>
  <sheetViews>
    <sheetView workbookViewId="0"/>
  </sheetViews>
  <sheetFormatPr baseColWidth="10" defaultColWidth="9.140625" defaultRowHeight="15"/>
  <cols>
    <col min="1" max="1" width="8.42578125" style="142" customWidth="1"/>
    <col min="2" max="2" width="4.42578125" style="142" customWidth="1"/>
    <col min="3" max="3" width="68.42578125" style="142" customWidth="1"/>
    <col min="4" max="4" width="10.85546875" style="142" customWidth="1"/>
    <col min="5" max="5" width="15.42578125" style="142" customWidth="1"/>
    <col min="6" max="6" width="17.140625" style="142" customWidth="1"/>
    <col min="7" max="7" width="26.140625" style="142" customWidth="1"/>
    <col min="8" max="8" width="17.28515625" style="142" customWidth="1"/>
    <col min="9" max="9" width="25.7109375" style="142" customWidth="1"/>
    <col min="10" max="16384" width="9.140625" style="142"/>
  </cols>
  <sheetData>
    <row r="1" spans="1:9" ht="20.25" thickBot="1">
      <c r="A1" s="90" t="s">
        <v>105</v>
      </c>
      <c r="G1" s="62"/>
      <c r="H1" s="62"/>
      <c r="I1" s="99"/>
    </row>
    <row r="2" spans="1:9" ht="25.5" thickBot="1">
      <c r="A2" s="1860" t="s">
        <v>294</v>
      </c>
      <c r="B2" s="1861"/>
      <c r="C2" s="1861"/>
      <c r="D2" s="1861"/>
      <c r="E2" s="1861"/>
      <c r="F2" s="1861"/>
      <c r="G2" s="1862"/>
      <c r="H2" s="135"/>
      <c r="I2" s="135"/>
    </row>
    <row r="4" spans="1:9">
      <c r="F4" s="99" t="s">
        <v>177</v>
      </c>
      <c r="G4" s="136" t="e">
        <f>+#REF!</f>
        <v>#REF!</v>
      </c>
    </row>
    <row r="5" spans="1:9">
      <c r="F5" s="99" t="s">
        <v>176</v>
      </c>
      <c r="G5" s="136" t="e">
        <f>+#REF!</f>
        <v>#REF!</v>
      </c>
    </row>
    <row r="6" spans="1:9">
      <c r="F6" s="99" t="s">
        <v>198</v>
      </c>
      <c r="G6" s="136" t="e">
        <f>+#REF!</f>
        <v>#REF!</v>
      </c>
    </row>
    <row r="7" spans="1:9">
      <c r="F7" s="99" t="s">
        <v>197</v>
      </c>
      <c r="G7" s="136" t="e">
        <f>+#REF!</f>
        <v>#REF!</v>
      </c>
    </row>
    <row r="8" spans="1:9">
      <c r="F8" s="99" t="s">
        <v>277</v>
      </c>
      <c r="G8" s="136" t="e">
        <f>+#REF!</f>
        <v>#REF!</v>
      </c>
    </row>
    <row r="9" spans="1:9">
      <c r="F9" s="394" t="s">
        <v>552</v>
      </c>
      <c r="G9" s="136" t="e">
        <f>+#REF!</f>
        <v>#REF!</v>
      </c>
    </row>
    <row r="10" spans="1:9" ht="22.5" customHeight="1">
      <c r="A10" s="1" t="s">
        <v>166</v>
      </c>
      <c r="B10" s="2"/>
      <c r="C10" s="3"/>
      <c r="D10" s="52" t="s">
        <v>98</v>
      </c>
      <c r="E10" s="70" t="s">
        <v>99</v>
      </c>
      <c r="F10" s="71" t="s">
        <v>100</v>
      </c>
      <c r="G10" s="71" t="s">
        <v>114</v>
      </c>
    </row>
    <row r="11" spans="1:9" ht="15.75">
      <c r="A11" s="4" t="s">
        <v>0</v>
      </c>
      <c r="B11" s="5"/>
      <c r="C11" s="6" t="s">
        <v>168</v>
      </c>
      <c r="D11" s="158"/>
      <c r="E11" s="159"/>
      <c r="F11" s="160"/>
      <c r="G11" s="161"/>
    </row>
    <row r="12" spans="1:9" ht="15.75">
      <c r="A12" s="4" t="s">
        <v>167</v>
      </c>
      <c r="B12" s="5"/>
      <c r="C12" s="12" t="s">
        <v>171</v>
      </c>
      <c r="D12" s="162" t="s">
        <v>94</v>
      </c>
      <c r="E12" s="163" t="e">
        <f>#REF!</f>
        <v>#REF!</v>
      </c>
      <c r="F12" s="164">
        <f>'[3]BPU préf'!E8</f>
        <v>11000</v>
      </c>
      <c r="G12" s="164" t="e">
        <f>E12*F12</f>
        <v>#REF!</v>
      </c>
    </row>
    <row r="13" spans="1:9" ht="15.75">
      <c r="A13" s="22" t="s">
        <v>169</v>
      </c>
      <c r="B13" s="30"/>
      <c r="C13" s="24" t="s">
        <v>170</v>
      </c>
      <c r="D13" s="165" t="s">
        <v>94</v>
      </c>
      <c r="E13" s="166" t="e">
        <f>#REF!</f>
        <v>#REF!</v>
      </c>
      <c r="F13" s="167">
        <f>'[3]BPU préf'!E9</f>
        <v>9300</v>
      </c>
      <c r="G13" s="167" t="e">
        <f>E13*F13</f>
        <v>#REF!</v>
      </c>
    </row>
    <row r="14" spans="1:9" ht="18.75">
      <c r="A14" s="110"/>
      <c r="B14" s="5"/>
      <c r="C14" s="12"/>
      <c r="D14" s="95"/>
      <c r="E14" s="92"/>
      <c r="F14" s="93" t="s">
        <v>106</v>
      </c>
      <c r="G14" s="94" t="e">
        <f>SUM(G12:G13)</f>
        <v>#REF!</v>
      </c>
    </row>
    <row r="15" spans="1:9" ht="15.75">
      <c r="A15" s="10"/>
      <c r="B15" s="11"/>
      <c r="C15" s="12"/>
      <c r="D15" s="51"/>
      <c r="E15" s="12"/>
      <c r="F15" s="51"/>
      <c r="G15" s="121"/>
    </row>
    <row r="16" spans="1:9" ht="22.5" customHeight="1">
      <c r="A16" s="1" t="s">
        <v>175</v>
      </c>
      <c r="B16" s="2"/>
      <c r="C16" s="3"/>
      <c r="D16" s="52" t="s">
        <v>98</v>
      </c>
      <c r="E16" s="70" t="s">
        <v>99</v>
      </c>
      <c r="F16" s="71" t="s">
        <v>100</v>
      </c>
      <c r="G16" s="71" t="s">
        <v>114</v>
      </c>
    </row>
    <row r="17" spans="1:7" ht="15.75">
      <c r="A17" s="41">
        <v>201</v>
      </c>
      <c r="B17" s="42"/>
      <c r="C17" s="43" t="s">
        <v>199</v>
      </c>
      <c r="D17" s="170" t="s">
        <v>1</v>
      </c>
      <c r="E17" s="171" t="e">
        <f>#REF!</f>
        <v>#REF!</v>
      </c>
      <c r="F17" s="172">
        <f>'[3]BPU préf'!E12</f>
        <v>7514</v>
      </c>
      <c r="G17" s="173" t="e">
        <f>E17*F17</f>
        <v>#REF!</v>
      </c>
    </row>
    <row r="18" spans="1:7" ht="15.75">
      <c r="A18" s="17">
        <v>202</v>
      </c>
      <c r="B18" s="5"/>
      <c r="C18" s="26" t="s">
        <v>200</v>
      </c>
      <c r="D18" s="272" t="s">
        <v>1</v>
      </c>
      <c r="E18" s="273" t="e">
        <f>#REF!</f>
        <v>#REF!</v>
      </c>
      <c r="F18" s="274">
        <f>'[3]BPU préf'!E13</f>
        <v>5700</v>
      </c>
      <c r="G18" s="164" t="e">
        <f>E18*F18</f>
        <v>#REF!</v>
      </c>
    </row>
    <row r="19" spans="1:7" ht="15.75">
      <c r="A19" s="36">
        <v>203</v>
      </c>
      <c r="B19" s="30"/>
      <c r="C19" s="169" t="s">
        <v>246</v>
      </c>
      <c r="D19" s="168" t="s">
        <v>1</v>
      </c>
      <c r="E19" s="174" t="e">
        <f>#REF!</f>
        <v>#REF!</v>
      </c>
      <c r="F19" s="147">
        <f>'BPU préf'!E16</f>
        <v>6315</v>
      </c>
      <c r="G19" s="164" t="e">
        <f>E19*F19</f>
        <v>#REF!</v>
      </c>
    </row>
    <row r="20" spans="1:7" ht="15.75">
      <c r="A20" s="17">
        <v>204</v>
      </c>
      <c r="B20" s="5"/>
      <c r="C20" s="169" t="s">
        <v>547</v>
      </c>
      <c r="D20" s="168" t="s">
        <v>1</v>
      </c>
      <c r="E20" s="174" t="e">
        <f>#REF!</f>
        <v>#REF!</v>
      </c>
      <c r="F20" s="147">
        <f>'BPU préf'!E17</f>
        <v>13829</v>
      </c>
      <c r="G20" s="164" t="e">
        <f>E20*F20</f>
        <v>#REF!</v>
      </c>
    </row>
    <row r="21" spans="1:7" ht="18.75">
      <c r="A21" s="10"/>
      <c r="B21" s="21"/>
      <c r="C21" s="12"/>
      <c r="D21" s="157"/>
      <c r="E21" s="130"/>
      <c r="F21" s="131" t="s">
        <v>111</v>
      </c>
      <c r="G21" s="132" t="e">
        <f>SUM(G17:G20)</f>
        <v>#REF!</v>
      </c>
    </row>
    <row r="23" spans="1:7" ht="25.5" customHeight="1">
      <c r="D23" s="95"/>
      <c r="E23" s="92"/>
      <c r="F23" s="93" t="s">
        <v>172</v>
      </c>
      <c r="G23" s="94" t="e">
        <f>+G14+G21</f>
        <v>#REF!</v>
      </c>
    </row>
    <row r="42" spans="3:3">
      <c r="C42" s="149"/>
    </row>
  </sheetData>
  <mergeCells count="1">
    <mergeCell ref="A2:G2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F0"/>
  </sheetPr>
  <dimension ref="A1:I40"/>
  <sheetViews>
    <sheetView workbookViewId="0"/>
  </sheetViews>
  <sheetFormatPr baseColWidth="10" defaultColWidth="9.140625" defaultRowHeight="15"/>
  <cols>
    <col min="1" max="1" width="8.42578125" style="142" customWidth="1"/>
    <col min="2" max="2" width="4.42578125" style="142" customWidth="1"/>
    <col min="3" max="3" width="68.42578125" style="142" customWidth="1"/>
    <col min="4" max="4" width="10.85546875" style="142" customWidth="1"/>
    <col min="5" max="5" width="15.42578125" style="142" customWidth="1"/>
    <col min="6" max="6" width="17.140625" style="142" customWidth="1"/>
    <col min="7" max="7" width="26.140625" style="142" customWidth="1"/>
    <col min="8" max="8" width="17.28515625" style="142" customWidth="1"/>
    <col min="9" max="9" width="25.7109375" style="142" customWidth="1"/>
    <col min="10" max="16384" width="9.140625" style="142"/>
  </cols>
  <sheetData>
    <row r="1" spans="1:9" ht="20.25" thickBot="1">
      <c r="A1" s="90" t="s">
        <v>105</v>
      </c>
      <c r="G1" s="62"/>
      <c r="H1" s="62"/>
      <c r="I1" s="99"/>
    </row>
    <row r="2" spans="1:9" ht="25.5" thickBot="1">
      <c r="A2" s="1860" t="s">
        <v>471</v>
      </c>
      <c r="B2" s="1861"/>
      <c r="C2" s="1861"/>
      <c r="D2" s="1861"/>
      <c r="E2" s="1861"/>
      <c r="F2" s="1861"/>
      <c r="G2" s="1862"/>
      <c r="H2" s="135"/>
      <c r="I2" s="135"/>
    </row>
    <row r="4" spans="1:9">
      <c r="F4" s="99" t="s">
        <v>177</v>
      </c>
      <c r="G4" s="136" t="e">
        <f>#REF!</f>
        <v>#REF!</v>
      </c>
    </row>
    <row r="5" spans="1:9">
      <c r="F5" s="99" t="s">
        <v>176</v>
      </c>
      <c r="G5" s="136" t="e">
        <f>#REF!</f>
        <v>#REF!</v>
      </c>
    </row>
    <row r="6" spans="1:9">
      <c r="F6" s="99" t="s">
        <v>198</v>
      </c>
      <c r="G6" s="136" t="e">
        <f>#REF!</f>
        <v>#REF!</v>
      </c>
    </row>
    <row r="7" spans="1:9">
      <c r="F7" s="99" t="s">
        <v>197</v>
      </c>
      <c r="G7" s="136" t="e">
        <f>#REF!</f>
        <v>#REF!</v>
      </c>
    </row>
    <row r="8" spans="1:9">
      <c r="F8" s="99" t="s">
        <v>277</v>
      </c>
      <c r="G8" s="136" t="e">
        <f>#REF!</f>
        <v>#REF!</v>
      </c>
    </row>
    <row r="9" spans="1:9" ht="22.5" customHeight="1">
      <c r="A9" s="1" t="s">
        <v>166</v>
      </c>
      <c r="B9" s="2"/>
      <c r="C9" s="3"/>
      <c r="D9" s="52" t="s">
        <v>98</v>
      </c>
      <c r="E9" s="70" t="s">
        <v>99</v>
      </c>
      <c r="F9" s="71" t="s">
        <v>100</v>
      </c>
      <c r="G9" s="71" t="s">
        <v>114</v>
      </c>
    </row>
    <row r="10" spans="1:9" ht="15.75">
      <c r="A10" s="4" t="s">
        <v>0</v>
      </c>
      <c r="B10" s="5"/>
      <c r="C10" s="6" t="s">
        <v>168</v>
      </c>
      <c r="D10" s="158"/>
      <c r="E10" s="159"/>
      <c r="F10" s="160"/>
      <c r="G10" s="161"/>
    </row>
    <row r="11" spans="1:9" ht="15.75">
      <c r="A11" s="4" t="s">
        <v>167</v>
      </c>
      <c r="B11" s="5"/>
      <c r="C11" s="12" t="s">
        <v>171</v>
      </c>
      <c r="D11" s="162" t="s">
        <v>94</v>
      </c>
      <c r="E11" s="163" t="e">
        <f>G4</f>
        <v>#REF!</v>
      </c>
      <c r="F11" s="164">
        <f>'[3]BPU préf'!E8</f>
        <v>11000</v>
      </c>
      <c r="G11" s="164" t="e">
        <f>E11*F11</f>
        <v>#REF!</v>
      </c>
    </row>
    <row r="12" spans="1:9" ht="15.75">
      <c r="A12" s="22" t="s">
        <v>169</v>
      </c>
      <c r="B12" s="30"/>
      <c r="C12" s="24" t="s">
        <v>170</v>
      </c>
      <c r="D12" s="165" t="s">
        <v>94</v>
      </c>
      <c r="E12" s="166" t="e">
        <f>G5</f>
        <v>#REF!</v>
      </c>
      <c r="F12" s="167">
        <f>'[3]BPU préf'!E9</f>
        <v>9300</v>
      </c>
      <c r="G12" s="167" t="e">
        <f>E12*F12</f>
        <v>#REF!</v>
      </c>
    </row>
    <row r="13" spans="1:9" ht="18.75">
      <c r="A13" s="110"/>
      <c r="B13" s="5"/>
      <c r="C13" s="12"/>
      <c r="D13" s="95"/>
      <c r="E13" s="92"/>
      <c r="F13" s="93" t="s">
        <v>106</v>
      </c>
      <c r="G13" s="94" t="e">
        <f>SUM(G11:G12)</f>
        <v>#REF!</v>
      </c>
    </row>
    <row r="14" spans="1:9" ht="15.75">
      <c r="A14" s="10"/>
      <c r="B14" s="11"/>
      <c r="C14" s="12"/>
      <c r="D14" s="51"/>
      <c r="E14" s="12"/>
      <c r="F14" s="51"/>
      <c r="G14" s="121"/>
    </row>
    <row r="15" spans="1:9" ht="22.5" customHeight="1">
      <c r="A15" s="1" t="s">
        <v>175</v>
      </c>
      <c r="B15" s="2"/>
      <c r="C15" s="3"/>
      <c r="D15" s="52" t="s">
        <v>98</v>
      </c>
      <c r="E15" s="70" t="s">
        <v>99</v>
      </c>
      <c r="F15" s="71" t="s">
        <v>100</v>
      </c>
      <c r="G15" s="71" t="s">
        <v>114</v>
      </c>
    </row>
    <row r="16" spans="1:9" ht="15.75">
      <c r="A16" s="41">
        <v>201</v>
      </c>
      <c r="B16" s="42"/>
      <c r="C16" s="43" t="s">
        <v>199</v>
      </c>
      <c r="D16" s="170" t="s">
        <v>1</v>
      </c>
      <c r="E16" s="171" t="e">
        <f>G7</f>
        <v>#REF!</v>
      </c>
      <c r="F16" s="172">
        <f>'[3]BPU préf'!E12</f>
        <v>7514</v>
      </c>
      <c r="G16" s="173" t="e">
        <f>E16*F16</f>
        <v>#REF!</v>
      </c>
    </row>
    <row r="17" spans="1:7" ht="15.75">
      <c r="A17" s="17">
        <v>202</v>
      </c>
      <c r="B17" s="5"/>
      <c r="C17" s="26" t="s">
        <v>200</v>
      </c>
      <c r="D17" s="272" t="s">
        <v>1</v>
      </c>
      <c r="E17" s="273" t="e">
        <f>+G6</f>
        <v>#REF!</v>
      </c>
      <c r="F17" s="274">
        <f>'[3]BPU préf'!E13</f>
        <v>5700</v>
      </c>
      <c r="G17" s="164" t="e">
        <f>E17*F17</f>
        <v>#REF!</v>
      </c>
    </row>
    <row r="18" spans="1:7" ht="15.75">
      <c r="A18" s="36">
        <v>203</v>
      </c>
      <c r="B18" s="30"/>
      <c r="C18" s="169" t="s">
        <v>246</v>
      </c>
      <c r="D18" s="168" t="s">
        <v>1</v>
      </c>
      <c r="E18" s="174" t="e">
        <f>G8</f>
        <v>#REF!</v>
      </c>
      <c r="F18" s="147">
        <f>'BPU préf'!E16</f>
        <v>6315</v>
      </c>
      <c r="G18" s="167" t="e">
        <f>E18*F18</f>
        <v>#REF!</v>
      </c>
    </row>
    <row r="19" spans="1:7" ht="18.75">
      <c r="A19" s="10"/>
      <c r="B19" s="21"/>
      <c r="C19" s="12"/>
      <c r="D19" s="157"/>
      <c r="E19" s="130"/>
      <c r="F19" s="131" t="s">
        <v>111</v>
      </c>
      <c r="G19" s="132" t="e">
        <f>SUM(G16:G18)</f>
        <v>#REF!</v>
      </c>
    </row>
    <row r="21" spans="1:7" ht="25.5" customHeight="1">
      <c r="D21" s="95"/>
      <c r="E21" s="92"/>
      <c r="F21" s="93" t="s">
        <v>172</v>
      </c>
      <c r="G21" s="94" t="e">
        <f>+G13+G19</f>
        <v>#REF!</v>
      </c>
    </row>
    <row r="40" spans="3:3">
      <c r="C40" s="149"/>
    </row>
  </sheetData>
  <mergeCells count="1">
    <mergeCell ref="A2:G2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F0"/>
  </sheetPr>
  <dimension ref="B1:F7"/>
  <sheetViews>
    <sheetView workbookViewId="0"/>
  </sheetViews>
  <sheetFormatPr baseColWidth="10" defaultColWidth="9.140625" defaultRowHeight="15"/>
  <cols>
    <col min="1" max="1" width="9.140625" style="142"/>
    <col min="2" max="2" width="5.42578125" style="142" customWidth="1"/>
    <col min="3" max="3" width="20.28515625" style="142" customWidth="1"/>
    <col min="4" max="4" width="30.7109375" style="142" customWidth="1"/>
    <col min="5" max="5" width="16.7109375" style="142" customWidth="1"/>
    <col min="6" max="10" width="9.140625" style="142"/>
    <col min="11" max="11" width="20.5703125" style="142" customWidth="1"/>
    <col min="12" max="16384" width="9.140625" style="142"/>
  </cols>
  <sheetData>
    <row r="1" spans="2:6" ht="15.75">
      <c r="B1" s="522" t="s">
        <v>472</v>
      </c>
      <c r="C1" s="515"/>
      <c r="D1" s="515"/>
      <c r="E1" s="515"/>
      <c r="F1" s="515"/>
    </row>
    <row r="2" spans="2:6">
      <c r="B2" s="515"/>
      <c r="C2" s="515"/>
      <c r="D2" s="515"/>
      <c r="E2" s="515"/>
      <c r="F2" s="515"/>
    </row>
    <row r="3" spans="2:6">
      <c r="B3" s="515"/>
      <c r="C3" s="1867" t="s">
        <v>217</v>
      </c>
      <c r="D3" s="520" t="s">
        <v>291</v>
      </c>
      <c r="E3" s="520" t="s">
        <v>232</v>
      </c>
      <c r="F3" s="515"/>
    </row>
    <row r="4" spans="2:6">
      <c r="B4" s="515"/>
      <c r="C4" s="1868"/>
      <c r="D4" s="520" t="s">
        <v>609</v>
      </c>
      <c r="E4" s="520" t="s">
        <v>231</v>
      </c>
      <c r="F4" s="515"/>
    </row>
    <row r="5" spans="2:6">
      <c r="B5" s="515"/>
      <c r="C5" s="384" t="s">
        <v>215</v>
      </c>
      <c r="D5" s="101" t="e">
        <f>#REF!</f>
        <v>#REF!</v>
      </c>
      <c r="E5" s="101" t="e">
        <f>D5/656</f>
        <v>#REF!</v>
      </c>
      <c r="F5" s="515"/>
    </row>
    <row r="6" spans="2:6">
      <c r="B6" s="515"/>
      <c r="C6" s="384" t="s">
        <v>216</v>
      </c>
      <c r="D6" s="101" t="e">
        <f>'Préf AAs'!G21</f>
        <v>#REF!</v>
      </c>
      <c r="E6" s="101" t="e">
        <f>D6/656</f>
        <v>#REF!</v>
      </c>
      <c r="F6" s="515"/>
    </row>
    <row r="7" spans="2:6" ht="15.75">
      <c r="B7" s="515"/>
      <c r="C7" s="517" t="s">
        <v>218</v>
      </c>
      <c r="D7" s="377" t="e">
        <f>SUM(D5:D6)</f>
        <v>#REF!</v>
      </c>
      <c r="E7" s="378" t="e">
        <f>D7/656</f>
        <v>#REF!</v>
      </c>
      <c r="F7" s="515"/>
    </row>
  </sheetData>
  <mergeCells count="1">
    <mergeCell ref="C3:C4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B050"/>
  </sheetPr>
  <dimension ref="A1:I40"/>
  <sheetViews>
    <sheetView topLeftCell="A19" workbookViewId="0">
      <selection activeCell="C38" sqref="C38"/>
    </sheetView>
  </sheetViews>
  <sheetFormatPr baseColWidth="10" defaultColWidth="9.140625" defaultRowHeight="15"/>
  <cols>
    <col min="1" max="1" width="8.42578125" style="142" customWidth="1"/>
    <col min="2" max="2" width="4.42578125" style="142" customWidth="1"/>
    <col min="3" max="3" width="68.42578125" style="142" customWidth="1"/>
    <col min="4" max="4" width="10.85546875" style="142" customWidth="1"/>
    <col min="5" max="5" width="15.42578125" style="142" customWidth="1"/>
    <col min="6" max="6" width="17.140625" style="142" customWidth="1"/>
    <col min="7" max="7" width="26.140625" style="142" customWidth="1"/>
    <col min="8" max="8" width="17.28515625" style="142" customWidth="1"/>
    <col min="9" max="9" width="25.7109375" style="142" customWidth="1"/>
    <col min="10" max="16384" width="9.140625" style="142"/>
  </cols>
  <sheetData>
    <row r="1" spans="1:9" ht="20.25" thickBot="1">
      <c r="A1" s="90" t="s">
        <v>105</v>
      </c>
      <c r="G1" s="62"/>
      <c r="H1" s="62"/>
      <c r="I1" s="99"/>
    </row>
    <row r="2" spans="1:9" ht="25.5" thickBot="1">
      <c r="A2" s="1860" t="s">
        <v>480</v>
      </c>
      <c r="B2" s="1861"/>
      <c r="C2" s="1861"/>
      <c r="D2" s="1861"/>
      <c r="E2" s="1861"/>
      <c r="F2" s="1861"/>
      <c r="G2" s="1862"/>
      <c r="H2" s="135"/>
      <c r="I2" s="135"/>
    </row>
    <row r="4" spans="1:9">
      <c r="F4" s="99" t="s">
        <v>177</v>
      </c>
      <c r="G4" s="136" t="e">
        <f>#REF!</f>
        <v>#REF!</v>
      </c>
    </row>
    <row r="5" spans="1:9">
      <c r="F5" s="99" t="s">
        <v>176</v>
      </c>
      <c r="G5" s="136" t="e">
        <f>#REF!</f>
        <v>#REF!</v>
      </c>
    </row>
    <row r="6" spans="1:9">
      <c r="F6" s="99" t="s">
        <v>198</v>
      </c>
      <c r="G6" s="136" t="e">
        <f>#REF!</f>
        <v>#REF!</v>
      </c>
    </row>
    <row r="7" spans="1:9">
      <c r="F7" s="99" t="s">
        <v>197</v>
      </c>
      <c r="G7" s="136" t="e">
        <f>#REF!</f>
        <v>#REF!</v>
      </c>
    </row>
    <row r="8" spans="1:9">
      <c r="F8" s="99" t="s">
        <v>277</v>
      </c>
      <c r="G8" s="136" t="e">
        <f>#REF!</f>
        <v>#REF!</v>
      </c>
    </row>
    <row r="9" spans="1:9" ht="22.5" customHeight="1">
      <c r="A9" s="1" t="s">
        <v>166</v>
      </c>
      <c r="B9" s="2"/>
      <c r="C9" s="3"/>
      <c r="D9" s="52" t="s">
        <v>98</v>
      </c>
      <c r="E9" s="70" t="s">
        <v>99</v>
      </c>
      <c r="F9" s="71" t="s">
        <v>100</v>
      </c>
      <c r="G9" s="71" t="s">
        <v>114</v>
      </c>
    </row>
    <row r="10" spans="1:9" ht="15.75">
      <c r="A10" s="4" t="s">
        <v>0</v>
      </c>
      <c r="B10" s="5"/>
      <c r="C10" s="6" t="s">
        <v>168</v>
      </c>
      <c r="D10" s="158"/>
      <c r="E10" s="159"/>
      <c r="F10" s="160"/>
      <c r="G10" s="161"/>
    </row>
    <row r="11" spans="1:9" ht="15.75">
      <c r="A11" s="4" t="s">
        <v>167</v>
      </c>
      <c r="B11" s="5"/>
      <c r="C11" s="12" t="s">
        <v>171</v>
      </c>
      <c r="D11" s="162" t="s">
        <v>94</v>
      </c>
      <c r="E11" s="163" t="e">
        <f>G4</f>
        <v>#REF!</v>
      </c>
      <c r="F11" s="164">
        <f>'[3]BPU préf'!E8</f>
        <v>11000</v>
      </c>
      <c r="G11" s="164" t="e">
        <f>E11*F11</f>
        <v>#REF!</v>
      </c>
    </row>
    <row r="12" spans="1:9" ht="15.75">
      <c r="A12" s="22" t="s">
        <v>169</v>
      </c>
      <c r="B12" s="30"/>
      <c r="C12" s="24" t="s">
        <v>170</v>
      </c>
      <c r="D12" s="165" t="s">
        <v>94</v>
      </c>
      <c r="E12" s="166" t="e">
        <f>G5</f>
        <v>#REF!</v>
      </c>
      <c r="F12" s="167">
        <f>'[3]BPU préf'!E9</f>
        <v>9300</v>
      </c>
      <c r="G12" s="167" t="e">
        <f>E12*F12</f>
        <v>#REF!</v>
      </c>
    </row>
    <row r="13" spans="1:9" ht="18.75">
      <c r="A13" s="110"/>
      <c r="B13" s="5"/>
      <c r="C13" s="12"/>
      <c r="D13" s="95"/>
      <c r="E13" s="92"/>
      <c r="F13" s="93" t="s">
        <v>106</v>
      </c>
      <c r="G13" s="94" t="e">
        <f>SUM(G11:G12)</f>
        <v>#REF!</v>
      </c>
    </row>
    <row r="14" spans="1:9" ht="15.75">
      <c r="A14" s="10"/>
      <c r="B14" s="11"/>
      <c r="C14" s="12"/>
      <c r="D14" s="51"/>
      <c r="E14" s="12"/>
      <c r="F14" s="51"/>
      <c r="G14" s="121"/>
    </row>
    <row r="15" spans="1:9" ht="22.5" customHeight="1">
      <c r="A15" s="1" t="s">
        <v>175</v>
      </c>
      <c r="B15" s="2"/>
      <c r="C15" s="3"/>
      <c r="D15" s="52" t="s">
        <v>98</v>
      </c>
      <c r="E15" s="70" t="s">
        <v>99</v>
      </c>
      <c r="F15" s="71" t="s">
        <v>100</v>
      </c>
      <c r="G15" s="71" t="s">
        <v>114</v>
      </c>
    </row>
    <row r="16" spans="1:9" ht="15.75">
      <c r="A16" s="41">
        <v>201</v>
      </c>
      <c r="B16" s="42"/>
      <c r="C16" s="43" t="s">
        <v>199</v>
      </c>
      <c r="D16" s="170" t="s">
        <v>1</v>
      </c>
      <c r="E16" s="171" t="e">
        <f>G7</f>
        <v>#REF!</v>
      </c>
      <c r="F16" s="172">
        <f>'[3]BPU préf'!E12</f>
        <v>7514</v>
      </c>
      <c r="G16" s="173" t="e">
        <f>E16*F16</f>
        <v>#REF!</v>
      </c>
    </row>
    <row r="17" spans="1:7" ht="15.75">
      <c r="A17" s="17">
        <v>202</v>
      </c>
      <c r="B17" s="5"/>
      <c r="C17" s="26" t="s">
        <v>200</v>
      </c>
      <c r="D17" s="272" t="s">
        <v>1</v>
      </c>
      <c r="E17" s="273" t="e">
        <f>+G6</f>
        <v>#REF!</v>
      </c>
      <c r="F17" s="274">
        <f>'[3]BPU préf'!E13</f>
        <v>5700</v>
      </c>
      <c r="G17" s="164" t="e">
        <f>E17*F17</f>
        <v>#REF!</v>
      </c>
    </row>
    <row r="18" spans="1:7" ht="15.75">
      <c r="A18" s="36">
        <v>203</v>
      </c>
      <c r="B18" s="30"/>
      <c r="C18" s="169" t="s">
        <v>246</v>
      </c>
      <c r="D18" s="168" t="s">
        <v>1</v>
      </c>
      <c r="E18" s="174" t="e">
        <f>G8</f>
        <v>#REF!</v>
      </c>
      <c r="F18" s="147">
        <f>'BPU préf'!E16</f>
        <v>6315</v>
      </c>
      <c r="G18" s="167" t="e">
        <f>E18*F18</f>
        <v>#REF!</v>
      </c>
    </row>
    <row r="19" spans="1:7" ht="18.75">
      <c r="A19" s="10"/>
      <c r="B19" s="21"/>
      <c r="C19" s="12"/>
      <c r="D19" s="157"/>
      <c r="E19" s="130"/>
      <c r="F19" s="131" t="s">
        <v>111</v>
      </c>
      <c r="G19" s="132" t="e">
        <f>SUM(G16:G18)</f>
        <v>#REF!</v>
      </c>
    </row>
    <row r="21" spans="1:7" ht="25.5" customHeight="1">
      <c r="D21" s="95"/>
      <c r="E21" s="92"/>
      <c r="F21" s="93" t="s">
        <v>172</v>
      </c>
      <c r="G21" s="94" t="e">
        <f>+G13+G19</f>
        <v>#REF!</v>
      </c>
    </row>
    <row r="40" spans="3:3">
      <c r="C40" s="149"/>
    </row>
  </sheetData>
  <mergeCells count="1">
    <mergeCell ref="A2:G2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9" tint="-0.249977111117893"/>
  </sheetPr>
  <dimension ref="B1:F7"/>
  <sheetViews>
    <sheetView workbookViewId="0">
      <selection activeCell="C38" sqref="C38"/>
    </sheetView>
  </sheetViews>
  <sheetFormatPr baseColWidth="10" defaultColWidth="9.140625" defaultRowHeight="15"/>
  <cols>
    <col min="1" max="1" width="9.140625" style="142"/>
    <col min="2" max="2" width="5.42578125" style="142" customWidth="1"/>
    <col min="3" max="3" width="20.28515625" style="142" customWidth="1"/>
    <col min="4" max="4" width="30.7109375" style="142" customWidth="1"/>
    <col min="5" max="5" width="16.7109375" style="142" customWidth="1"/>
    <col min="6" max="10" width="9.140625" style="142"/>
    <col min="11" max="11" width="20.5703125" style="142" customWidth="1"/>
    <col min="12" max="16384" width="9.140625" style="142"/>
  </cols>
  <sheetData>
    <row r="1" spans="2:6" ht="15.75">
      <c r="B1" s="522" t="s">
        <v>481</v>
      </c>
    </row>
    <row r="3" spans="2:6" s="225" customFormat="1" ht="18.75">
      <c r="C3" s="1867" t="s">
        <v>217</v>
      </c>
      <c r="D3" s="520" t="s">
        <v>291</v>
      </c>
      <c r="E3" s="520" t="s">
        <v>232</v>
      </c>
      <c r="F3" s="521"/>
    </row>
    <row r="4" spans="2:6" s="225" customFormat="1">
      <c r="C4" s="1868"/>
      <c r="D4" s="520" t="s">
        <v>607</v>
      </c>
      <c r="E4" s="520" t="s">
        <v>231</v>
      </c>
    </row>
    <row r="5" spans="2:6">
      <c r="C5" s="384" t="s">
        <v>215</v>
      </c>
      <c r="D5" s="101" t="e">
        <f>#REF!</f>
        <v>#REF!</v>
      </c>
      <c r="E5" s="101" t="e">
        <f>D5/656</f>
        <v>#REF!</v>
      </c>
    </row>
    <row r="6" spans="2:6">
      <c r="C6" s="384" t="s">
        <v>216</v>
      </c>
      <c r="D6" s="101" t="e">
        <f>'Préf AAn'!G21</f>
        <v>#REF!</v>
      </c>
      <c r="E6" s="101" t="e">
        <f>D6/656</f>
        <v>#REF!</v>
      </c>
    </row>
    <row r="7" spans="2:6">
      <c r="C7" s="517" t="s">
        <v>218</v>
      </c>
      <c r="D7" s="523" t="e">
        <f>SUM(D5:D6)</f>
        <v>#REF!</v>
      </c>
      <c r="E7" s="524" t="e">
        <f>D7/656</f>
        <v>#REF!</v>
      </c>
    </row>
  </sheetData>
  <mergeCells count="1">
    <mergeCell ref="C3:C4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FF00"/>
  </sheetPr>
  <dimension ref="A1:GH230"/>
  <sheetViews>
    <sheetView topLeftCell="A37" workbookViewId="0">
      <selection activeCell="A52" sqref="A52"/>
    </sheetView>
  </sheetViews>
  <sheetFormatPr baseColWidth="10" defaultColWidth="9.140625" defaultRowHeight="15"/>
  <cols>
    <col min="1" max="1" width="8" style="142" customWidth="1"/>
    <col min="2" max="2" width="4.42578125" style="142" customWidth="1"/>
    <col min="3" max="3" width="79.140625" style="142" customWidth="1"/>
    <col min="4" max="4" width="11" style="142" customWidth="1"/>
    <col min="5" max="5" width="14.85546875" style="142" customWidth="1"/>
    <col min="6" max="6" width="20" style="142" customWidth="1"/>
    <col min="7" max="7" width="32.85546875" style="142" customWidth="1"/>
    <col min="8" max="8" width="9.140625" style="142"/>
    <col min="9" max="9" width="23.5703125" style="255" bestFit="1" customWidth="1"/>
    <col min="10" max="10" width="23.140625" style="262" bestFit="1" customWidth="1"/>
    <col min="11" max="11" width="16" style="255" bestFit="1" customWidth="1"/>
    <col min="12" max="12" width="17.5703125" style="129" customWidth="1"/>
    <col min="13" max="13" width="9.28515625" style="129" bestFit="1" customWidth="1"/>
    <col min="14" max="190" width="9.140625" style="129"/>
    <col min="191" max="16384" width="9.140625" style="142"/>
  </cols>
  <sheetData>
    <row r="1" spans="1:11" ht="20.25" thickBot="1">
      <c r="A1" s="90" t="s">
        <v>184</v>
      </c>
      <c r="E1" s="62"/>
      <c r="F1" s="62"/>
      <c r="G1" s="99"/>
    </row>
    <row r="2" spans="1:11" s="129" customFormat="1" ht="25.5" thickBot="1">
      <c r="A2" s="1856" t="s">
        <v>467</v>
      </c>
      <c r="B2" s="1857"/>
      <c r="C2" s="1857"/>
      <c r="D2" s="1857"/>
      <c r="E2" s="1857"/>
      <c r="F2" s="1857"/>
      <c r="G2" s="1858"/>
      <c r="H2" s="119"/>
      <c r="I2" s="255"/>
      <c r="J2" s="262"/>
      <c r="K2" s="255"/>
    </row>
    <row r="3" spans="1:11" s="129" customFormat="1" ht="19.5">
      <c r="A3" s="90"/>
      <c r="B3" s="142"/>
      <c r="C3" s="142"/>
      <c r="D3" s="142"/>
      <c r="E3" s="62"/>
      <c r="F3" s="339" t="s">
        <v>392</v>
      </c>
      <c r="G3" s="341">
        <f>500*2+450</f>
        <v>1450</v>
      </c>
      <c r="H3" s="142"/>
      <c r="I3" s="255"/>
      <c r="J3" s="262"/>
      <c r="K3" s="255"/>
    </row>
    <row r="4" spans="1:11" s="129" customFormat="1" ht="19.5">
      <c r="A4" s="90"/>
      <c r="B4" s="142"/>
      <c r="C4" s="142"/>
      <c r="D4" s="142"/>
      <c r="E4" s="62"/>
      <c r="F4" s="339" t="s">
        <v>313</v>
      </c>
      <c r="G4" s="341">
        <v>1010</v>
      </c>
      <c r="H4" s="142"/>
      <c r="I4" s="255"/>
      <c r="J4" s="208" t="e">
        <f>#REF!-#REF!</f>
        <v>#REF!</v>
      </c>
      <c r="K4" s="255"/>
    </row>
    <row r="5" spans="1:11" s="129" customFormat="1" ht="19.5">
      <c r="A5" s="90"/>
      <c r="B5" s="142"/>
      <c r="C5" s="142"/>
      <c r="D5" s="142"/>
      <c r="E5" s="62"/>
      <c r="F5" s="339" t="s">
        <v>369</v>
      </c>
      <c r="G5" s="341">
        <f>470+780</f>
        <v>1250</v>
      </c>
      <c r="H5" s="142"/>
      <c r="I5" s="255"/>
      <c r="J5" s="262"/>
      <c r="K5" s="255"/>
    </row>
    <row r="6" spans="1:11" s="129" customFormat="1" ht="19.5">
      <c r="A6" s="90"/>
      <c r="B6" s="142"/>
      <c r="C6" s="142"/>
      <c r="D6" s="142"/>
      <c r="E6" s="62"/>
      <c r="F6" s="339" t="s">
        <v>397</v>
      </c>
      <c r="G6" s="341">
        <v>360</v>
      </c>
      <c r="H6" s="142"/>
      <c r="I6" s="255"/>
      <c r="J6" s="262"/>
      <c r="K6" s="255"/>
    </row>
    <row r="7" spans="1:11" s="129" customFormat="1" ht="19.5">
      <c r="A7" s="90"/>
      <c r="B7" s="142"/>
      <c r="C7" s="142"/>
      <c r="D7" s="142"/>
      <c r="E7" s="62"/>
      <c r="F7" s="339" t="s">
        <v>248</v>
      </c>
      <c r="G7" s="340">
        <v>1120</v>
      </c>
      <c r="H7" s="142"/>
      <c r="I7" s="255"/>
      <c r="J7" s="262"/>
      <c r="K7" s="255"/>
    </row>
    <row r="8" spans="1:11" s="129" customFormat="1" ht="19.5">
      <c r="A8" s="90"/>
      <c r="B8" s="142"/>
      <c r="C8" s="142"/>
      <c r="D8" s="142"/>
      <c r="E8" s="340"/>
      <c r="F8" s="339" t="s">
        <v>249</v>
      </c>
      <c r="G8" s="340">
        <v>1500</v>
      </c>
      <c r="K8" s="255"/>
    </row>
    <row r="9" spans="1:11" s="129" customFormat="1" ht="19.5">
      <c r="A9" s="90"/>
      <c r="B9" s="142"/>
      <c r="C9" s="142"/>
      <c r="D9" s="142"/>
      <c r="E9" s="340"/>
      <c r="F9" s="339" t="s">
        <v>367</v>
      </c>
      <c r="G9" s="340">
        <v>450</v>
      </c>
      <c r="H9" s="142"/>
      <c r="J9" s="255"/>
      <c r="K9" s="255"/>
    </row>
    <row r="10" spans="1:11" s="129" customFormat="1" ht="19.5">
      <c r="A10" s="90"/>
      <c r="B10" s="142"/>
      <c r="C10" s="142"/>
      <c r="D10" s="142"/>
      <c r="E10" s="340"/>
      <c r="F10" s="339" t="s">
        <v>368</v>
      </c>
      <c r="G10" s="340">
        <v>0</v>
      </c>
      <c r="H10" s="142" t="s">
        <v>393</v>
      </c>
      <c r="J10" s="255"/>
      <c r="K10" s="255"/>
    </row>
    <row r="11" spans="1:11" s="129" customFormat="1" ht="19.5">
      <c r="A11" s="90"/>
      <c r="B11" s="142"/>
      <c r="C11" s="142"/>
      <c r="D11" s="142"/>
      <c r="E11" s="340"/>
      <c r="F11" s="339" t="s">
        <v>405</v>
      </c>
      <c r="G11" s="340">
        <v>0</v>
      </c>
      <c r="H11" s="142"/>
      <c r="J11" s="255"/>
      <c r="K11" s="255"/>
    </row>
    <row r="12" spans="1:11" s="129" customFormat="1" ht="19.5">
      <c r="A12" s="90"/>
      <c r="B12" s="142"/>
      <c r="C12" s="142"/>
      <c r="D12" s="142"/>
      <c r="E12" s="340"/>
      <c r="F12" s="99" t="s">
        <v>370</v>
      </c>
      <c r="G12" s="144">
        <f>0*2645</f>
        <v>0</v>
      </c>
      <c r="H12" s="142">
        <v>10</v>
      </c>
      <c r="I12" s="1869" t="s">
        <v>415</v>
      </c>
      <c r="J12" s="255"/>
      <c r="K12" s="255"/>
    </row>
    <row r="13" spans="1:11" s="129" customFormat="1" ht="19.5">
      <c r="A13" s="90"/>
      <c r="B13" s="142"/>
      <c r="C13" s="142"/>
      <c r="D13" s="142"/>
      <c r="E13" s="340"/>
      <c r="F13" s="99" t="s">
        <v>371</v>
      </c>
      <c r="G13" s="144">
        <v>360</v>
      </c>
      <c r="H13" s="129">
        <v>12</v>
      </c>
      <c r="I13" s="1870"/>
      <c r="J13" s="255"/>
      <c r="K13" s="255"/>
    </row>
    <row r="14" spans="1:11" s="129" customFormat="1" ht="19.5">
      <c r="A14" s="90"/>
      <c r="B14" s="142"/>
      <c r="C14" s="142"/>
      <c r="D14" s="142"/>
      <c r="E14" s="340"/>
      <c r="F14" s="99" t="s">
        <v>372</v>
      </c>
      <c r="G14" s="144">
        <v>1930</v>
      </c>
      <c r="H14" s="142">
        <v>15</v>
      </c>
      <c r="I14" s="1870"/>
      <c r="J14" s="255"/>
      <c r="K14" s="255"/>
    </row>
    <row r="15" spans="1:11" s="129" customFormat="1" ht="19.5">
      <c r="A15" s="90"/>
      <c r="B15" s="142"/>
      <c r="C15" s="142"/>
      <c r="D15" s="142"/>
      <c r="E15" s="340"/>
      <c r="F15" s="99" t="s">
        <v>373</v>
      </c>
      <c r="G15" s="144">
        <v>780</v>
      </c>
      <c r="H15" s="142">
        <v>20</v>
      </c>
      <c r="I15" s="1871"/>
      <c r="J15" s="255"/>
      <c r="K15" s="255"/>
    </row>
    <row r="16" spans="1:11" s="129" customFormat="1" ht="19.5">
      <c r="A16" s="90"/>
      <c r="B16" s="142"/>
      <c r="C16" s="142"/>
      <c r="D16" s="142"/>
      <c r="E16" s="340"/>
      <c r="F16" s="99" t="s">
        <v>398</v>
      </c>
      <c r="G16" s="144">
        <v>3210</v>
      </c>
      <c r="H16" s="129">
        <v>40</v>
      </c>
      <c r="I16" s="142" t="s">
        <v>315</v>
      </c>
      <c r="J16" s="255" t="s">
        <v>416</v>
      </c>
      <c r="K16" s="255"/>
    </row>
    <row r="17" spans="1:12" s="129" customFormat="1" ht="19.5">
      <c r="A17" s="90"/>
      <c r="B17" s="142"/>
      <c r="C17" s="142"/>
      <c r="D17" s="142"/>
      <c r="E17" s="340"/>
      <c r="F17" s="99" t="s">
        <v>400</v>
      </c>
      <c r="G17" s="144">
        <f>3210-500</f>
        <v>2710</v>
      </c>
      <c r="J17" s="255" t="s">
        <v>374</v>
      </c>
      <c r="K17" s="255"/>
    </row>
    <row r="18" spans="1:12" s="129" customFormat="1" ht="19.5">
      <c r="A18" s="90"/>
      <c r="B18" s="142"/>
      <c r="C18" s="142"/>
      <c r="D18" s="142"/>
      <c r="E18" s="340"/>
      <c r="F18" s="99" t="s">
        <v>401</v>
      </c>
      <c r="G18" s="144">
        <v>420</v>
      </c>
      <c r="H18" s="129">
        <v>40</v>
      </c>
      <c r="J18" s="255"/>
      <c r="K18" s="255"/>
    </row>
    <row r="19" spans="1:12" s="129" customFormat="1" ht="19.5">
      <c r="A19" s="90"/>
      <c r="B19" s="142"/>
      <c r="C19" s="142"/>
      <c r="D19" s="142"/>
      <c r="E19" s="340"/>
      <c r="F19" s="99" t="s">
        <v>402</v>
      </c>
      <c r="G19" s="144">
        <f>50+L19+L20</f>
        <v>3390</v>
      </c>
      <c r="H19" s="129">
        <v>40</v>
      </c>
      <c r="J19" s="255" t="s">
        <v>466</v>
      </c>
      <c r="K19" s="255"/>
      <c r="L19" s="129">
        <f>2620+720</f>
        <v>3340</v>
      </c>
    </row>
    <row r="20" spans="1:12" s="129" customFormat="1">
      <c r="A20" s="44"/>
      <c r="B20" s="142"/>
      <c r="C20" s="142"/>
      <c r="D20" s="142"/>
      <c r="E20" s="62"/>
      <c r="F20" s="99" t="s">
        <v>399</v>
      </c>
      <c r="G20" s="144">
        <v>300</v>
      </c>
      <c r="H20" s="129">
        <v>20</v>
      </c>
      <c r="I20" s="255"/>
      <c r="K20" s="255"/>
    </row>
    <row r="21" spans="1:12" s="129" customFormat="1" ht="15" customHeight="1">
      <c r="A21" s="106"/>
      <c r="B21" s="97"/>
      <c r="C21" s="142"/>
      <c r="D21" s="142"/>
      <c r="E21" s="62"/>
      <c r="F21" s="99"/>
      <c r="G21" s="144"/>
      <c r="H21" s="89"/>
      <c r="I21" s="255" t="s">
        <v>186</v>
      </c>
      <c r="J21" s="262" t="s">
        <v>187</v>
      </c>
      <c r="K21" s="255" t="s">
        <v>188</v>
      </c>
    </row>
    <row r="22" spans="1:12" s="129" customFormat="1" ht="24.75" customHeight="1">
      <c r="A22" s="1" t="s">
        <v>20</v>
      </c>
      <c r="B22" s="2"/>
      <c r="C22" s="33"/>
      <c r="D22" s="52" t="s">
        <v>98</v>
      </c>
      <c r="E22" s="70" t="s">
        <v>99</v>
      </c>
      <c r="F22" s="241" t="s">
        <v>100</v>
      </c>
      <c r="G22" s="241" t="s">
        <v>114</v>
      </c>
      <c r="H22" s="142"/>
      <c r="I22" s="255"/>
      <c r="J22" s="262"/>
      <c r="K22" s="255"/>
    </row>
    <row r="23" spans="1:12" s="129" customFormat="1" ht="25.5">
      <c r="A23" s="29" t="s">
        <v>22</v>
      </c>
      <c r="B23" s="5"/>
      <c r="C23" s="27" t="s">
        <v>21</v>
      </c>
      <c r="D23" s="305"/>
      <c r="E23" s="210"/>
      <c r="F23" s="236"/>
      <c r="G23" s="204"/>
      <c r="H23" s="142"/>
      <c r="I23" s="255"/>
      <c r="J23" s="262"/>
      <c r="K23" s="255"/>
    </row>
    <row r="24" spans="1:12" s="129" customFormat="1" ht="15.75">
      <c r="A24" s="22"/>
      <c r="B24" s="30"/>
      <c r="C24" s="31"/>
      <c r="D24" s="294" t="s">
        <v>19</v>
      </c>
      <c r="E24" s="237">
        <v>1</v>
      </c>
      <c r="F24" s="208">
        <f>K24</f>
        <v>2800000000</v>
      </c>
      <c r="G24" s="208">
        <f>+E24*F24</f>
        <v>2800000000</v>
      </c>
      <c r="H24" s="142"/>
      <c r="I24" s="255">
        <f>2800000000</f>
        <v>2800000000</v>
      </c>
      <c r="J24" s="262">
        <v>1</v>
      </c>
      <c r="K24" s="255">
        <f>I24*J24</f>
        <v>2800000000</v>
      </c>
    </row>
    <row r="25" spans="1:12" s="129" customFormat="1" ht="15.75">
      <c r="A25" s="29" t="s">
        <v>23</v>
      </c>
      <c r="B25" s="5"/>
      <c r="C25" s="6" t="s">
        <v>24</v>
      </c>
      <c r="D25" s="160"/>
      <c r="E25" s="213"/>
      <c r="F25" s="65"/>
      <c r="G25" s="65"/>
      <c r="H25" s="142"/>
      <c r="I25" s="255"/>
      <c r="J25" s="262"/>
      <c r="K25" s="255"/>
    </row>
    <row r="26" spans="1:12" s="129" customFormat="1" ht="15.75">
      <c r="A26" s="22"/>
      <c r="B26" s="30"/>
      <c r="C26" s="31"/>
      <c r="D26" s="294" t="s">
        <v>1</v>
      </c>
      <c r="E26" s="237">
        <f>K26</f>
        <v>14410.000000000002</v>
      </c>
      <c r="F26" s="64" t="e">
        <f>#REF!</f>
        <v>#REF!</v>
      </c>
      <c r="G26" s="64" t="e">
        <f>+E26*F26</f>
        <v>#REF!</v>
      </c>
      <c r="H26" s="142"/>
      <c r="I26" s="255">
        <f>SUM(G12:G20)</f>
        <v>13100</v>
      </c>
      <c r="J26" s="262">
        <v>1.1000000000000001</v>
      </c>
      <c r="K26" s="255">
        <f>I26*J26</f>
        <v>14410.000000000002</v>
      </c>
    </row>
    <row r="27" spans="1:12" s="129" customFormat="1" ht="26.25" customHeight="1">
      <c r="A27" s="110"/>
      <c r="B27" s="5"/>
      <c r="C27" s="27"/>
      <c r="D27" s="95"/>
      <c r="E27" s="92"/>
      <c r="F27" s="93" t="s">
        <v>108</v>
      </c>
      <c r="G27" s="94" t="e">
        <f>SUM(G23:G26)</f>
        <v>#REF!</v>
      </c>
      <c r="H27" s="142"/>
      <c r="I27" s="255"/>
      <c r="J27" s="262"/>
      <c r="K27" s="255"/>
    </row>
    <row r="28" spans="1:12" s="129" customFormat="1">
      <c r="A28" s="142"/>
      <c r="B28" s="142"/>
      <c r="C28" s="142"/>
      <c r="D28" s="142"/>
      <c r="E28" s="75"/>
      <c r="F28" s="62"/>
      <c r="G28" s="62"/>
      <c r="H28" s="142"/>
      <c r="I28" s="255"/>
      <c r="J28" s="262"/>
      <c r="K28" s="255"/>
    </row>
    <row r="29" spans="1:12" s="129" customFormat="1" ht="19.5">
      <c r="A29" s="1" t="s">
        <v>102</v>
      </c>
      <c r="B29" s="2"/>
      <c r="C29" s="3"/>
      <c r="D29" s="52" t="s">
        <v>98</v>
      </c>
      <c r="E29" s="86" t="s">
        <v>99</v>
      </c>
      <c r="F29" s="241" t="s">
        <v>100</v>
      </c>
      <c r="G29" s="241" t="s">
        <v>114</v>
      </c>
      <c r="H29" s="142"/>
      <c r="I29" s="255"/>
      <c r="J29" s="262"/>
      <c r="K29" s="255"/>
      <c r="L29" s="129">
        <f>(19+14)*5500</f>
        <v>181500</v>
      </c>
    </row>
    <row r="30" spans="1:12" s="129" customFormat="1" ht="15.75">
      <c r="A30" s="4" t="s">
        <v>0</v>
      </c>
      <c r="B30" s="5"/>
      <c r="C30" s="6" t="s">
        <v>26</v>
      </c>
      <c r="D30" s="7"/>
      <c r="E30" s="74"/>
      <c r="F30" s="63"/>
      <c r="G30" s="63"/>
      <c r="H30" s="142"/>
      <c r="I30" s="255"/>
      <c r="J30" s="262"/>
      <c r="K30" s="255"/>
    </row>
    <row r="31" spans="1:12" s="129" customFormat="1" ht="15.75">
      <c r="A31" s="22"/>
      <c r="B31" s="30"/>
      <c r="C31" s="31"/>
      <c r="D31" s="32" t="s">
        <v>27</v>
      </c>
      <c r="E31" s="237">
        <v>0</v>
      </c>
      <c r="F31" s="107" t="e">
        <f>#REF!</f>
        <v>#REF!</v>
      </c>
      <c r="G31" s="64" t="e">
        <f>+E31*F31</f>
        <v>#REF!</v>
      </c>
      <c r="H31" s="142"/>
      <c r="I31" s="255"/>
      <c r="J31" s="262"/>
      <c r="K31" s="255"/>
    </row>
    <row r="32" spans="1:12" s="205" customFormat="1" ht="21.75" customHeight="1">
      <c r="A32" s="181" t="s">
        <v>201</v>
      </c>
      <c r="B32" s="202"/>
      <c r="C32" s="159" t="s">
        <v>202</v>
      </c>
      <c r="D32" s="160"/>
      <c r="E32" s="213"/>
      <c r="F32" s="204"/>
      <c r="G32" s="204"/>
      <c r="I32" s="258"/>
      <c r="J32" s="264"/>
      <c r="K32" s="258"/>
    </row>
    <row r="33" spans="1:190" s="205" customFormat="1" ht="21.75" customHeight="1">
      <c r="A33" s="183"/>
      <c r="B33" s="250"/>
      <c r="C33" s="318"/>
      <c r="D33" s="160" t="s">
        <v>27</v>
      </c>
      <c r="E33" s="237">
        <v>0</v>
      </c>
      <c r="F33" s="185">
        <v>316210</v>
      </c>
      <c r="G33" s="208">
        <f>+E33*F33</f>
        <v>0</v>
      </c>
      <c r="I33" s="258">
        <f>F33*1.1</f>
        <v>347831</v>
      </c>
      <c r="J33" s="264">
        <v>1.05</v>
      </c>
      <c r="K33" s="258">
        <f t="shared" ref="K33:K38" si="0">I33*J33</f>
        <v>365222.55</v>
      </c>
    </row>
    <row r="34" spans="1:190" s="225" customFormat="1" ht="21.75" customHeight="1">
      <c r="A34" s="41">
        <v>103</v>
      </c>
      <c r="B34" s="319"/>
      <c r="C34" s="125" t="s">
        <v>28</v>
      </c>
      <c r="D34" s="317"/>
      <c r="E34" s="315"/>
      <c r="F34" s="109"/>
      <c r="G34" s="63"/>
      <c r="I34" s="259"/>
      <c r="J34" s="264">
        <v>1.05</v>
      </c>
      <c r="K34" s="258">
        <f t="shared" si="0"/>
        <v>0</v>
      </c>
      <c r="L34" s="226"/>
      <c r="M34" s="226"/>
      <c r="N34" s="226"/>
      <c r="O34" s="226"/>
      <c r="P34" s="226"/>
      <c r="Q34" s="226"/>
      <c r="R34" s="226"/>
      <c r="S34" s="226"/>
      <c r="T34" s="226"/>
      <c r="U34" s="226"/>
      <c r="V34" s="226"/>
      <c r="W34" s="226"/>
      <c r="X34" s="226"/>
      <c r="Y34" s="226"/>
      <c r="Z34" s="226"/>
      <c r="AA34" s="226"/>
      <c r="AB34" s="226"/>
      <c r="AC34" s="226"/>
      <c r="AD34" s="226"/>
      <c r="AE34" s="226"/>
      <c r="AF34" s="226"/>
      <c r="AG34" s="226"/>
      <c r="AH34" s="226"/>
      <c r="AI34" s="226"/>
      <c r="AJ34" s="226"/>
      <c r="AK34" s="226"/>
      <c r="AL34" s="226"/>
      <c r="AM34" s="226"/>
      <c r="AN34" s="226"/>
      <c r="AO34" s="226"/>
      <c r="AP34" s="226"/>
      <c r="AQ34" s="226"/>
      <c r="AR34" s="226"/>
      <c r="AS34" s="226"/>
      <c r="AT34" s="226"/>
      <c r="AU34" s="226"/>
      <c r="AV34" s="226"/>
      <c r="AW34" s="226"/>
      <c r="AX34" s="226"/>
      <c r="AY34" s="226"/>
      <c r="AZ34" s="226"/>
      <c r="BA34" s="226"/>
      <c r="BB34" s="226"/>
      <c r="BC34" s="226"/>
      <c r="BD34" s="226"/>
      <c r="BE34" s="226"/>
      <c r="BF34" s="226"/>
      <c r="BG34" s="226"/>
      <c r="BH34" s="226"/>
      <c r="BI34" s="226"/>
      <c r="BJ34" s="226"/>
      <c r="BK34" s="226"/>
      <c r="BL34" s="226"/>
      <c r="BM34" s="226"/>
      <c r="BN34" s="226"/>
      <c r="BO34" s="226"/>
      <c r="BP34" s="226"/>
      <c r="BQ34" s="226"/>
      <c r="BR34" s="226"/>
      <c r="BS34" s="226"/>
      <c r="BT34" s="226"/>
      <c r="BU34" s="226"/>
      <c r="BV34" s="226"/>
      <c r="BW34" s="226"/>
      <c r="BX34" s="226"/>
      <c r="BY34" s="226"/>
      <c r="BZ34" s="226"/>
      <c r="CA34" s="226"/>
      <c r="CB34" s="226"/>
      <c r="CC34" s="226"/>
      <c r="CD34" s="226"/>
      <c r="CE34" s="226"/>
      <c r="CF34" s="226"/>
      <c r="CG34" s="226"/>
      <c r="CH34" s="226"/>
      <c r="CI34" s="226"/>
      <c r="CJ34" s="226"/>
      <c r="CK34" s="226"/>
      <c r="CL34" s="226"/>
      <c r="CM34" s="226"/>
      <c r="CN34" s="226"/>
      <c r="CO34" s="226"/>
      <c r="CP34" s="226"/>
      <c r="CQ34" s="226"/>
      <c r="CR34" s="226"/>
      <c r="CS34" s="226"/>
      <c r="CT34" s="226"/>
      <c r="CU34" s="226"/>
      <c r="CV34" s="226"/>
      <c r="CW34" s="226"/>
      <c r="CX34" s="226"/>
      <c r="CY34" s="226"/>
      <c r="CZ34" s="226"/>
      <c r="DA34" s="226"/>
      <c r="DB34" s="226"/>
      <c r="DC34" s="226"/>
      <c r="DD34" s="226"/>
      <c r="DE34" s="226"/>
      <c r="DF34" s="226"/>
      <c r="DG34" s="226"/>
      <c r="DH34" s="226"/>
      <c r="DI34" s="226"/>
      <c r="DJ34" s="226"/>
      <c r="DK34" s="226"/>
      <c r="DL34" s="226"/>
      <c r="DM34" s="226"/>
      <c r="DN34" s="226"/>
      <c r="DO34" s="226"/>
      <c r="DP34" s="226"/>
      <c r="DQ34" s="226"/>
      <c r="DR34" s="226"/>
      <c r="DS34" s="226"/>
      <c r="DT34" s="226"/>
      <c r="DU34" s="226"/>
      <c r="DV34" s="226"/>
      <c r="DW34" s="226"/>
      <c r="DX34" s="226"/>
      <c r="DY34" s="226"/>
      <c r="DZ34" s="226"/>
      <c r="EA34" s="226"/>
      <c r="EB34" s="226"/>
      <c r="EC34" s="226"/>
      <c r="ED34" s="226"/>
      <c r="EE34" s="226"/>
      <c r="EF34" s="226"/>
      <c r="EG34" s="226"/>
      <c r="EH34" s="226"/>
      <c r="EI34" s="226"/>
      <c r="EJ34" s="226"/>
      <c r="EK34" s="226"/>
      <c r="EL34" s="226"/>
      <c r="EM34" s="226"/>
      <c r="EN34" s="226"/>
      <c r="EO34" s="226"/>
      <c r="EP34" s="226"/>
      <c r="EQ34" s="226"/>
      <c r="ER34" s="226"/>
      <c r="ES34" s="226"/>
      <c r="ET34" s="226"/>
      <c r="EU34" s="226"/>
      <c r="EV34" s="226"/>
      <c r="EW34" s="226"/>
      <c r="EX34" s="226"/>
      <c r="EY34" s="226"/>
      <c r="EZ34" s="226"/>
      <c r="FA34" s="226"/>
      <c r="FB34" s="226"/>
      <c r="FC34" s="226"/>
      <c r="FD34" s="226"/>
      <c r="FE34" s="226"/>
      <c r="FF34" s="226"/>
      <c r="FG34" s="226"/>
      <c r="FH34" s="226"/>
      <c r="FI34" s="226"/>
      <c r="FJ34" s="226"/>
      <c r="FK34" s="226"/>
      <c r="FL34" s="226"/>
      <c r="FM34" s="226"/>
      <c r="FN34" s="226"/>
      <c r="FO34" s="226"/>
      <c r="FP34" s="226"/>
      <c r="FQ34" s="226"/>
      <c r="FR34" s="226"/>
      <c r="FS34" s="226"/>
      <c r="FT34" s="226"/>
      <c r="FU34" s="226"/>
      <c r="FV34" s="226"/>
      <c r="FW34" s="226"/>
      <c r="FX34" s="226"/>
      <c r="FY34" s="226"/>
      <c r="FZ34" s="226"/>
      <c r="GA34" s="226"/>
      <c r="GB34" s="226"/>
      <c r="GC34" s="226"/>
      <c r="GD34" s="226"/>
      <c r="GE34" s="226"/>
      <c r="GF34" s="226"/>
      <c r="GG34" s="226"/>
      <c r="GH34" s="226"/>
    </row>
    <row r="35" spans="1:190" ht="21.75" customHeight="1">
      <c r="A35" s="17" t="s">
        <v>29</v>
      </c>
      <c r="B35" s="5"/>
      <c r="C35" s="12" t="s">
        <v>30</v>
      </c>
      <c r="D35" s="235" t="s">
        <v>27</v>
      </c>
      <c r="E35" s="316">
        <f>K35</f>
        <v>82.53</v>
      </c>
      <c r="F35" s="108" t="e">
        <f>#REF!</f>
        <v>#REF!</v>
      </c>
      <c r="G35" s="65" t="e">
        <f>+E35*F35</f>
        <v>#REF!</v>
      </c>
      <c r="I35" s="255">
        <f>30%*I26/50</f>
        <v>78.599999999999994</v>
      </c>
      <c r="J35" s="264">
        <v>1.05</v>
      </c>
      <c r="K35" s="258">
        <f t="shared" si="0"/>
        <v>82.53</v>
      </c>
    </row>
    <row r="36" spans="1:190" ht="21.75" customHeight="1">
      <c r="A36" s="17" t="s">
        <v>31</v>
      </c>
      <c r="B36" s="5"/>
      <c r="C36" s="12" t="s">
        <v>32</v>
      </c>
      <c r="D36" s="153" t="s">
        <v>27</v>
      </c>
      <c r="E36" s="316">
        <f>K36</f>
        <v>82.53</v>
      </c>
      <c r="F36" s="108" t="e">
        <f>F35</f>
        <v>#REF!</v>
      </c>
      <c r="G36" s="65" t="e">
        <f>+E36*F36</f>
        <v>#REF!</v>
      </c>
      <c r="I36" s="255">
        <f>I35</f>
        <v>78.599999999999994</v>
      </c>
      <c r="J36" s="264">
        <v>1.05</v>
      </c>
      <c r="K36" s="258">
        <f t="shared" si="0"/>
        <v>82.53</v>
      </c>
    </row>
    <row r="37" spans="1:190" ht="21.75" customHeight="1">
      <c r="A37" s="17" t="s">
        <v>227</v>
      </c>
      <c r="B37" s="5"/>
      <c r="C37" s="12" t="s">
        <v>33</v>
      </c>
      <c r="D37" s="153" t="s">
        <v>27</v>
      </c>
      <c r="E37" s="316">
        <f>K37</f>
        <v>165.06</v>
      </c>
      <c r="F37" s="108" t="e">
        <f>#REF!</f>
        <v>#REF!</v>
      </c>
      <c r="G37" s="65" t="e">
        <f>+E37*F37</f>
        <v>#REF!</v>
      </c>
      <c r="I37" s="255">
        <f>30%*I26/25</f>
        <v>157.19999999999999</v>
      </c>
      <c r="J37" s="264">
        <v>1.05</v>
      </c>
      <c r="K37" s="258">
        <f t="shared" si="0"/>
        <v>165.06</v>
      </c>
    </row>
    <row r="38" spans="1:190" ht="21.75" customHeight="1">
      <c r="A38" s="36" t="s">
        <v>259</v>
      </c>
      <c r="B38" s="30"/>
      <c r="C38" s="9" t="s">
        <v>260</v>
      </c>
      <c r="D38" s="113" t="s">
        <v>27</v>
      </c>
      <c r="E38" s="301">
        <f>K38</f>
        <v>110.04</v>
      </c>
      <c r="F38" s="107" t="e">
        <f>#REF!</f>
        <v>#REF!</v>
      </c>
      <c r="G38" s="64" t="e">
        <f>+E38*F38</f>
        <v>#REF!</v>
      </c>
      <c r="I38" s="255">
        <f>20%*I26/25</f>
        <v>104.8</v>
      </c>
      <c r="J38" s="264">
        <v>1.05</v>
      </c>
      <c r="K38" s="258">
        <f t="shared" si="0"/>
        <v>110.04</v>
      </c>
    </row>
    <row r="39" spans="1:190" ht="18.75" customHeight="1">
      <c r="A39" s="17">
        <v>104</v>
      </c>
      <c r="B39" s="5"/>
      <c r="C39" s="6" t="s">
        <v>34</v>
      </c>
      <c r="D39" s="108"/>
      <c r="E39" s="161"/>
      <c r="F39" s="109"/>
      <c r="G39" s="65"/>
    </row>
    <row r="40" spans="1:190" ht="16.5" customHeight="1">
      <c r="A40" s="36"/>
      <c r="B40" s="30"/>
      <c r="C40" s="31"/>
      <c r="D40" s="113" t="s">
        <v>1</v>
      </c>
      <c r="E40" s="107">
        <f>K40</f>
        <v>687.75</v>
      </c>
      <c r="F40" s="107" t="e">
        <f>#REF!</f>
        <v>#REF!</v>
      </c>
      <c r="G40" s="64" t="e">
        <f>+E40*F40</f>
        <v>#REF!</v>
      </c>
      <c r="I40" s="255">
        <f>I26*5%</f>
        <v>655</v>
      </c>
      <c r="J40" s="262">
        <f>1.05</f>
        <v>1.05</v>
      </c>
      <c r="K40" s="255">
        <f>I40*J40</f>
        <v>687.75</v>
      </c>
    </row>
    <row r="41" spans="1:190" ht="21.75" customHeight="1">
      <c r="A41" s="17">
        <v>105</v>
      </c>
      <c r="B41" s="5"/>
      <c r="C41" s="6" t="s">
        <v>35</v>
      </c>
      <c r="D41" s="280"/>
      <c r="E41" s="109"/>
      <c r="F41" s="109"/>
      <c r="G41" s="65"/>
    </row>
    <row r="42" spans="1:190" ht="16.5" customHeight="1">
      <c r="A42" s="36"/>
      <c r="B42" s="30"/>
      <c r="C42" s="31"/>
      <c r="D42" s="113" t="s">
        <v>25</v>
      </c>
      <c r="E42" s="107">
        <v>0</v>
      </c>
      <c r="F42" s="107">
        <v>500000000</v>
      </c>
      <c r="G42" s="64">
        <f>+E42*F42</f>
        <v>0</v>
      </c>
    </row>
    <row r="43" spans="1:190" ht="21.75" customHeight="1">
      <c r="A43" s="17">
        <v>106</v>
      </c>
      <c r="B43" s="5"/>
      <c r="C43" s="6" t="s">
        <v>36</v>
      </c>
      <c r="D43" s="280"/>
      <c r="E43" s="109"/>
      <c r="F43" s="109"/>
      <c r="G43" s="65"/>
    </row>
    <row r="44" spans="1:190" ht="15" customHeight="1">
      <c r="A44" s="36"/>
      <c r="B44" s="30"/>
      <c r="C44" s="31"/>
      <c r="D44" s="113" t="s">
        <v>25</v>
      </c>
      <c r="E44" s="107">
        <v>1</v>
      </c>
      <c r="F44" s="107">
        <v>21258620</v>
      </c>
      <c r="G44" s="64">
        <f>+E44*F44</f>
        <v>21258620</v>
      </c>
    </row>
    <row r="45" spans="1:190" ht="28.5" customHeight="1">
      <c r="D45" s="95"/>
      <c r="E45" s="92"/>
      <c r="F45" s="93" t="s">
        <v>106</v>
      </c>
      <c r="G45" s="94" t="e">
        <f>SUM(G30:G44)</f>
        <v>#REF!</v>
      </c>
    </row>
    <row r="47" spans="1:190" ht="27" customHeight="1">
      <c r="D47" s="95"/>
      <c r="E47" s="92"/>
      <c r="F47" s="93" t="s">
        <v>107</v>
      </c>
      <c r="G47" s="94" t="e">
        <f>+G27+G45</f>
        <v>#REF!</v>
      </c>
      <c r="J47" s="262">
        <v>47200</v>
      </c>
    </row>
    <row r="48" spans="1:190" s="114" customFormat="1" ht="27" customHeight="1">
      <c r="D48" s="115"/>
      <c r="E48" s="116"/>
      <c r="F48" s="117"/>
      <c r="G48" s="118"/>
      <c r="I48" s="257"/>
      <c r="J48" s="263">
        <f>3540*5</f>
        <v>17700</v>
      </c>
      <c r="K48" s="257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29"/>
      <c r="W48" s="129"/>
      <c r="X48" s="129"/>
      <c r="Y48" s="129"/>
      <c r="Z48" s="129"/>
      <c r="AA48" s="129"/>
      <c r="AB48" s="129"/>
      <c r="AC48" s="129"/>
      <c r="AD48" s="129"/>
      <c r="AE48" s="129"/>
      <c r="AF48" s="129"/>
      <c r="AG48" s="129"/>
      <c r="AH48" s="129"/>
      <c r="AI48" s="129"/>
      <c r="AJ48" s="129"/>
      <c r="AK48" s="129"/>
      <c r="AL48" s="129"/>
      <c r="AM48" s="129"/>
      <c r="AN48" s="129"/>
      <c r="AO48" s="129"/>
      <c r="AP48" s="129"/>
      <c r="AQ48" s="129"/>
      <c r="AR48" s="129"/>
      <c r="AS48" s="129"/>
      <c r="AT48" s="129"/>
      <c r="AU48" s="129"/>
      <c r="AV48" s="129"/>
      <c r="AW48" s="129"/>
      <c r="AX48" s="129"/>
      <c r="AY48" s="129"/>
      <c r="AZ48" s="129"/>
      <c r="BA48" s="129"/>
      <c r="BB48" s="129"/>
      <c r="BC48" s="129"/>
      <c r="BD48" s="129"/>
      <c r="BE48" s="129"/>
      <c r="BF48" s="129"/>
      <c r="BG48" s="129"/>
      <c r="BH48" s="129"/>
      <c r="BI48" s="129"/>
      <c r="BJ48" s="129"/>
      <c r="BK48" s="129"/>
      <c r="BL48" s="129"/>
      <c r="BM48" s="129"/>
      <c r="BN48" s="129"/>
      <c r="BO48" s="129"/>
      <c r="BP48" s="129"/>
      <c r="BQ48" s="129"/>
      <c r="BR48" s="129"/>
      <c r="BS48" s="129"/>
      <c r="BT48" s="129"/>
      <c r="BU48" s="129"/>
      <c r="BV48" s="129"/>
      <c r="BW48" s="129"/>
      <c r="BX48" s="129"/>
      <c r="BY48" s="129"/>
      <c r="BZ48" s="129"/>
      <c r="CA48" s="129"/>
      <c r="CB48" s="129"/>
      <c r="CC48" s="129"/>
      <c r="CD48" s="129"/>
      <c r="CE48" s="129"/>
      <c r="CF48" s="129"/>
      <c r="CG48" s="129"/>
      <c r="CH48" s="129"/>
      <c r="CI48" s="129"/>
      <c r="CJ48" s="129"/>
      <c r="CK48" s="129"/>
      <c r="CL48" s="129"/>
      <c r="CM48" s="129"/>
      <c r="CN48" s="129"/>
      <c r="CO48" s="129"/>
      <c r="CP48" s="129"/>
      <c r="CQ48" s="129"/>
      <c r="CR48" s="129"/>
      <c r="CS48" s="129"/>
      <c r="CT48" s="129"/>
      <c r="CU48" s="129"/>
      <c r="CV48" s="129"/>
      <c r="CW48" s="129"/>
      <c r="CX48" s="129"/>
      <c r="CY48" s="129"/>
      <c r="CZ48" s="129"/>
      <c r="DA48" s="129"/>
      <c r="DB48" s="129"/>
      <c r="DC48" s="129"/>
      <c r="DD48" s="129"/>
      <c r="DE48" s="129"/>
      <c r="DF48" s="129"/>
      <c r="DG48" s="129"/>
      <c r="DH48" s="129"/>
      <c r="DI48" s="129"/>
      <c r="DJ48" s="129"/>
      <c r="DK48" s="129"/>
      <c r="DL48" s="129"/>
      <c r="DM48" s="129"/>
      <c r="DN48" s="129"/>
      <c r="DO48" s="129"/>
      <c r="DP48" s="129"/>
      <c r="DQ48" s="129"/>
      <c r="DR48" s="129"/>
      <c r="DS48" s="129"/>
      <c r="DT48" s="129"/>
      <c r="DU48" s="129"/>
      <c r="DV48" s="129"/>
      <c r="DW48" s="129"/>
      <c r="DX48" s="129"/>
      <c r="DY48" s="129"/>
      <c r="DZ48" s="129"/>
      <c r="EA48" s="129"/>
      <c r="EB48" s="129"/>
      <c r="EC48" s="129"/>
      <c r="ED48" s="129"/>
      <c r="EE48" s="129"/>
      <c r="EF48" s="129"/>
      <c r="EG48" s="129"/>
      <c r="EH48" s="129"/>
      <c r="EI48" s="129"/>
      <c r="EJ48" s="129"/>
      <c r="EK48" s="129"/>
      <c r="EL48" s="129"/>
      <c r="EM48" s="129"/>
      <c r="EN48" s="129"/>
      <c r="EO48" s="129"/>
      <c r="EP48" s="129"/>
      <c r="EQ48" s="129"/>
      <c r="ER48" s="129"/>
      <c r="ES48" s="129"/>
      <c r="ET48" s="129"/>
      <c r="EU48" s="129"/>
      <c r="EV48" s="129"/>
      <c r="EW48" s="129"/>
      <c r="EX48" s="129"/>
      <c r="EY48" s="129"/>
      <c r="EZ48" s="129"/>
      <c r="FA48" s="129"/>
      <c r="FB48" s="129"/>
      <c r="FC48" s="129"/>
      <c r="FD48" s="129"/>
      <c r="FE48" s="129"/>
      <c r="FF48" s="129"/>
      <c r="FG48" s="129"/>
      <c r="FH48" s="129"/>
      <c r="FI48" s="129"/>
      <c r="FJ48" s="129"/>
      <c r="FK48" s="129"/>
      <c r="FL48" s="129"/>
      <c r="FM48" s="129"/>
      <c r="FN48" s="129"/>
      <c r="FO48" s="129"/>
      <c r="FP48" s="129"/>
      <c r="FQ48" s="129"/>
      <c r="FR48" s="129"/>
      <c r="FS48" s="129"/>
      <c r="FT48" s="129"/>
      <c r="FU48" s="129"/>
      <c r="FV48" s="129"/>
      <c r="FW48" s="129"/>
      <c r="FX48" s="129"/>
      <c r="FY48" s="129"/>
      <c r="FZ48" s="129"/>
      <c r="GA48" s="129"/>
      <c r="GB48" s="129"/>
      <c r="GC48" s="129"/>
      <c r="GD48" s="129"/>
      <c r="GE48" s="129"/>
      <c r="GF48" s="129"/>
      <c r="GG48" s="129"/>
      <c r="GH48" s="129"/>
    </row>
    <row r="49" spans="1:190" ht="8.25" customHeight="1">
      <c r="A49" s="10"/>
      <c r="B49" s="11"/>
      <c r="C49" s="12"/>
      <c r="D49" s="51"/>
      <c r="E49" s="76"/>
      <c r="F49" s="66"/>
      <c r="G49" s="66"/>
    </row>
    <row r="50" spans="1:190" ht="23.25" customHeight="1">
      <c r="A50" s="1" t="s">
        <v>41</v>
      </c>
      <c r="B50" s="2"/>
      <c r="C50" s="3"/>
      <c r="D50" s="52" t="s">
        <v>98</v>
      </c>
      <c r="E50" s="86" t="s">
        <v>99</v>
      </c>
      <c r="F50" s="86" t="s">
        <v>100</v>
      </c>
      <c r="G50" s="86" t="s">
        <v>114</v>
      </c>
    </row>
    <row r="51" spans="1:190" ht="15.95" customHeight="1">
      <c r="A51" s="4" t="s">
        <v>2</v>
      </c>
      <c r="B51" s="5"/>
      <c r="C51" s="14" t="s">
        <v>38</v>
      </c>
      <c r="D51" s="7"/>
      <c r="E51" s="74"/>
      <c r="F51" s="109"/>
      <c r="G51" s="65"/>
    </row>
    <row r="52" spans="1:190" ht="15.95" customHeight="1">
      <c r="A52" s="8"/>
      <c r="B52" s="15"/>
      <c r="C52" s="9"/>
      <c r="D52" s="53" t="s">
        <v>19</v>
      </c>
      <c r="E52" s="77">
        <v>1</v>
      </c>
      <c r="F52" s="107">
        <f>I52</f>
        <v>67134000</v>
      </c>
      <c r="G52" s="64">
        <f>+E52*F52</f>
        <v>67134000</v>
      </c>
      <c r="I52" s="255">
        <f>200*(G12*H12+G13*H13+G14*H14+G15*H15+G16*H16+G18*H18+G19*H19+G20*H20)</f>
        <v>67134000</v>
      </c>
    </row>
    <row r="53" spans="1:190" ht="15.95" customHeight="1">
      <c r="A53" s="4" t="s">
        <v>3</v>
      </c>
      <c r="B53" s="21"/>
      <c r="C53" s="14" t="s">
        <v>37</v>
      </c>
      <c r="D53" s="54"/>
      <c r="E53" s="78"/>
      <c r="F53" s="109"/>
      <c r="G53" s="65"/>
    </row>
    <row r="54" spans="1:190" ht="15.95" customHeight="1">
      <c r="A54" s="4" t="s">
        <v>39</v>
      </c>
      <c r="B54" s="21"/>
      <c r="C54" s="193" t="s">
        <v>40</v>
      </c>
      <c r="D54" s="282" t="s">
        <v>94</v>
      </c>
      <c r="E54" s="299">
        <f>K54</f>
        <v>57613.5</v>
      </c>
      <c r="F54" s="108" t="e">
        <f>#REF!</f>
        <v>#REF!</v>
      </c>
      <c r="G54" s="65" t="e">
        <f>+E54*F54</f>
        <v>#REF!</v>
      </c>
      <c r="I54" s="255">
        <f>(G12*H12+G13*H13+G14*H14+G15*H15+G20*H20)</f>
        <v>54870</v>
      </c>
      <c r="J54" s="262">
        <v>1.05</v>
      </c>
      <c r="K54" s="255">
        <f>I54*J54</f>
        <v>57613.5</v>
      </c>
    </row>
    <row r="55" spans="1:190" s="198" customFormat="1" ht="15.95" customHeight="1">
      <c r="A55" s="342" t="s">
        <v>127</v>
      </c>
      <c r="B55" s="343"/>
      <c r="C55" s="344" t="s">
        <v>128</v>
      </c>
      <c r="D55" s="345" t="s">
        <v>377</v>
      </c>
      <c r="E55" s="346">
        <f>K55</f>
        <v>294840</v>
      </c>
      <c r="F55" s="201" t="e">
        <f>#REF!</f>
        <v>#REF!</v>
      </c>
      <c r="G55" s="347" t="e">
        <f>+E55*F55</f>
        <v>#REF!</v>
      </c>
      <c r="I55" s="256">
        <f>G16*H16+G19*H19+G18*H18</f>
        <v>280800</v>
      </c>
      <c r="J55" s="330">
        <v>1.05</v>
      </c>
      <c r="K55" s="256">
        <f>I55*J55</f>
        <v>294840</v>
      </c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  <c r="DQ55" s="199"/>
      <c r="DR55" s="199"/>
      <c r="DS55" s="199"/>
      <c r="DT55" s="199"/>
      <c r="DU55" s="199"/>
      <c r="DV55" s="199"/>
      <c r="DW55" s="199"/>
      <c r="DX55" s="199"/>
      <c r="DY55" s="199"/>
      <c r="DZ55" s="199"/>
      <c r="EA55" s="199"/>
      <c r="EB55" s="199"/>
      <c r="EC55" s="199"/>
      <c r="ED55" s="199"/>
      <c r="EE55" s="199"/>
      <c r="EF55" s="199"/>
      <c r="EG55" s="199"/>
      <c r="EH55" s="199"/>
      <c r="EI55" s="199"/>
      <c r="EJ55" s="199"/>
      <c r="EK55" s="199"/>
      <c r="EL55" s="199"/>
      <c r="EM55" s="199"/>
      <c r="EN55" s="199"/>
      <c r="EO55" s="199"/>
      <c r="EP55" s="199"/>
      <c r="EQ55" s="199"/>
      <c r="ER55" s="199"/>
      <c r="ES55" s="199"/>
      <c r="ET55" s="199"/>
      <c r="EU55" s="199"/>
      <c r="EV55" s="199"/>
      <c r="EW55" s="199"/>
      <c r="EX55" s="199"/>
      <c r="EY55" s="199"/>
      <c r="EZ55" s="199"/>
      <c r="FA55" s="199"/>
      <c r="FB55" s="199"/>
      <c r="FC55" s="199"/>
      <c r="FD55" s="199"/>
      <c r="FE55" s="199"/>
      <c r="FF55" s="199"/>
      <c r="FG55" s="199"/>
      <c r="FH55" s="199"/>
      <c r="FI55" s="199"/>
      <c r="FJ55" s="199"/>
      <c r="FK55" s="199"/>
      <c r="FL55" s="199"/>
      <c r="FM55" s="199"/>
      <c r="FN55" s="199"/>
      <c r="FO55" s="199"/>
      <c r="FP55" s="199"/>
      <c r="FQ55" s="199"/>
      <c r="FR55" s="199"/>
      <c r="FS55" s="199"/>
      <c r="FT55" s="199"/>
      <c r="FU55" s="199"/>
      <c r="FV55" s="199"/>
      <c r="FW55" s="199"/>
      <c r="FX55" s="199"/>
      <c r="FY55" s="199"/>
      <c r="FZ55" s="199"/>
      <c r="GA55" s="199"/>
      <c r="GB55" s="199"/>
      <c r="GC55" s="199"/>
      <c r="GD55" s="199"/>
      <c r="GE55" s="199"/>
      <c r="GF55" s="199"/>
      <c r="GG55" s="199"/>
      <c r="GH55" s="199"/>
    </row>
    <row r="56" spans="1:190" ht="15.95" customHeight="1">
      <c r="A56" s="17">
        <v>203</v>
      </c>
      <c r="B56" s="21"/>
      <c r="C56" s="14" t="s">
        <v>42</v>
      </c>
      <c r="D56" s="54"/>
      <c r="E56" s="78"/>
      <c r="F56" s="109"/>
      <c r="G56" s="63"/>
    </row>
    <row r="57" spans="1:190" ht="15.95" customHeight="1">
      <c r="A57" s="22"/>
      <c r="B57" s="15"/>
      <c r="C57" s="38"/>
      <c r="D57" s="53" t="s">
        <v>27</v>
      </c>
      <c r="E57" s="77">
        <f>K57</f>
        <v>110.04</v>
      </c>
      <c r="F57" s="107" t="e">
        <f>#REF!</f>
        <v>#REF!</v>
      </c>
      <c r="G57" s="64" t="e">
        <f>+E57*F57</f>
        <v>#REF!</v>
      </c>
      <c r="I57" s="255">
        <f>40%*I26/50</f>
        <v>104.8</v>
      </c>
      <c r="J57" s="262">
        <v>1.05</v>
      </c>
      <c r="K57" s="255">
        <f>I57*J57</f>
        <v>110.04</v>
      </c>
    </row>
    <row r="58" spans="1:190" ht="15.95" customHeight="1">
      <c r="A58" s="87" t="s">
        <v>4</v>
      </c>
      <c r="B58" s="42"/>
      <c r="C58" s="125" t="s">
        <v>43</v>
      </c>
      <c r="D58" s="57"/>
      <c r="E58" s="81"/>
      <c r="F58" s="109"/>
      <c r="G58" s="63"/>
    </row>
    <row r="59" spans="1:190" ht="15.95" customHeight="1">
      <c r="A59" s="4" t="s">
        <v>44</v>
      </c>
      <c r="B59" s="5"/>
      <c r="C59" s="123" t="s">
        <v>46</v>
      </c>
      <c r="D59" s="272" t="s">
        <v>251</v>
      </c>
      <c r="E59" s="275">
        <f>K59</f>
        <v>13.755000000000001</v>
      </c>
      <c r="F59" s="108" t="e">
        <f>#REF!</f>
        <v>#REF!</v>
      </c>
      <c r="G59" s="65" t="e">
        <f>+E59*F59</f>
        <v>#REF!</v>
      </c>
      <c r="I59" s="262">
        <f>I26/1000</f>
        <v>13.1</v>
      </c>
      <c r="J59" s="262">
        <v>1.05</v>
      </c>
      <c r="K59" s="277">
        <f>I59*J59</f>
        <v>13.755000000000001</v>
      </c>
    </row>
    <row r="60" spans="1:190" s="129" customFormat="1" ht="15.95" customHeight="1">
      <c r="A60" s="4" t="s">
        <v>45</v>
      </c>
      <c r="B60" s="5"/>
      <c r="C60" s="123" t="s">
        <v>47</v>
      </c>
      <c r="D60" s="272" t="s">
        <v>251</v>
      </c>
      <c r="E60" s="275">
        <f>K60</f>
        <v>13.755000000000001</v>
      </c>
      <c r="F60" s="108" t="e">
        <f>#REF!</f>
        <v>#REF!</v>
      </c>
      <c r="G60" s="65" t="e">
        <f>+E60*F60</f>
        <v>#REF!</v>
      </c>
      <c r="H60" s="142"/>
      <c r="I60" s="262">
        <f>I59</f>
        <v>13.1</v>
      </c>
      <c r="J60" s="262">
        <v>1.05</v>
      </c>
      <c r="K60" s="277">
        <f>I60*J60</f>
        <v>13.755000000000001</v>
      </c>
    </row>
    <row r="61" spans="1:190" s="129" customFormat="1" ht="15.95" customHeight="1">
      <c r="A61" s="4" t="s">
        <v>48</v>
      </c>
      <c r="B61" s="5"/>
      <c r="C61" s="123" t="s">
        <v>204</v>
      </c>
      <c r="D61" s="272" t="s">
        <v>205</v>
      </c>
      <c r="E61" s="275">
        <f>K61</f>
        <v>1441.0000000000002</v>
      </c>
      <c r="F61" s="108" t="e">
        <f>#REF!</f>
        <v>#REF!</v>
      </c>
      <c r="G61" s="65" t="e">
        <f>+E61*F61</f>
        <v>#REF!</v>
      </c>
      <c r="H61" s="142"/>
      <c r="I61" s="262">
        <f>10%*I26</f>
        <v>1310</v>
      </c>
      <c r="J61" s="262">
        <v>1.1000000000000001</v>
      </c>
      <c r="K61" s="277">
        <f>I61*J61</f>
        <v>1441.0000000000002</v>
      </c>
    </row>
    <row r="62" spans="1:190" s="129" customFormat="1" ht="15.95" customHeight="1">
      <c r="A62" s="22" t="s">
        <v>203</v>
      </c>
      <c r="B62" s="30"/>
      <c r="C62" s="24" t="s">
        <v>49</v>
      </c>
      <c r="D62" s="168" t="s">
        <v>251</v>
      </c>
      <c r="E62" s="276">
        <f>K62</f>
        <v>13.755000000000001</v>
      </c>
      <c r="F62" s="108" t="e">
        <f>#REF!</f>
        <v>#REF!</v>
      </c>
      <c r="G62" s="64" t="e">
        <f>+E62*F62</f>
        <v>#REF!</v>
      </c>
      <c r="H62" s="142"/>
      <c r="I62" s="262">
        <f>I60</f>
        <v>13.1</v>
      </c>
      <c r="J62" s="262">
        <v>1.05</v>
      </c>
      <c r="K62" s="277">
        <f>I62*J62</f>
        <v>13.755000000000001</v>
      </c>
    </row>
    <row r="63" spans="1:190" s="129" customFormat="1" ht="15.95" customHeight="1">
      <c r="A63" s="17">
        <v>206</v>
      </c>
      <c r="B63" s="5"/>
      <c r="C63" s="14" t="s">
        <v>123</v>
      </c>
      <c r="D63" s="56"/>
      <c r="E63" s="80"/>
      <c r="F63" s="109"/>
      <c r="G63" s="65"/>
      <c r="H63" s="142"/>
      <c r="I63" s="255"/>
      <c r="J63" s="262"/>
      <c r="K63" s="255"/>
    </row>
    <row r="64" spans="1:190" s="129" customFormat="1" ht="15.95" customHeight="1">
      <c r="A64" s="8"/>
      <c r="B64" s="15"/>
      <c r="C64" s="16"/>
      <c r="D64" s="53" t="s">
        <v>94</v>
      </c>
      <c r="E64" s="150">
        <f>K64</f>
        <v>4329.6000000000004</v>
      </c>
      <c r="F64" s="107" t="e">
        <f>#REF!</f>
        <v>#REF!</v>
      </c>
      <c r="G64" s="64" t="e">
        <f>+E64*F64</f>
        <v>#REF!</v>
      </c>
      <c r="H64" s="142"/>
      <c r="I64" s="255">
        <f>9.84*G20+9.84*100</f>
        <v>3936</v>
      </c>
      <c r="J64" s="262">
        <v>1.1000000000000001</v>
      </c>
      <c r="K64" s="255">
        <f>I64*J64</f>
        <v>4329.6000000000004</v>
      </c>
    </row>
    <row r="65" spans="1:12" s="129" customFormat="1" ht="15.95" customHeight="1">
      <c r="A65" s="41" t="s">
        <v>50</v>
      </c>
      <c r="B65" s="42"/>
      <c r="C65" s="43" t="s">
        <v>51</v>
      </c>
      <c r="D65" s="57"/>
      <c r="E65" s="311"/>
      <c r="F65" s="109"/>
      <c r="G65" s="63"/>
      <c r="H65" s="142"/>
      <c r="I65" s="255"/>
      <c r="J65" s="262"/>
      <c r="K65" s="255"/>
    </row>
    <row r="66" spans="1:12" s="129" customFormat="1" ht="15.95" customHeight="1">
      <c r="A66" s="8"/>
      <c r="B66" s="15"/>
      <c r="C66" s="16"/>
      <c r="D66" s="53" t="s">
        <v>1</v>
      </c>
      <c r="E66" s="150">
        <f>K66</f>
        <v>2200</v>
      </c>
      <c r="F66" s="107" t="e">
        <f>#REF!</f>
        <v>#REF!</v>
      </c>
      <c r="G66" s="64" t="e">
        <f>+E66*F66</f>
        <v>#REF!</v>
      </c>
      <c r="H66" s="142"/>
      <c r="I66" s="255">
        <f>2000</f>
        <v>2000</v>
      </c>
      <c r="J66" s="262">
        <v>1.1000000000000001</v>
      </c>
      <c r="K66" s="255">
        <f>I66*J66</f>
        <v>2200</v>
      </c>
    </row>
    <row r="67" spans="1:12" s="129" customFormat="1" ht="15.95" customHeight="1">
      <c r="A67" s="41" t="s">
        <v>52</v>
      </c>
      <c r="B67" s="42"/>
      <c r="C67" s="43" t="s">
        <v>53</v>
      </c>
      <c r="D67" s="57"/>
      <c r="E67" s="81"/>
      <c r="F67" s="109"/>
      <c r="G67" s="63"/>
      <c r="H67" s="142"/>
      <c r="I67" s="255"/>
      <c r="J67" s="262"/>
      <c r="K67" s="255"/>
    </row>
    <row r="68" spans="1:12" s="129" customFormat="1" ht="15.95" customHeight="1">
      <c r="A68" s="17" t="s">
        <v>54</v>
      </c>
      <c r="B68" s="5"/>
      <c r="C68" s="39" t="s">
        <v>97</v>
      </c>
      <c r="D68" s="50" t="s">
        <v>1</v>
      </c>
      <c r="E68" s="83">
        <f>K68</f>
        <v>5656.2000000000007</v>
      </c>
      <c r="F68" s="108" t="e">
        <f>#REF!</f>
        <v>#REF!</v>
      </c>
      <c r="G68" s="65" t="e">
        <f>+E68*F68</f>
        <v>#REF!</v>
      </c>
      <c r="H68" s="142"/>
      <c r="I68" s="83">
        <v>5142</v>
      </c>
      <c r="J68" s="262">
        <v>1.1000000000000001</v>
      </c>
      <c r="K68" s="255">
        <f>I68*J68</f>
        <v>5656.2000000000007</v>
      </c>
    </row>
    <row r="69" spans="1:12" s="129" customFormat="1" ht="15.95" customHeight="1">
      <c r="A69" s="17" t="s">
        <v>56</v>
      </c>
      <c r="B69" s="5"/>
      <c r="C69" s="39" t="s">
        <v>55</v>
      </c>
      <c r="D69" s="50" t="s">
        <v>1</v>
      </c>
      <c r="E69" s="83">
        <f>K69</f>
        <v>863.50000000000011</v>
      </c>
      <c r="F69" s="108" t="e">
        <f>#REF!</f>
        <v>#REF!</v>
      </c>
      <c r="G69" s="64" t="e">
        <f>+E69*F69</f>
        <v>#REF!</v>
      </c>
      <c r="H69" s="142"/>
      <c r="I69" s="255">
        <f>785</f>
        <v>785</v>
      </c>
      <c r="J69" s="262">
        <v>1.1000000000000001</v>
      </c>
      <c r="K69" s="255">
        <f>I69*J69</f>
        <v>863.50000000000011</v>
      </c>
    </row>
    <row r="70" spans="1:12" s="129" customFormat="1" ht="15.95" customHeight="1">
      <c r="A70" s="41">
        <v>210</v>
      </c>
      <c r="B70" s="42"/>
      <c r="C70" s="43" t="s">
        <v>57</v>
      </c>
      <c r="D70" s="57"/>
      <c r="E70" s="84"/>
      <c r="F70" s="109"/>
      <c r="G70" s="63"/>
      <c r="H70" s="142"/>
      <c r="I70" s="255"/>
      <c r="J70" s="262"/>
      <c r="K70" s="255"/>
    </row>
    <row r="71" spans="1:12" s="129" customFormat="1" ht="15.95" customHeight="1">
      <c r="A71" s="8"/>
      <c r="B71" s="15"/>
      <c r="C71" s="16"/>
      <c r="D71" s="53" t="s">
        <v>94</v>
      </c>
      <c r="E71" s="150">
        <f>K71</f>
        <v>0</v>
      </c>
      <c r="F71" s="107" t="e">
        <f>#REF!</f>
        <v>#REF!</v>
      </c>
      <c r="G71" s="64" t="e">
        <f>+E71*F71</f>
        <v>#REF!</v>
      </c>
      <c r="H71" s="142"/>
      <c r="I71" s="255">
        <v>0</v>
      </c>
      <c r="J71" s="262">
        <v>1.05</v>
      </c>
      <c r="K71" s="255">
        <f>I71*J71</f>
        <v>0</v>
      </c>
    </row>
    <row r="72" spans="1:12" s="129" customFormat="1" ht="15.95" customHeight="1">
      <c r="A72" s="41">
        <v>212</v>
      </c>
      <c r="B72" s="42"/>
      <c r="C72" s="43" t="s">
        <v>58</v>
      </c>
      <c r="D72" s="57"/>
      <c r="E72" s="84"/>
      <c r="F72" s="109"/>
      <c r="G72" s="63"/>
      <c r="H72" s="142"/>
      <c r="I72" s="255"/>
      <c r="J72" s="262"/>
      <c r="K72" s="255"/>
    </row>
    <row r="73" spans="1:12" s="129" customFormat="1" ht="15.95" customHeight="1">
      <c r="A73" s="8"/>
      <c r="B73" s="15"/>
      <c r="C73" s="16"/>
      <c r="D73" s="53" t="s">
        <v>94</v>
      </c>
      <c r="E73" s="77">
        <f>K73</f>
        <v>4329.6000000000004</v>
      </c>
      <c r="F73" s="107" t="e">
        <f>#REF!</f>
        <v>#REF!</v>
      </c>
      <c r="G73" s="64" t="e">
        <f>+E73*F73</f>
        <v>#REF!</v>
      </c>
      <c r="H73" s="142"/>
      <c r="I73" s="255">
        <f>I64</f>
        <v>3936</v>
      </c>
      <c r="J73" s="262">
        <f>1.1</f>
        <v>1.1000000000000001</v>
      </c>
      <c r="K73" s="255">
        <f>I73*J73</f>
        <v>4329.6000000000004</v>
      </c>
    </row>
    <row r="74" spans="1:12" s="129" customFormat="1" ht="15.95" customHeight="1">
      <c r="A74" s="41">
        <v>215</v>
      </c>
      <c r="B74" s="42"/>
      <c r="C74" s="43" t="s">
        <v>59</v>
      </c>
      <c r="D74" s="57"/>
      <c r="E74" s="84"/>
      <c r="F74" s="109"/>
      <c r="G74" s="63"/>
      <c r="H74" s="142"/>
      <c r="I74" s="255"/>
      <c r="J74" s="262"/>
      <c r="K74" s="255"/>
    </row>
    <row r="75" spans="1:12" s="129" customFormat="1" ht="15.95" customHeight="1">
      <c r="A75" s="8"/>
      <c r="B75" s="15"/>
      <c r="C75" s="16"/>
      <c r="D75" s="53" t="s">
        <v>1</v>
      </c>
      <c r="E75" s="77">
        <v>0</v>
      </c>
      <c r="F75" s="107" t="e">
        <f>#REF!</f>
        <v>#REF!</v>
      </c>
      <c r="G75" s="64" t="e">
        <f>+E75*F75</f>
        <v>#REF!</v>
      </c>
      <c r="H75" s="142"/>
      <c r="I75" s="255"/>
      <c r="J75" s="262"/>
      <c r="K75" s="255"/>
    </row>
    <row r="76" spans="1:12" s="129" customFormat="1" ht="25.5" customHeight="1">
      <c r="A76" s="10"/>
      <c r="B76" s="21"/>
      <c r="C76" s="40"/>
      <c r="D76" s="95"/>
      <c r="E76" s="92"/>
      <c r="F76" s="93" t="s">
        <v>111</v>
      </c>
      <c r="G76" s="94" t="e">
        <f>SUM(G51:G75)</f>
        <v>#REF!</v>
      </c>
      <c r="H76" s="142"/>
      <c r="I76" s="262">
        <f>2.55+2</f>
        <v>4.55</v>
      </c>
      <c r="J76" s="262"/>
      <c r="K76" s="262">
        <f>20-J77</f>
        <v>10.9</v>
      </c>
    </row>
    <row r="77" spans="1:12" s="129" customFormat="1" ht="15.95" customHeight="1">
      <c r="A77" s="10"/>
      <c r="B77" s="21"/>
      <c r="C77" s="40"/>
      <c r="D77" s="51"/>
      <c r="E77" s="76"/>
      <c r="F77" s="66"/>
      <c r="G77" s="66"/>
      <c r="H77" s="142"/>
      <c r="I77" s="255"/>
      <c r="J77" s="262">
        <f>I76*2</f>
        <v>9.1</v>
      </c>
      <c r="K77" s="255"/>
    </row>
    <row r="78" spans="1:12" s="129" customFormat="1" ht="23.25" customHeight="1">
      <c r="A78" s="1" t="s">
        <v>5</v>
      </c>
      <c r="B78" s="2"/>
      <c r="C78" s="3"/>
      <c r="D78" s="52" t="s">
        <v>98</v>
      </c>
      <c r="E78" s="86" t="s">
        <v>99</v>
      </c>
      <c r="F78" s="71" t="s">
        <v>100</v>
      </c>
      <c r="G78" s="71" t="s">
        <v>114</v>
      </c>
      <c r="H78" s="142"/>
      <c r="I78" s="255"/>
      <c r="J78" s="262"/>
      <c r="K78" s="255"/>
    </row>
    <row r="79" spans="1:12" s="129" customFormat="1" ht="15.95" customHeight="1">
      <c r="A79" s="41" t="s">
        <v>6</v>
      </c>
      <c r="B79" s="5"/>
      <c r="C79" s="19" t="s">
        <v>60</v>
      </c>
      <c r="D79" s="160"/>
      <c r="E79" s="213"/>
      <c r="F79" s="109"/>
      <c r="G79" s="63"/>
      <c r="H79" s="142"/>
      <c r="I79" s="255"/>
      <c r="J79" s="262"/>
      <c r="K79" s="255"/>
    </row>
    <row r="80" spans="1:12" s="129" customFormat="1" ht="15.95" customHeight="1">
      <c r="A80" s="17" t="s">
        <v>61</v>
      </c>
      <c r="B80" s="5"/>
      <c r="C80" s="12" t="s">
        <v>62</v>
      </c>
      <c r="D80" s="298" t="s">
        <v>95</v>
      </c>
      <c r="E80" s="316">
        <f>K80</f>
        <v>97498.500000000015</v>
      </c>
      <c r="F80" s="108" t="e">
        <f>#REF!</f>
        <v>#REF!</v>
      </c>
      <c r="G80" s="65" t="e">
        <f>E80*F80</f>
        <v>#REF!</v>
      </c>
      <c r="H80" s="142"/>
      <c r="I80" s="268">
        <f>(G12*H12+G13*H13+G14*H14+G15*H15+G16*H16)*0.5</f>
        <v>88635</v>
      </c>
      <c r="J80" s="262">
        <v>1.1000000000000001</v>
      </c>
      <c r="K80" s="255">
        <f>I80*J80</f>
        <v>97498.500000000015</v>
      </c>
      <c r="L80" s="129" t="s">
        <v>403</v>
      </c>
    </row>
    <row r="81" spans="1:13" s="129" customFormat="1" ht="15.95" customHeight="1">
      <c r="A81" s="36" t="s">
        <v>130</v>
      </c>
      <c r="B81" s="30"/>
      <c r="C81" s="24" t="s">
        <v>131</v>
      </c>
      <c r="D81" s="148" t="s">
        <v>95</v>
      </c>
      <c r="E81" s="148">
        <f>K81</f>
        <v>61776.000000000007</v>
      </c>
      <c r="F81" s="107" t="e">
        <f>#REF!</f>
        <v>#REF!</v>
      </c>
      <c r="G81" s="64" t="e">
        <f>+E81*F81</f>
        <v>#REF!</v>
      </c>
      <c r="H81" s="142"/>
      <c r="I81" s="268">
        <f>(G16*H16+G18*H18+G19*H19)*0.2</f>
        <v>56160</v>
      </c>
      <c r="J81" s="262">
        <v>1.1000000000000001</v>
      </c>
      <c r="K81" s="255">
        <f>I81*J81</f>
        <v>61776.000000000007</v>
      </c>
      <c r="L81" s="129" t="s">
        <v>475</v>
      </c>
    </row>
    <row r="82" spans="1:13" s="129" customFormat="1" ht="15.95" customHeight="1">
      <c r="A82" s="4" t="s">
        <v>7</v>
      </c>
      <c r="B82" s="5"/>
      <c r="C82" s="14" t="s">
        <v>63</v>
      </c>
      <c r="D82" s="56"/>
      <c r="E82" s="297"/>
      <c r="F82" s="108"/>
      <c r="G82" s="65"/>
      <c r="H82" s="142"/>
      <c r="I82" s="255"/>
      <c r="J82" s="262"/>
      <c r="K82" s="255"/>
    </row>
    <row r="83" spans="1:13" s="129" customFormat="1" ht="15.95" customHeight="1">
      <c r="A83" s="8"/>
      <c r="B83" s="15"/>
      <c r="C83" s="16"/>
      <c r="D83" s="53" t="s">
        <v>95</v>
      </c>
      <c r="E83" s="147">
        <f>K83</f>
        <v>0</v>
      </c>
      <c r="F83" s="107" t="e">
        <f>#REF!</f>
        <v>#REF!</v>
      </c>
      <c r="G83" s="64" t="e">
        <f>+E83*F83</f>
        <v>#REF!</v>
      </c>
      <c r="H83" s="142"/>
      <c r="I83" s="255">
        <v>0</v>
      </c>
      <c r="J83" s="262">
        <v>1.1499999999999999</v>
      </c>
      <c r="K83" s="255">
        <f>I83*J83</f>
        <v>0</v>
      </c>
    </row>
    <row r="84" spans="1:13" s="129" customFormat="1" ht="15.95" customHeight="1">
      <c r="A84" s="4" t="s">
        <v>8</v>
      </c>
      <c r="B84" s="5"/>
      <c r="C84" s="14" t="s">
        <v>64</v>
      </c>
      <c r="D84" s="56"/>
      <c r="E84" s="297"/>
      <c r="F84" s="109"/>
      <c r="G84" s="63"/>
      <c r="H84" s="142"/>
      <c r="I84" s="255"/>
      <c r="J84" s="262"/>
      <c r="K84" s="255"/>
      <c r="M84" s="270">
        <f>K87-K85</f>
        <v>-354684.75</v>
      </c>
    </row>
    <row r="85" spans="1:13" s="129" customFormat="1" ht="15.95" customHeight="1">
      <c r="A85" s="8"/>
      <c r="B85" s="15"/>
      <c r="C85" s="20"/>
      <c r="D85" s="53" t="s">
        <v>95</v>
      </c>
      <c r="E85" s="150">
        <f>K85</f>
        <v>516804.75</v>
      </c>
      <c r="F85" s="107" t="e">
        <f>#REF!</f>
        <v>#REF!</v>
      </c>
      <c r="G85" s="64" t="e">
        <f>+E85*F85</f>
        <v>#REF!</v>
      </c>
      <c r="H85" s="142"/>
      <c r="I85" s="256">
        <f>I87+I89+I81+I80</f>
        <v>492195</v>
      </c>
      <c r="J85" s="262">
        <v>1.05</v>
      </c>
      <c r="K85" s="255">
        <f>I85*J85</f>
        <v>516804.75</v>
      </c>
      <c r="L85" s="270"/>
    </row>
    <row r="86" spans="1:13" s="205" customFormat="1" ht="15.95" customHeight="1">
      <c r="A86" s="181" t="s">
        <v>189</v>
      </c>
      <c r="B86" s="202"/>
      <c r="C86" s="190" t="s">
        <v>132</v>
      </c>
      <c r="D86" s="203"/>
      <c r="E86" s="283"/>
      <c r="F86" s="161"/>
      <c r="G86" s="204"/>
      <c r="I86" s="258"/>
      <c r="J86" s="264"/>
      <c r="K86" s="258"/>
    </row>
    <row r="87" spans="1:13" s="205" customFormat="1" ht="15.95" customHeight="1">
      <c r="A87" s="206"/>
      <c r="B87" s="192"/>
      <c r="C87" s="207"/>
      <c r="D87" s="191" t="s">
        <v>95</v>
      </c>
      <c r="E87" s="150">
        <f>K87</f>
        <v>162120</v>
      </c>
      <c r="F87" s="185" t="e">
        <f>#REF!</f>
        <v>#REF!</v>
      </c>
      <c r="G87" s="208" t="e">
        <f>+E87*F87</f>
        <v>#REF!</v>
      </c>
      <c r="I87" s="258">
        <f>(G17*H16+G18*H18+G19*20)*0.8</f>
        <v>154400</v>
      </c>
      <c r="J87" s="264">
        <v>1.05</v>
      </c>
      <c r="K87" s="258">
        <f>I87*J87</f>
        <v>162120</v>
      </c>
      <c r="L87" s="205" t="s">
        <v>474</v>
      </c>
    </row>
    <row r="88" spans="1:13" s="205" customFormat="1" ht="15.95" customHeight="1">
      <c r="A88" s="181" t="s">
        <v>257</v>
      </c>
      <c r="B88" s="202"/>
      <c r="C88" s="122" t="s">
        <v>133</v>
      </c>
      <c r="D88" s="203"/>
      <c r="E88" s="283"/>
      <c r="F88" s="161"/>
      <c r="G88" s="204"/>
      <c r="I88" s="258"/>
      <c r="J88" s="264"/>
      <c r="K88" s="258"/>
    </row>
    <row r="89" spans="1:13" s="205" customFormat="1" ht="15.95" customHeight="1">
      <c r="A89" s="206"/>
      <c r="B89" s="192"/>
      <c r="C89" s="207"/>
      <c r="D89" s="191" t="s">
        <v>94</v>
      </c>
      <c r="E89" s="150">
        <f>K89</f>
        <v>202650</v>
      </c>
      <c r="F89" s="185" t="e">
        <f>#REF!</f>
        <v>#REF!</v>
      </c>
      <c r="G89" s="208" t="e">
        <f>E89*F89</f>
        <v>#REF!</v>
      </c>
      <c r="I89" s="258">
        <f>1*(G17*H16+G18*H18+G19*20)</f>
        <v>193000</v>
      </c>
      <c r="J89" s="264">
        <v>1.05</v>
      </c>
      <c r="K89" s="258">
        <f>I89*J89</f>
        <v>202650</v>
      </c>
      <c r="L89" s="205" t="s">
        <v>473</v>
      </c>
    </row>
    <row r="90" spans="1:13" s="205" customFormat="1" ht="15.95" customHeight="1">
      <c r="A90" s="181" t="s">
        <v>254</v>
      </c>
      <c r="B90" s="202"/>
      <c r="C90" s="190" t="s">
        <v>134</v>
      </c>
      <c r="D90" s="203"/>
      <c r="E90" s="283"/>
      <c r="F90" s="161"/>
      <c r="G90" s="204"/>
      <c r="I90" s="258"/>
      <c r="J90" s="264"/>
      <c r="K90" s="258"/>
    </row>
    <row r="91" spans="1:13" s="205" customFormat="1" ht="15.95" customHeight="1">
      <c r="A91" s="206"/>
      <c r="B91" s="192"/>
      <c r="C91" s="207"/>
      <c r="D91" s="191" t="s">
        <v>94</v>
      </c>
      <c r="E91" s="150">
        <f>K91</f>
        <v>140633.63999999998</v>
      </c>
      <c r="F91" s="185">
        <v>1840</v>
      </c>
      <c r="G91" s="208">
        <f>E91*F91</f>
        <v>258765897.59999996</v>
      </c>
      <c r="I91" s="278">
        <f>2*6*G19+9.84*2*G17+7.84*2*G18+9.84*G20+6*G12+6*G13+9.84*G14+G15*11.84</f>
        <v>133936.79999999999</v>
      </c>
      <c r="J91" s="264">
        <v>1.05</v>
      </c>
      <c r="K91" s="258">
        <f>I91*J91</f>
        <v>140633.63999999998</v>
      </c>
      <c r="L91" s="205" t="s">
        <v>404</v>
      </c>
    </row>
    <row r="92" spans="1:13" s="205" customFormat="1" ht="15.95" customHeight="1">
      <c r="A92" s="181" t="s">
        <v>255</v>
      </c>
      <c r="B92" s="202"/>
      <c r="C92" s="190" t="s">
        <v>135</v>
      </c>
      <c r="D92" s="203"/>
      <c r="E92" s="283"/>
      <c r="F92" s="161"/>
      <c r="G92" s="204"/>
      <c r="I92" s="258"/>
      <c r="J92" s="264"/>
      <c r="K92" s="258"/>
    </row>
    <row r="93" spans="1:13" s="205" customFormat="1" ht="15.95" customHeight="1">
      <c r="A93" s="206"/>
      <c r="B93" s="192"/>
      <c r="C93" s="207"/>
      <c r="D93" s="191" t="s">
        <v>94</v>
      </c>
      <c r="E93" s="150">
        <f>K93</f>
        <v>36645</v>
      </c>
      <c r="F93" s="185" t="e">
        <f>#REF!</f>
        <v>#REF!</v>
      </c>
      <c r="G93" s="208" t="e">
        <f>+E93*F93</f>
        <v>#REF!</v>
      </c>
      <c r="I93" s="258">
        <f>10*G19+50*10*2</f>
        <v>34900</v>
      </c>
      <c r="J93" s="264">
        <v>1.05</v>
      </c>
      <c r="K93" s="258">
        <f>I93*J93</f>
        <v>36645</v>
      </c>
    </row>
    <row r="94" spans="1:13" s="205" customFormat="1" ht="15.95" customHeight="1">
      <c r="A94" s="181" t="s">
        <v>256</v>
      </c>
      <c r="B94" s="202"/>
      <c r="C94" s="190" t="s">
        <v>136</v>
      </c>
      <c r="D94" s="203"/>
      <c r="E94" s="283"/>
      <c r="F94" s="161"/>
      <c r="G94" s="204"/>
      <c r="I94" s="258"/>
      <c r="J94" s="264"/>
      <c r="K94" s="258"/>
    </row>
    <row r="95" spans="1:13" s="205" customFormat="1" ht="15.95" customHeight="1">
      <c r="A95" s="206"/>
      <c r="B95" s="192"/>
      <c r="C95" s="207"/>
      <c r="D95" s="191" t="s">
        <v>94</v>
      </c>
      <c r="E95" s="150">
        <f>K95</f>
        <v>36645</v>
      </c>
      <c r="F95" s="185" t="e">
        <f>#REF!</f>
        <v>#REF!</v>
      </c>
      <c r="G95" s="208" t="e">
        <f>+E95*F95</f>
        <v>#REF!</v>
      </c>
      <c r="I95" s="258">
        <f>I93</f>
        <v>34900</v>
      </c>
      <c r="J95" s="264">
        <v>1.05</v>
      </c>
      <c r="K95" s="258">
        <f>I95*J95</f>
        <v>36645</v>
      </c>
    </row>
    <row r="96" spans="1:13" s="129" customFormat="1" ht="27" customHeight="1">
      <c r="A96" s="142"/>
      <c r="B96" s="142"/>
      <c r="C96" s="18"/>
      <c r="D96" s="95"/>
      <c r="E96" s="92"/>
      <c r="F96" s="93" t="s">
        <v>110</v>
      </c>
      <c r="G96" s="94" t="e">
        <f>SUM(G79:G95)</f>
        <v>#REF!</v>
      </c>
      <c r="H96" s="142"/>
      <c r="I96" s="255"/>
      <c r="J96" s="262"/>
      <c r="K96" s="255"/>
    </row>
    <row r="97" spans="1:12" s="129" customFormat="1" ht="15.95" customHeight="1">
      <c r="A97" s="142"/>
      <c r="B97" s="142"/>
      <c r="C97" s="18"/>
      <c r="D97" s="48"/>
      <c r="E97" s="111"/>
      <c r="F97" s="142"/>
      <c r="G97" s="112"/>
      <c r="H97" s="142"/>
      <c r="I97" s="255">
        <f>0.15*(G12*H12+G13*7+G14*9.84+G15*11.84+2*9.42*G16+G20*9.84)+100*20*9.84*0.15</f>
        <v>17078.22</v>
      </c>
      <c r="J97" s="262" t="s">
        <v>243</v>
      </c>
      <c r="K97" s="255"/>
    </row>
    <row r="98" spans="1:12" s="129" customFormat="1" ht="23.25" customHeight="1">
      <c r="A98" s="1" t="s">
        <v>9</v>
      </c>
      <c r="B98" s="2"/>
      <c r="C98" s="3"/>
      <c r="D98" s="52" t="s">
        <v>98</v>
      </c>
      <c r="E98" s="86" t="s">
        <v>99</v>
      </c>
      <c r="F98" s="71" t="s">
        <v>100</v>
      </c>
      <c r="G98" s="71" t="s">
        <v>114</v>
      </c>
      <c r="H98" s="142"/>
      <c r="I98" s="255">
        <f>0.2*(+G12*H12+G13*H13+G14*H14+G15*H15+(H16-8.6)*G16+(H18-6.1)*G18+(H19-20)*G19+G20*H20)+100*20*0.2*9.84</f>
        <v>51476.4</v>
      </c>
      <c r="J98" s="262" t="s">
        <v>244</v>
      </c>
      <c r="K98" s="255"/>
    </row>
    <row r="99" spans="1:12" s="129" customFormat="1" ht="29.25" customHeight="1">
      <c r="A99" s="46" t="s">
        <v>10</v>
      </c>
      <c r="B99" s="5"/>
      <c r="C99" s="19" t="s">
        <v>65</v>
      </c>
      <c r="D99" s="209"/>
      <c r="E99" s="210"/>
      <c r="F99" s="161"/>
      <c r="G99" s="204"/>
      <c r="H99" s="142"/>
      <c r="I99" s="145">
        <v>0</v>
      </c>
      <c r="J99" s="262" t="s">
        <v>245</v>
      </c>
      <c r="K99" s="255"/>
    </row>
    <row r="100" spans="1:12" s="129" customFormat="1" ht="15.95" customHeight="1">
      <c r="A100" s="8" t="s">
        <v>66</v>
      </c>
      <c r="B100" s="15"/>
      <c r="C100" s="24" t="s">
        <v>67</v>
      </c>
      <c r="D100" s="211" t="s">
        <v>95</v>
      </c>
      <c r="E100" s="147">
        <f>K100</f>
        <v>71982.350999999995</v>
      </c>
      <c r="F100" s="185" t="e">
        <f>#REF!</f>
        <v>#REF!</v>
      </c>
      <c r="G100" s="208" t="e">
        <f>+E100*F100</f>
        <v>#REF!</v>
      </c>
      <c r="H100" s="142"/>
      <c r="I100" s="145">
        <f>SUM(I97:I99)</f>
        <v>68554.62</v>
      </c>
      <c r="J100" s="262">
        <v>1.05</v>
      </c>
      <c r="K100" s="255">
        <f>I100*J100</f>
        <v>71982.350999999995</v>
      </c>
    </row>
    <row r="101" spans="1:12" s="129" customFormat="1" ht="15.95" customHeight="1">
      <c r="A101" s="4" t="s">
        <v>11</v>
      </c>
      <c r="B101" s="5"/>
      <c r="C101" s="19" t="s">
        <v>68</v>
      </c>
      <c r="D101" s="109"/>
      <c r="E101" s="109"/>
      <c r="F101" s="109"/>
      <c r="G101" s="63"/>
      <c r="H101" s="142"/>
      <c r="I101" s="255"/>
      <c r="J101" s="262"/>
      <c r="K101" s="255"/>
    </row>
    <row r="102" spans="1:12" s="129" customFormat="1" ht="15.95" customHeight="1">
      <c r="A102" s="8"/>
      <c r="B102" s="15"/>
      <c r="C102" s="24"/>
      <c r="D102" s="211" t="s">
        <v>94</v>
      </c>
      <c r="E102" s="107">
        <f>K102</f>
        <v>342911.52</v>
      </c>
      <c r="F102" s="107" t="e">
        <f>#REF!</f>
        <v>#REF!</v>
      </c>
      <c r="G102" s="64" t="e">
        <f>+E102*F102</f>
        <v>#REF!</v>
      </c>
      <c r="H102" s="142"/>
      <c r="I102" s="255">
        <f>(G12*6+G13*6+G14*9.84+G15*11.84+G16*2*11.84+G18*7*2+G19*7*2+G20*11.84)*2</f>
        <v>326582.40000000002</v>
      </c>
      <c r="J102" s="262">
        <f>1.05</f>
        <v>1.05</v>
      </c>
      <c r="K102" s="255">
        <f>I102*J102</f>
        <v>342911.52</v>
      </c>
      <c r="L102" s="129" t="s">
        <v>261</v>
      </c>
    </row>
    <row r="103" spans="1:12" s="129" customFormat="1" ht="15.95" customHeight="1">
      <c r="A103" s="17">
        <v>404</v>
      </c>
      <c r="B103" s="5"/>
      <c r="C103" s="19" t="s">
        <v>69</v>
      </c>
      <c r="D103" s="109"/>
      <c r="E103" s="109"/>
      <c r="F103" s="109"/>
      <c r="G103" s="63"/>
      <c r="H103" s="142"/>
      <c r="I103" s="255"/>
      <c r="J103" s="262"/>
      <c r="K103" s="255"/>
    </row>
    <row r="104" spans="1:12" s="129" customFormat="1" ht="15.95" customHeight="1">
      <c r="A104" s="28"/>
      <c r="B104" s="15"/>
      <c r="C104" s="24"/>
      <c r="D104" s="211" t="s">
        <v>94</v>
      </c>
      <c r="E104" s="107">
        <f>+E102</f>
        <v>342911.52</v>
      </c>
      <c r="F104" s="107" t="e">
        <f>#REF!</f>
        <v>#REF!</v>
      </c>
      <c r="G104" s="64" t="e">
        <f>+E104*F104</f>
        <v>#REF!</v>
      </c>
      <c r="H104" s="142"/>
      <c r="I104" s="255"/>
      <c r="J104" s="262"/>
      <c r="K104" s="255"/>
    </row>
    <row r="105" spans="1:12" s="129" customFormat="1" ht="15.95" customHeight="1">
      <c r="A105" s="17">
        <v>405</v>
      </c>
      <c r="B105" s="5"/>
      <c r="C105" s="19" t="s">
        <v>70</v>
      </c>
      <c r="D105" s="109"/>
      <c r="E105" s="109"/>
      <c r="F105" s="109"/>
      <c r="G105" s="63"/>
      <c r="H105" s="142"/>
      <c r="I105" s="255"/>
      <c r="J105" s="262"/>
      <c r="K105" s="255"/>
    </row>
    <row r="106" spans="1:12" s="129" customFormat="1" ht="15.95" customHeight="1">
      <c r="A106" s="8"/>
      <c r="B106" s="15"/>
      <c r="C106" s="24"/>
      <c r="D106" s="211" t="s">
        <v>14</v>
      </c>
      <c r="E106" s="185">
        <f>K106</f>
        <v>1748382.7725000002</v>
      </c>
      <c r="F106" s="107" t="e">
        <f>#REF!</f>
        <v>#REF!</v>
      </c>
      <c r="G106" s="64" t="e">
        <f>+E106*F106</f>
        <v>#REF!</v>
      </c>
      <c r="H106" s="142"/>
      <c r="I106" s="255">
        <f>1950*I97*5%</f>
        <v>1665126.4500000002</v>
      </c>
      <c r="J106" s="262">
        <f>1.05</f>
        <v>1.05</v>
      </c>
      <c r="K106" s="255">
        <f>I106*J106</f>
        <v>1748382.7725000002</v>
      </c>
    </row>
    <row r="107" spans="1:12" s="226" customFormat="1" ht="15.95" customHeight="1">
      <c r="A107" s="45">
        <v>407</v>
      </c>
      <c r="B107" s="21"/>
      <c r="C107" s="27" t="s">
        <v>160</v>
      </c>
      <c r="D107" s="60"/>
      <c r="E107" s="79"/>
      <c r="F107" s="109"/>
      <c r="G107" s="67"/>
      <c r="H107" s="225"/>
      <c r="I107" s="259"/>
      <c r="J107" s="265"/>
      <c r="K107" s="259"/>
    </row>
    <row r="108" spans="1:12" s="226" customFormat="1" ht="15.95" customHeight="1">
      <c r="A108" s="45" t="s">
        <v>161</v>
      </c>
      <c r="B108" s="21"/>
      <c r="C108" s="12" t="s">
        <v>71</v>
      </c>
      <c r="D108" s="54" t="s">
        <v>94</v>
      </c>
      <c r="E108" s="138">
        <f>K108</f>
        <v>127810.32</v>
      </c>
      <c r="F108" s="137" t="e">
        <f>#REF!</f>
        <v>#REF!</v>
      </c>
      <c r="G108" s="65" t="e">
        <f>+E108*F108</f>
        <v>#REF!</v>
      </c>
      <c r="H108" s="225"/>
      <c r="I108" s="259">
        <f>G12*6+G13*6+G14*9.84+G15*11.84+G16*9.84*2+G20*9.84+100*20*9.84</f>
        <v>116191.2</v>
      </c>
      <c r="J108" s="265">
        <f>1.1</f>
        <v>1.1000000000000001</v>
      </c>
      <c r="K108" s="259">
        <f>I108*J108</f>
        <v>127810.32</v>
      </c>
    </row>
    <row r="109" spans="1:12" s="226" customFormat="1" ht="15.95" customHeight="1">
      <c r="A109" s="28" t="s">
        <v>173</v>
      </c>
      <c r="B109" s="15"/>
      <c r="C109" s="24" t="s">
        <v>72</v>
      </c>
      <c r="D109" s="53" t="s">
        <v>94</v>
      </c>
      <c r="E109" s="82">
        <f>K109</f>
        <v>68870.340000000011</v>
      </c>
      <c r="F109" s="108" t="e">
        <f>#REF!</f>
        <v>#REF!</v>
      </c>
      <c r="G109" s="65" t="e">
        <f>+E109*F109</f>
        <v>#REF!</v>
      </c>
      <c r="H109" s="225"/>
      <c r="I109" s="357">
        <f>G14*(H14-9.42)+G15*(H15-11.84)+G16*(H16-9.84*2-12)+G20*(H20-11.84)+100*20*(20-11.84)</f>
        <v>62609.4</v>
      </c>
      <c r="J109" s="265">
        <f>1.1</f>
        <v>1.1000000000000001</v>
      </c>
      <c r="K109" s="259">
        <f>I109*J109</f>
        <v>68870.340000000011</v>
      </c>
    </row>
    <row r="110" spans="1:12" s="226" customFormat="1" ht="15.95" customHeight="1">
      <c r="A110" s="17">
        <v>408</v>
      </c>
      <c r="B110" s="229"/>
      <c r="C110" s="25" t="s">
        <v>163</v>
      </c>
      <c r="D110" s="358"/>
      <c r="E110" s="78"/>
      <c r="F110" s="109"/>
      <c r="G110" s="63"/>
      <c r="H110" s="225"/>
      <c r="I110" s="259"/>
      <c r="J110" s="265"/>
      <c r="K110" s="259"/>
    </row>
    <row r="111" spans="1:12" s="226" customFormat="1" ht="15.95" customHeight="1">
      <c r="A111" s="45" t="s">
        <v>162</v>
      </c>
      <c r="B111" s="21"/>
      <c r="C111" s="12" t="s">
        <v>190</v>
      </c>
      <c r="D111" s="282" t="s">
        <v>1</v>
      </c>
      <c r="E111" s="78">
        <f>K111</f>
        <v>26360.400000000001</v>
      </c>
      <c r="F111" s="108" t="e">
        <f>#REF!</f>
        <v>#REF!</v>
      </c>
      <c r="G111" s="65" t="e">
        <f>+E111*F111</f>
        <v>#REF!</v>
      </c>
      <c r="H111" s="225"/>
      <c r="I111" s="259">
        <f>2*(G12+G13+G14+G15+G16*2+100*20)+9.84*100</f>
        <v>23964</v>
      </c>
      <c r="J111" s="265">
        <f>1.1</f>
        <v>1.1000000000000001</v>
      </c>
      <c r="K111" s="259">
        <f>I111*J111</f>
        <v>26360.400000000001</v>
      </c>
    </row>
    <row r="112" spans="1:12" s="226" customFormat="1" ht="15.95" customHeight="1">
      <c r="A112" s="45" t="s">
        <v>174</v>
      </c>
      <c r="B112" s="21"/>
      <c r="C112" s="12" t="s">
        <v>191</v>
      </c>
      <c r="D112" s="282" t="s">
        <v>1</v>
      </c>
      <c r="E112" s="78">
        <f>K112</f>
        <v>5962.0000000000009</v>
      </c>
      <c r="F112" s="108" t="e">
        <f>#REF!</f>
        <v>#REF!</v>
      </c>
      <c r="G112" s="65" t="e">
        <f>+E112*F112</f>
        <v>#REF!</v>
      </c>
      <c r="H112" s="225"/>
      <c r="I112" s="259">
        <f>2*G17</f>
        <v>5420</v>
      </c>
      <c r="J112" s="265">
        <f>1.1</f>
        <v>1.1000000000000001</v>
      </c>
      <c r="K112" s="259">
        <f>I112*J112</f>
        <v>5962.0000000000009</v>
      </c>
    </row>
    <row r="113" spans="1:13" s="226" customFormat="1" ht="15.95" customHeight="1">
      <c r="A113" s="28" t="s">
        <v>233</v>
      </c>
      <c r="B113" s="15"/>
      <c r="C113" s="9" t="s">
        <v>234</v>
      </c>
      <c r="D113" s="282" t="s">
        <v>1</v>
      </c>
      <c r="E113" s="78">
        <f>K113</f>
        <v>26360.400000000001</v>
      </c>
      <c r="F113" s="108" t="e">
        <f>#REF!</f>
        <v>#REF!</v>
      </c>
      <c r="G113" s="65" t="e">
        <f>+E113*F113</f>
        <v>#REF!</v>
      </c>
      <c r="H113" s="225"/>
      <c r="I113" s="359">
        <f>I111</f>
        <v>23964</v>
      </c>
      <c r="J113" s="265">
        <f>1.1</f>
        <v>1.1000000000000001</v>
      </c>
      <c r="K113" s="259">
        <f>I113*J113</f>
        <v>26360.400000000001</v>
      </c>
    </row>
    <row r="114" spans="1:13" s="226" customFormat="1" ht="30" customHeight="1">
      <c r="A114" s="10"/>
      <c r="B114" s="21"/>
      <c r="C114" s="12"/>
      <c r="D114" s="360"/>
      <c r="E114" s="361"/>
      <c r="F114" s="362" t="s">
        <v>109</v>
      </c>
      <c r="G114" s="363" t="e">
        <f>SUM(G99:G113)</f>
        <v>#REF!</v>
      </c>
      <c r="H114" s="225"/>
      <c r="I114" s="259"/>
      <c r="J114" s="265"/>
      <c r="K114" s="259"/>
    </row>
    <row r="115" spans="1:13" s="129" customFormat="1" ht="15.95" customHeight="1">
      <c r="A115" s="10"/>
      <c r="B115" s="21"/>
      <c r="C115" s="12"/>
      <c r="D115" s="51"/>
      <c r="E115" s="76"/>
      <c r="F115" s="91"/>
      <c r="G115" s="91"/>
      <c r="H115" s="142"/>
      <c r="I115" s="262">
        <f>0.6+0.4*2+0.2*2+0.1*2</f>
        <v>1.9999999999999998</v>
      </c>
      <c r="J115" s="262"/>
      <c r="K115" s="262">
        <f>4.82*2.4*1.46</f>
        <v>16.889279999999999</v>
      </c>
      <c r="M115" s="129">
        <f>5.9/2</f>
        <v>2.95</v>
      </c>
    </row>
    <row r="116" spans="1:13" s="129" customFormat="1" ht="26.25" customHeight="1">
      <c r="A116" s="1" t="s">
        <v>73</v>
      </c>
      <c r="B116" s="2"/>
      <c r="C116" s="3"/>
      <c r="D116" s="52" t="s">
        <v>98</v>
      </c>
      <c r="E116" s="86" t="s">
        <v>99</v>
      </c>
      <c r="F116" s="71" t="s">
        <v>100</v>
      </c>
      <c r="G116" s="71" t="s">
        <v>114</v>
      </c>
      <c r="H116" s="142"/>
      <c r="I116" s="262">
        <f>0.6+0.4+0.1</f>
        <v>1.1000000000000001</v>
      </c>
      <c r="J116" s="262"/>
      <c r="K116" s="255"/>
      <c r="M116" s="129">
        <f>2.95*2</f>
        <v>5.9</v>
      </c>
    </row>
    <row r="117" spans="1:13" s="129" customFormat="1" ht="15.95" customHeight="1">
      <c r="A117" s="220">
        <v>501</v>
      </c>
      <c r="B117" s="115"/>
      <c r="C117" s="216" t="s">
        <v>74</v>
      </c>
      <c r="D117" s="160"/>
      <c r="E117" s="213"/>
      <c r="F117" s="109"/>
      <c r="G117" s="68"/>
      <c r="H117" s="142"/>
      <c r="I117" s="255"/>
      <c r="J117" s="262"/>
      <c r="K117" s="255"/>
      <c r="M117" s="129">
        <v>6.1</v>
      </c>
    </row>
    <row r="118" spans="1:13" s="129" customFormat="1" ht="15.95" customHeight="1">
      <c r="A118" s="206"/>
      <c r="B118" s="192"/>
      <c r="C118" s="207"/>
      <c r="D118" s="191" t="s">
        <v>95</v>
      </c>
      <c r="E118" s="150">
        <f>K118</f>
        <v>45708.36</v>
      </c>
      <c r="F118" s="107" t="e">
        <f>#REF!</f>
        <v>#REF!</v>
      </c>
      <c r="G118" s="64" t="e">
        <f>+E118*F118</f>
        <v>#REF!</v>
      </c>
      <c r="H118" s="142"/>
      <c r="I118" s="256">
        <f>(0.6+1.4)*(0.6+0.5)*G7+(0.8+1.4)*(0.8+0.5)*G8+(1+2)*(1+0.3*2+0.1)*G5+(1+0.2*2+0.4*2+0.1*2)*(0.6+0.1+0.2*2)*G6+(1.2+0.6*2+0.3*2+0.1*2)*(1+0.3*2+0.1)*G4+(1.5+0.6*2+0.3*2+0.1*2)*(1+0.3*2+0.1)*G3+100*20*(0.6+1.4)*(0.6+0.5)*2+(0.8+0.4*2+0.2*2+0.1*2)*(0.6+0.1+0.2*2)*G9+(0.8+0.2*2+0.4*2+0.1*2)*(1+0.2*2+0.1)*G10+(1.5+0.25*3+0.6*2+0.1*2)*(1.5+0.1+0.25*2)*G11</f>
        <v>38090.300000000003</v>
      </c>
      <c r="J118" s="262">
        <v>1.2</v>
      </c>
      <c r="K118" s="255">
        <f>I118*J118</f>
        <v>45708.36</v>
      </c>
      <c r="M118" s="129">
        <f>2*9</f>
        <v>18</v>
      </c>
    </row>
    <row r="119" spans="1:13" s="129" customFormat="1" ht="15.95" customHeight="1">
      <c r="A119" s="214">
        <v>502</v>
      </c>
      <c r="B119" s="215"/>
      <c r="C119" s="216" t="s">
        <v>75</v>
      </c>
      <c r="D119" s="221"/>
      <c r="E119" s="212"/>
      <c r="F119" s="109"/>
      <c r="G119" s="69"/>
      <c r="H119" s="142"/>
      <c r="I119" s="255"/>
      <c r="J119" s="262"/>
      <c r="K119" s="255"/>
      <c r="M119" s="129">
        <f>2*2</f>
        <v>4</v>
      </c>
    </row>
    <row r="120" spans="1:13" s="129" customFormat="1" ht="15.95" customHeight="1">
      <c r="A120" s="217"/>
      <c r="B120" s="218"/>
      <c r="C120" s="219"/>
      <c r="D120" s="191" t="s">
        <v>95</v>
      </c>
      <c r="E120" s="150">
        <f>K120</f>
        <v>29872.440000000002</v>
      </c>
      <c r="F120" s="107" t="e">
        <f>#REF!</f>
        <v>#REF!</v>
      </c>
      <c r="G120" s="64" t="e">
        <f>+E120*F120</f>
        <v>#REF!</v>
      </c>
      <c r="H120" s="142"/>
      <c r="I120" s="255">
        <f>I118-(0.6+0.2*2)*(0.6+0.2*2)*G7-(0.8+0.2*2)*(0.8+0.2*2)*G8-(1+0.2*2)*(1+0.2*2)*G5-(1.4+0.25*2)*(1+0.2*2)*G4-(1.5+0.25*2)*(1+0.2*2)*G3-(1+0.2*2)*(0.6+0.2*2)*G6-(2*2)*G11-(0.8*1)*G10+-G9*0.8*0.6</f>
        <v>24893.700000000004</v>
      </c>
      <c r="J120" s="262">
        <v>1.2</v>
      </c>
      <c r="K120" s="255">
        <f>I120*J120</f>
        <v>29872.440000000002</v>
      </c>
      <c r="M120" s="129">
        <f>2*3</f>
        <v>6</v>
      </c>
    </row>
    <row r="121" spans="1:13" s="129" customFormat="1" ht="15.95" customHeight="1">
      <c r="A121" s="46" t="s">
        <v>12</v>
      </c>
      <c r="B121" s="5"/>
      <c r="C121" s="27" t="s">
        <v>101</v>
      </c>
      <c r="D121" s="160"/>
      <c r="E121" s="213"/>
      <c r="F121" s="109"/>
      <c r="G121" s="65"/>
      <c r="H121" s="142"/>
      <c r="I121" s="255"/>
      <c r="J121" s="262"/>
      <c r="K121" s="255"/>
    </row>
    <row r="122" spans="1:13" s="129" customFormat="1" ht="15.95" customHeight="1">
      <c r="A122" s="8"/>
      <c r="B122" s="15"/>
      <c r="C122" s="9"/>
      <c r="D122" s="191" t="s">
        <v>95</v>
      </c>
      <c r="E122" s="150">
        <f>K122</f>
        <v>275</v>
      </c>
      <c r="F122" s="107" t="e">
        <f>#REF!</f>
        <v>#REF!</v>
      </c>
      <c r="G122" s="64" t="e">
        <f>+E122*F122</f>
        <v>#REF!</v>
      </c>
      <c r="H122" s="142"/>
      <c r="I122" s="277">
        <f>250</f>
        <v>250</v>
      </c>
      <c r="J122" s="262">
        <f>1.1</f>
        <v>1.1000000000000001</v>
      </c>
      <c r="K122" s="255">
        <f>I122*J122</f>
        <v>275</v>
      </c>
    </row>
    <row r="123" spans="1:13" s="129" customFormat="1" ht="15.95" customHeight="1">
      <c r="A123" s="87" t="s">
        <v>13</v>
      </c>
      <c r="B123" s="42"/>
      <c r="C123" s="43" t="s">
        <v>77</v>
      </c>
      <c r="D123" s="88"/>
      <c r="E123" s="85"/>
      <c r="F123" s="109"/>
      <c r="G123" s="63"/>
      <c r="H123" s="142"/>
      <c r="I123" s="255"/>
      <c r="J123" s="262"/>
      <c r="K123" s="255"/>
    </row>
    <row r="124" spans="1:13" s="129" customFormat="1" ht="15.95" customHeight="1">
      <c r="A124" s="8"/>
      <c r="B124" s="15"/>
      <c r="C124" s="9"/>
      <c r="D124" s="55" t="s">
        <v>94</v>
      </c>
      <c r="E124" s="82">
        <f>K124</f>
        <v>1017.5000000000001</v>
      </c>
      <c r="F124" s="107" t="e">
        <f>#REF!</f>
        <v>#REF!</v>
      </c>
      <c r="G124" s="64" t="e">
        <f>+E124*F124</f>
        <v>#REF!</v>
      </c>
      <c r="H124" s="142"/>
      <c r="I124" s="255">
        <v>925</v>
      </c>
      <c r="J124" s="262">
        <f>1.1</f>
        <v>1.1000000000000001</v>
      </c>
      <c r="K124" s="255">
        <f>I124*J124</f>
        <v>1017.5000000000001</v>
      </c>
      <c r="L124" s="129">
        <f>2</f>
        <v>2</v>
      </c>
    </row>
    <row r="125" spans="1:13" s="129" customFormat="1" ht="15.95" customHeight="1">
      <c r="A125" s="17">
        <v>505</v>
      </c>
      <c r="B125" s="5"/>
      <c r="C125" s="14" t="s">
        <v>76</v>
      </c>
      <c r="D125" s="56"/>
      <c r="E125" s="80"/>
      <c r="F125" s="109"/>
      <c r="G125" s="63"/>
      <c r="H125" s="142"/>
      <c r="I125" s="255"/>
      <c r="J125" s="262"/>
      <c r="K125" s="255"/>
      <c r="L125" s="129">
        <f>K124*L124/2</f>
        <v>1017.5000000000001</v>
      </c>
    </row>
    <row r="126" spans="1:13" s="129" customFormat="1" ht="15.95" customHeight="1">
      <c r="A126" s="17" t="s">
        <v>15</v>
      </c>
      <c r="B126" s="5"/>
      <c r="C126" s="37" t="s">
        <v>78</v>
      </c>
      <c r="D126" s="50" t="s">
        <v>14</v>
      </c>
      <c r="E126" s="83">
        <f>E131*110</f>
        <v>67100</v>
      </c>
      <c r="F126" s="108" t="e">
        <f>#REF!</f>
        <v>#REF!</v>
      </c>
      <c r="G126" s="65" t="e">
        <f>+E126*F126</f>
        <v>#REF!</v>
      </c>
      <c r="H126" s="142"/>
      <c r="I126" s="255"/>
      <c r="J126" s="262"/>
      <c r="K126" s="255"/>
    </row>
    <row r="127" spans="1:13" s="129" customFormat="1" ht="15.95" customHeight="1">
      <c r="A127" s="36" t="s">
        <v>16</v>
      </c>
      <c r="B127" s="30"/>
      <c r="C127" s="49" t="s">
        <v>79</v>
      </c>
      <c r="D127" s="53" t="s">
        <v>14</v>
      </c>
      <c r="E127" s="77">
        <v>0</v>
      </c>
      <c r="F127" s="107" t="e">
        <f>#REF!</f>
        <v>#REF!</v>
      </c>
      <c r="G127" s="64" t="e">
        <f>+E127*F127</f>
        <v>#REF!</v>
      </c>
      <c r="H127" s="142"/>
      <c r="I127" s="255"/>
      <c r="J127" s="262"/>
      <c r="K127" s="255"/>
    </row>
    <row r="128" spans="1:13" s="129" customFormat="1" ht="15.95" customHeight="1">
      <c r="A128" s="17">
        <v>506</v>
      </c>
      <c r="B128" s="5"/>
      <c r="C128" s="26" t="s">
        <v>80</v>
      </c>
      <c r="D128" s="56"/>
      <c r="E128" s="80"/>
      <c r="F128" s="109"/>
      <c r="G128" s="63"/>
      <c r="H128" s="142"/>
      <c r="I128" s="255"/>
      <c r="J128" s="262"/>
      <c r="K128" s="255"/>
    </row>
    <row r="129" spans="1:190" s="129" customFormat="1" ht="15.95" customHeight="1">
      <c r="A129" s="28"/>
      <c r="B129" s="15"/>
      <c r="C129" s="24"/>
      <c r="D129" s="53" t="s">
        <v>95</v>
      </c>
      <c r="E129" s="82">
        <f>K129</f>
        <v>300</v>
      </c>
      <c r="F129" s="98" t="e">
        <f>#REF!</f>
        <v>#REF!</v>
      </c>
      <c r="G129" s="64" t="e">
        <f>+E129*F129</f>
        <v>#REF!</v>
      </c>
      <c r="H129" s="142"/>
      <c r="I129" s="255">
        <f>300</f>
        <v>300</v>
      </c>
      <c r="J129" s="262">
        <v>1</v>
      </c>
      <c r="K129" s="255">
        <f>I129*J129</f>
        <v>300</v>
      </c>
    </row>
    <row r="130" spans="1:190" s="129" customFormat="1" ht="15.95" customHeight="1">
      <c r="A130" s="17">
        <v>507</v>
      </c>
      <c r="B130" s="5"/>
      <c r="C130" s="25" t="s">
        <v>81</v>
      </c>
      <c r="D130" s="56"/>
      <c r="E130" s="80"/>
      <c r="F130" s="109"/>
      <c r="G130" s="63"/>
      <c r="H130" s="142"/>
      <c r="I130" s="255"/>
      <c r="J130" s="262">
        <v>1</v>
      </c>
      <c r="K130" s="255"/>
    </row>
    <row r="131" spans="1:190" s="129" customFormat="1" ht="15.95" customHeight="1">
      <c r="A131" s="8"/>
      <c r="B131" s="15"/>
      <c r="C131" s="24"/>
      <c r="D131" s="53" t="s">
        <v>95</v>
      </c>
      <c r="E131" s="78">
        <f>K131</f>
        <v>610</v>
      </c>
      <c r="F131" s="107" t="e">
        <f>#REF!</f>
        <v>#REF!</v>
      </c>
      <c r="G131" s="64" t="e">
        <f>+E131*F131</f>
        <v>#REF!</v>
      </c>
      <c r="H131" s="142"/>
      <c r="I131" s="255">
        <v>610</v>
      </c>
      <c r="J131" s="262">
        <v>1</v>
      </c>
      <c r="K131" s="255">
        <f>I131*J131</f>
        <v>610</v>
      </c>
    </row>
    <row r="132" spans="1:190" s="129" customFormat="1" ht="15.95" customHeight="1">
      <c r="A132" s="41">
        <v>509</v>
      </c>
      <c r="B132" s="42"/>
      <c r="C132" s="43" t="s">
        <v>139</v>
      </c>
      <c r="D132" s="57"/>
      <c r="E132" s="84"/>
      <c r="F132" s="109"/>
      <c r="G132" s="63"/>
      <c r="H132" s="142"/>
      <c r="I132" s="255"/>
      <c r="J132" s="262"/>
      <c r="K132" s="255"/>
    </row>
    <row r="133" spans="1:190" s="129" customFormat="1" ht="15.95" customHeight="1">
      <c r="A133" s="17" t="s">
        <v>140</v>
      </c>
      <c r="B133" s="5"/>
      <c r="C133" s="39" t="s">
        <v>262</v>
      </c>
      <c r="D133" s="54" t="s">
        <v>94</v>
      </c>
      <c r="E133" s="83">
        <f>K133</f>
        <v>311.09100000000007</v>
      </c>
      <c r="F133" s="108" t="e">
        <f>#REF!</f>
        <v>#REF!</v>
      </c>
      <c r="G133" s="65" t="e">
        <f>+E133*F133</f>
        <v>#REF!</v>
      </c>
      <c r="H133" s="142"/>
      <c r="I133" s="255">
        <f>5%*K68</f>
        <v>282.81000000000006</v>
      </c>
      <c r="J133" s="262">
        <v>1.1000000000000001</v>
      </c>
      <c r="K133" s="255">
        <f>I133*J133</f>
        <v>311.09100000000007</v>
      </c>
    </row>
    <row r="134" spans="1:190" s="129" customFormat="1" ht="15.95" customHeight="1">
      <c r="A134" s="17" t="s">
        <v>141</v>
      </c>
      <c r="B134" s="5"/>
      <c r="C134" s="39" t="s">
        <v>263</v>
      </c>
      <c r="D134" s="54" t="s">
        <v>94</v>
      </c>
      <c r="E134" s="83">
        <f>K134</f>
        <v>124.43640000000003</v>
      </c>
      <c r="F134" s="108" t="e">
        <f>#REF!</f>
        <v>#REF!</v>
      </c>
      <c r="G134" s="65" t="e">
        <f>+E134*F134</f>
        <v>#REF!</v>
      </c>
      <c r="H134" s="142"/>
      <c r="I134" s="255">
        <f>2%*K68</f>
        <v>113.12400000000002</v>
      </c>
      <c r="J134" s="262">
        <v>1.1000000000000001</v>
      </c>
      <c r="K134" s="255">
        <f>I134*J134</f>
        <v>124.43640000000003</v>
      </c>
      <c r="M134" s="270"/>
    </row>
    <row r="135" spans="1:190" s="129" customFormat="1" ht="15.95" customHeight="1">
      <c r="A135" s="22" t="s">
        <v>142</v>
      </c>
      <c r="B135" s="15"/>
      <c r="C135" s="49" t="s">
        <v>281</v>
      </c>
      <c r="D135" s="53" t="s">
        <v>94</v>
      </c>
      <c r="E135" s="155">
        <f>I135</f>
        <v>120</v>
      </c>
      <c r="F135" s="108" t="e">
        <f>#REF!</f>
        <v>#REF!</v>
      </c>
      <c r="G135" s="65" t="e">
        <f>+E135*F135</f>
        <v>#REF!</v>
      </c>
      <c r="H135" s="142"/>
      <c r="I135" s="255">
        <v>120</v>
      </c>
      <c r="J135" s="262"/>
      <c r="K135" s="255"/>
    </row>
    <row r="136" spans="1:190" s="129" customFormat="1" ht="15.95" customHeight="1">
      <c r="A136" s="41">
        <v>510</v>
      </c>
      <c r="B136" s="42"/>
      <c r="C136" s="43" t="s">
        <v>82</v>
      </c>
      <c r="D136" s="57"/>
      <c r="E136" s="84"/>
      <c r="F136" s="109"/>
      <c r="G136" s="63"/>
      <c r="H136" s="142"/>
      <c r="I136" s="255"/>
      <c r="J136" s="262"/>
      <c r="K136" s="255"/>
    </row>
    <row r="137" spans="1:190" s="129" customFormat="1" ht="15.95" customHeight="1">
      <c r="A137" s="17" t="s">
        <v>83</v>
      </c>
      <c r="B137" s="5"/>
      <c r="C137" s="39" t="s">
        <v>88</v>
      </c>
      <c r="D137" s="58" t="s">
        <v>1</v>
      </c>
      <c r="E137" s="83">
        <v>0</v>
      </c>
      <c r="F137" s="108" t="e">
        <f>#REF!</f>
        <v>#REF!</v>
      </c>
      <c r="G137" s="65" t="e">
        <f>+E137*F137</f>
        <v>#REF!</v>
      </c>
      <c r="H137" s="142"/>
      <c r="I137" s="255"/>
      <c r="J137" s="262"/>
      <c r="K137" s="255"/>
    </row>
    <row r="138" spans="1:190" s="129" customFormat="1" ht="15.95" customHeight="1">
      <c r="A138" s="17" t="s">
        <v>84</v>
      </c>
      <c r="B138" s="5"/>
      <c r="C138" s="39" t="s">
        <v>89</v>
      </c>
      <c r="D138" s="58" t="s">
        <v>1</v>
      </c>
      <c r="E138" s="83">
        <v>0</v>
      </c>
      <c r="F138" s="108" t="e">
        <f>#REF!</f>
        <v>#REF!</v>
      </c>
      <c r="G138" s="65" t="e">
        <f>+E138*F138</f>
        <v>#REF!</v>
      </c>
      <c r="H138" s="142"/>
      <c r="I138" s="255"/>
      <c r="J138" s="262"/>
      <c r="K138" s="255"/>
    </row>
    <row r="139" spans="1:190" s="129" customFormat="1" ht="15.95" customHeight="1">
      <c r="A139" s="17" t="s">
        <v>85</v>
      </c>
      <c r="B139" s="5"/>
      <c r="C139" s="39" t="s">
        <v>90</v>
      </c>
      <c r="D139" s="58" t="s">
        <v>1</v>
      </c>
      <c r="E139" s="155">
        <v>0</v>
      </c>
      <c r="F139" s="108" t="e">
        <f>#REF!</f>
        <v>#REF!</v>
      </c>
      <c r="G139" s="65" t="e">
        <f>+E139*F139</f>
        <v>#REF!</v>
      </c>
      <c r="H139" s="142"/>
      <c r="I139" s="255"/>
      <c r="J139" s="262"/>
      <c r="K139" s="255"/>
    </row>
    <row r="140" spans="1:190" s="129" customFormat="1" ht="15.95" customHeight="1">
      <c r="A140" s="17" t="s">
        <v>86</v>
      </c>
      <c r="B140" s="5"/>
      <c r="C140" s="39" t="s">
        <v>91</v>
      </c>
      <c r="D140" s="58" t="s">
        <v>1</v>
      </c>
      <c r="E140" s="155">
        <v>0</v>
      </c>
      <c r="F140" s="108" t="e">
        <f>#REF!</f>
        <v>#REF!</v>
      </c>
      <c r="G140" s="65" t="e">
        <f>+E140*F140</f>
        <v>#REF!</v>
      </c>
      <c r="H140" s="142"/>
      <c r="I140" s="255"/>
      <c r="J140" s="262"/>
      <c r="K140" s="255"/>
    </row>
    <row r="141" spans="1:190" ht="15.95" customHeight="1">
      <c r="A141" s="17" t="s">
        <v>87</v>
      </c>
      <c r="B141" s="5"/>
      <c r="C141" s="39" t="s">
        <v>92</v>
      </c>
      <c r="D141" s="124" t="s">
        <v>1</v>
      </c>
      <c r="E141" s="156">
        <v>0</v>
      </c>
      <c r="F141" s="107" t="e">
        <f>#REF!</f>
        <v>#REF!</v>
      </c>
      <c r="G141" s="64" t="e">
        <f>+E141*F141</f>
        <v>#REF!</v>
      </c>
    </row>
    <row r="142" spans="1:190" s="225" customFormat="1" ht="15.95" customHeight="1">
      <c r="A142" s="141">
        <v>511</v>
      </c>
      <c r="B142" s="222"/>
      <c r="C142" s="223" t="s">
        <v>124</v>
      </c>
      <c r="D142" s="224"/>
      <c r="E142" s="200"/>
      <c r="F142" s="109"/>
      <c r="G142" s="63"/>
      <c r="I142" s="259"/>
      <c r="J142" s="265"/>
      <c r="K142" s="259"/>
      <c r="L142" s="226"/>
      <c r="M142" s="226"/>
      <c r="N142" s="226"/>
      <c r="O142" s="226"/>
      <c r="P142" s="226"/>
      <c r="Q142" s="226"/>
      <c r="R142" s="226"/>
      <c r="S142" s="226"/>
      <c r="T142" s="226"/>
      <c r="U142" s="226"/>
      <c r="V142" s="226"/>
      <c r="W142" s="226"/>
      <c r="X142" s="226"/>
      <c r="Y142" s="226"/>
      <c r="Z142" s="226"/>
      <c r="AA142" s="226"/>
      <c r="AB142" s="226"/>
      <c r="AC142" s="226"/>
      <c r="AD142" s="226"/>
      <c r="AE142" s="226"/>
      <c r="AF142" s="226"/>
      <c r="AG142" s="226"/>
      <c r="AH142" s="226"/>
      <c r="AI142" s="226"/>
      <c r="AJ142" s="226"/>
      <c r="AK142" s="226"/>
      <c r="AL142" s="226"/>
      <c r="AM142" s="226"/>
      <c r="AN142" s="226"/>
      <c r="AO142" s="226"/>
      <c r="AP142" s="226"/>
      <c r="AQ142" s="226"/>
      <c r="AR142" s="226"/>
      <c r="AS142" s="226"/>
      <c r="AT142" s="226"/>
      <c r="AU142" s="226"/>
      <c r="AV142" s="226"/>
      <c r="AW142" s="226"/>
      <c r="AX142" s="226"/>
      <c r="AY142" s="226"/>
      <c r="AZ142" s="226"/>
      <c r="BA142" s="226"/>
      <c r="BB142" s="226"/>
      <c r="BC142" s="226"/>
      <c r="BD142" s="226"/>
      <c r="BE142" s="226"/>
      <c r="BF142" s="226"/>
      <c r="BG142" s="226"/>
      <c r="BH142" s="226"/>
      <c r="BI142" s="226"/>
      <c r="BJ142" s="226"/>
      <c r="BK142" s="226"/>
      <c r="BL142" s="226"/>
      <c r="BM142" s="226"/>
      <c r="BN142" s="226"/>
      <c r="BO142" s="226"/>
      <c r="BP142" s="226"/>
      <c r="BQ142" s="226"/>
      <c r="BR142" s="226"/>
      <c r="BS142" s="226"/>
      <c r="BT142" s="226"/>
      <c r="BU142" s="226"/>
      <c r="BV142" s="226"/>
      <c r="BW142" s="226"/>
      <c r="BX142" s="226"/>
      <c r="BY142" s="226"/>
      <c r="BZ142" s="226"/>
      <c r="CA142" s="226"/>
      <c r="CB142" s="226"/>
      <c r="CC142" s="226"/>
      <c r="CD142" s="226"/>
      <c r="CE142" s="226"/>
      <c r="CF142" s="226"/>
      <c r="CG142" s="226"/>
      <c r="CH142" s="226"/>
      <c r="CI142" s="226"/>
      <c r="CJ142" s="226"/>
      <c r="CK142" s="226"/>
      <c r="CL142" s="226"/>
      <c r="CM142" s="226"/>
      <c r="CN142" s="226"/>
      <c r="CO142" s="226"/>
      <c r="CP142" s="226"/>
      <c r="CQ142" s="226"/>
      <c r="CR142" s="226"/>
      <c r="CS142" s="226"/>
      <c r="CT142" s="226"/>
      <c r="CU142" s="226"/>
      <c r="CV142" s="226"/>
      <c r="CW142" s="226"/>
      <c r="CX142" s="226"/>
      <c r="CY142" s="226"/>
      <c r="CZ142" s="226"/>
      <c r="DA142" s="226"/>
      <c r="DB142" s="226"/>
      <c r="DC142" s="226"/>
      <c r="DD142" s="226"/>
      <c r="DE142" s="226"/>
      <c r="DF142" s="226"/>
      <c r="DG142" s="226"/>
      <c r="DH142" s="226"/>
      <c r="DI142" s="226"/>
      <c r="DJ142" s="226"/>
      <c r="DK142" s="226"/>
      <c r="DL142" s="226"/>
      <c r="DM142" s="226"/>
      <c r="DN142" s="226"/>
      <c r="DO142" s="226"/>
      <c r="DP142" s="226"/>
      <c r="DQ142" s="226"/>
      <c r="DR142" s="226"/>
      <c r="DS142" s="226"/>
      <c r="DT142" s="226"/>
      <c r="DU142" s="226"/>
      <c r="DV142" s="226"/>
      <c r="DW142" s="226"/>
      <c r="DX142" s="226"/>
      <c r="DY142" s="226"/>
      <c r="DZ142" s="226"/>
      <c r="EA142" s="226"/>
      <c r="EB142" s="226"/>
      <c r="EC142" s="226"/>
      <c r="ED142" s="226"/>
      <c r="EE142" s="226"/>
      <c r="EF142" s="226"/>
      <c r="EG142" s="226"/>
      <c r="EH142" s="226"/>
      <c r="EI142" s="226"/>
      <c r="EJ142" s="226"/>
      <c r="EK142" s="226"/>
      <c r="EL142" s="226"/>
      <c r="EM142" s="226"/>
      <c r="EN142" s="226"/>
      <c r="EO142" s="226"/>
      <c r="EP142" s="226"/>
      <c r="EQ142" s="226"/>
      <c r="ER142" s="226"/>
      <c r="ES142" s="226"/>
      <c r="ET142" s="226"/>
      <c r="EU142" s="226"/>
      <c r="EV142" s="226"/>
      <c r="EW142" s="226"/>
      <c r="EX142" s="226"/>
      <c r="EY142" s="226"/>
      <c r="EZ142" s="226"/>
      <c r="FA142" s="226"/>
      <c r="FB142" s="226"/>
      <c r="FC142" s="226"/>
      <c r="FD142" s="226"/>
      <c r="FE142" s="226"/>
      <c r="FF142" s="226"/>
      <c r="FG142" s="226"/>
      <c r="FH142" s="226"/>
      <c r="FI142" s="226"/>
      <c r="FJ142" s="226"/>
      <c r="FK142" s="226"/>
      <c r="FL142" s="226"/>
      <c r="FM142" s="226"/>
      <c r="FN142" s="226"/>
      <c r="FO142" s="226"/>
      <c r="FP142" s="226"/>
      <c r="FQ142" s="226"/>
      <c r="FR142" s="226"/>
      <c r="FS142" s="226"/>
      <c r="FT142" s="226"/>
      <c r="FU142" s="226"/>
      <c r="FV142" s="226"/>
      <c r="FW142" s="226"/>
      <c r="FX142" s="226"/>
      <c r="FY142" s="226"/>
      <c r="FZ142" s="226"/>
      <c r="GA142" s="226"/>
      <c r="GB142" s="226"/>
      <c r="GC142" s="226"/>
      <c r="GD142" s="226"/>
      <c r="GE142" s="226"/>
      <c r="GF142" s="226"/>
      <c r="GG142" s="226"/>
      <c r="GH142" s="226"/>
    </row>
    <row r="143" spans="1:190" s="225" customFormat="1" ht="15.95" customHeight="1">
      <c r="A143" s="139" t="s">
        <v>93</v>
      </c>
      <c r="B143" s="202"/>
      <c r="C143" s="227" t="s">
        <v>211</v>
      </c>
      <c r="D143" s="228" t="s">
        <v>1</v>
      </c>
      <c r="E143" s="138">
        <f>K143</f>
        <v>5376</v>
      </c>
      <c r="F143" s="108" t="e">
        <f>#REF!</f>
        <v>#REF!</v>
      </c>
      <c r="G143" s="65" t="e">
        <f t="shared" ref="G143:G151" si="1">+E143*F143</f>
        <v>#REF!</v>
      </c>
      <c r="I143" s="259">
        <f>G7+100*20*2</f>
        <v>5120</v>
      </c>
      <c r="J143" s="265">
        <v>1.05</v>
      </c>
      <c r="K143" s="259">
        <f t="shared" ref="K143:K151" si="2">I143*J143</f>
        <v>5376</v>
      </c>
      <c r="L143" s="226"/>
      <c r="M143" s="226"/>
      <c r="N143" s="226"/>
      <c r="O143" s="226"/>
      <c r="P143" s="226"/>
      <c r="Q143" s="226"/>
      <c r="R143" s="226"/>
      <c r="S143" s="226"/>
      <c r="T143" s="226"/>
      <c r="U143" s="226"/>
      <c r="V143" s="226"/>
      <c r="W143" s="226"/>
      <c r="X143" s="226"/>
      <c r="Y143" s="226"/>
      <c r="Z143" s="226"/>
      <c r="AA143" s="226"/>
      <c r="AB143" s="226"/>
      <c r="AC143" s="226"/>
      <c r="AD143" s="226"/>
      <c r="AE143" s="226"/>
      <c r="AF143" s="226"/>
      <c r="AG143" s="226"/>
      <c r="AH143" s="226"/>
      <c r="AI143" s="226"/>
      <c r="AJ143" s="226"/>
      <c r="AK143" s="226"/>
      <c r="AL143" s="226"/>
      <c r="AM143" s="226"/>
      <c r="AN143" s="226"/>
      <c r="AO143" s="226"/>
      <c r="AP143" s="226"/>
      <c r="AQ143" s="226"/>
      <c r="AR143" s="226"/>
      <c r="AS143" s="226"/>
      <c r="AT143" s="226"/>
      <c r="AU143" s="226"/>
      <c r="AV143" s="226"/>
      <c r="AW143" s="226"/>
      <c r="AX143" s="226"/>
      <c r="AY143" s="226"/>
      <c r="AZ143" s="226"/>
      <c r="BA143" s="226"/>
      <c r="BB143" s="226"/>
      <c r="BC143" s="226"/>
      <c r="BD143" s="226"/>
      <c r="BE143" s="226"/>
      <c r="BF143" s="226"/>
      <c r="BG143" s="226"/>
      <c r="BH143" s="226"/>
      <c r="BI143" s="226"/>
      <c r="BJ143" s="226"/>
      <c r="BK143" s="226"/>
      <c r="BL143" s="226"/>
      <c r="BM143" s="226"/>
      <c r="BN143" s="226"/>
      <c r="BO143" s="226"/>
      <c r="BP143" s="226"/>
      <c r="BQ143" s="226"/>
      <c r="BR143" s="226"/>
      <c r="BS143" s="226"/>
      <c r="BT143" s="226"/>
      <c r="BU143" s="226"/>
      <c r="BV143" s="226"/>
      <c r="BW143" s="226"/>
      <c r="BX143" s="226"/>
      <c r="BY143" s="226"/>
      <c r="BZ143" s="226"/>
      <c r="CA143" s="226"/>
      <c r="CB143" s="226"/>
      <c r="CC143" s="226"/>
      <c r="CD143" s="226"/>
      <c r="CE143" s="226"/>
      <c r="CF143" s="226"/>
      <c r="CG143" s="226"/>
      <c r="CH143" s="226"/>
      <c r="CI143" s="226"/>
      <c r="CJ143" s="226"/>
      <c r="CK143" s="226"/>
      <c r="CL143" s="226"/>
      <c r="CM143" s="226"/>
      <c r="CN143" s="226"/>
      <c r="CO143" s="226"/>
      <c r="CP143" s="226"/>
      <c r="CQ143" s="226"/>
      <c r="CR143" s="226"/>
      <c r="CS143" s="226"/>
      <c r="CT143" s="226"/>
      <c r="CU143" s="226"/>
      <c r="CV143" s="226"/>
      <c r="CW143" s="226"/>
      <c r="CX143" s="226"/>
      <c r="CY143" s="226"/>
      <c r="CZ143" s="226"/>
      <c r="DA143" s="226"/>
      <c r="DB143" s="226"/>
      <c r="DC143" s="226"/>
      <c r="DD143" s="226"/>
      <c r="DE143" s="226"/>
      <c r="DF143" s="226"/>
      <c r="DG143" s="226"/>
      <c r="DH143" s="226"/>
      <c r="DI143" s="226"/>
      <c r="DJ143" s="226"/>
      <c r="DK143" s="226"/>
      <c r="DL143" s="226"/>
      <c r="DM143" s="226"/>
      <c r="DN143" s="226"/>
      <c r="DO143" s="226"/>
      <c r="DP143" s="226"/>
      <c r="DQ143" s="226"/>
      <c r="DR143" s="226"/>
      <c r="DS143" s="226"/>
      <c r="DT143" s="226"/>
      <c r="DU143" s="226"/>
      <c r="DV143" s="226"/>
      <c r="DW143" s="226"/>
      <c r="DX143" s="226"/>
      <c r="DY143" s="226"/>
      <c r="DZ143" s="226"/>
      <c r="EA143" s="226"/>
      <c r="EB143" s="226"/>
      <c r="EC143" s="226"/>
      <c r="ED143" s="226"/>
      <c r="EE143" s="226"/>
      <c r="EF143" s="226"/>
      <c r="EG143" s="226"/>
      <c r="EH143" s="226"/>
      <c r="EI143" s="226"/>
      <c r="EJ143" s="226"/>
      <c r="EK143" s="226"/>
      <c r="EL143" s="226"/>
      <c r="EM143" s="226"/>
      <c r="EN143" s="226"/>
      <c r="EO143" s="226"/>
      <c r="EP143" s="226"/>
      <c r="EQ143" s="226"/>
      <c r="ER143" s="226"/>
      <c r="ES143" s="226"/>
      <c r="ET143" s="226"/>
      <c r="EU143" s="226"/>
      <c r="EV143" s="226"/>
      <c r="EW143" s="226"/>
      <c r="EX143" s="226"/>
      <c r="EY143" s="226"/>
      <c r="EZ143" s="226"/>
      <c r="FA143" s="226"/>
      <c r="FB143" s="226"/>
      <c r="FC143" s="226"/>
      <c r="FD143" s="226"/>
      <c r="FE143" s="226"/>
      <c r="FF143" s="226"/>
      <c r="FG143" s="226"/>
      <c r="FH143" s="226"/>
      <c r="FI143" s="226"/>
      <c r="FJ143" s="226"/>
      <c r="FK143" s="226"/>
      <c r="FL143" s="226"/>
      <c r="FM143" s="226"/>
      <c r="FN143" s="226"/>
      <c r="FO143" s="226"/>
      <c r="FP143" s="226"/>
      <c r="FQ143" s="226"/>
      <c r="FR143" s="226"/>
      <c r="FS143" s="226"/>
      <c r="FT143" s="226"/>
      <c r="FU143" s="226"/>
      <c r="FV143" s="226"/>
      <c r="FW143" s="226"/>
      <c r="FX143" s="226"/>
      <c r="FY143" s="226"/>
      <c r="FZ143" s="226"/>
      <c r="GA143" s="226"/>
      <c r="GB143" s="226"/>
      <c r="GC143" s="226"/>
      <c r="GD143" s="226"/>
      <c r="GE143" s="226"/>
      <c r="GF143" s="226"/>
      <c r="GG143" s="226"/>
      <c r="GH143" s="226"/>
    </row>
    <row r="144" spans="1:190" s="205" customFormat="1" ht="15.95" customHeight="1">
      <c r="A144" s="139"/>
      <c r="B144" s="202"/>
      <c r="C144" s="230" t="s">
        <v>381</v>
      </c>
      <c r="D144" s="321" t="s">
        <v>1</v>
      </c>
      <c r="E144" s="274">
        <f t="shared" ref="E144:E151" si="3">K144</f>
        <v>472.5</v>
      </c>
      <c r="F144" s="140" t="e">
        <f>#REF!</f>
        <v>#REF!</v>
      </c>
      <c r="G144" s="314" t="e">
        <f t="shared" si="1"/>
        <v>#REF!</v>
      </c>
      <c r="I144" s="258">
        <f>G9</f>
        <v>450</v>
      </c>
      <c r="J144" s="265">
        <v>1.05</v>
      </c>
      <c r="K144" s="258">
        <f t="shared" si="2"/>
        <v>472.5</v>
      </c>
    </row>
    <row r="145" spans="1:190" s="205" customFormat="1" ht="15.95" customHeight="1">
      <c r="A145" s="139"/>
      <c r="B145" s="202"/>
      <c r="C145" s="230" t="s">
        <v>252</v>
      </c>
      <c r="D145" s="321" t="s">
        <v>1</v>
      </c>
      <c r="E145" s="274">
        <f t="shared" si="3"/>
        <v>1575</v>
      </c>
      <c r="F145" s="140" t="e">
        <f>#REF!</f>
        <v>#REF!</v>
      </c>
      <c r="G145" s="314" t="e">
        <f t="shared" si="1"/>
        <v>#REF!</v>
      </c>
      <c r="I145" s="258">
        <f>G8</f>
        <v>1500</v>
      </c>
      <c r="J145" s="265">
        <v>1.05</v>
      </c>
      <c r="K145" s="258">
        <f t="shared" si="2"/>
        <v>1575</v>
      </c>
    </row>
    <row r="146" spans="1:190" s="205" customFormat="1" ht="15.95" customHeight="1">
      <c r="A146" s="139"/>
      <c r="B146" s="202"/>
      <c r="C146" s="230" t="s">
        <v>382</v>
      </c>
      <c r="D146" s="321" t="s">
        <v>1</v>
      </c>
      <c r="E146" s="274">
        <f t="shared" si="3"/>
        <v>0</v>
      </c>
      <c r="F146" s="140" t="e">
        <f>#REF!</f>
        <v>#REF!</v>
      </c>
      <c r="G146" s="314" t="e">
        <f t="shared" si="1"/>
        <v>#REF!</v>
      </c>
      <c r="I146" s="258">
        <f>G10</f>
        <v>0</v>
      </c>
      <c r="J146" s="265">
        <v>1.05</v>
      </c>
      <c r="K146" s="258">
        <f t="shared" si="2"/>
        <v>0</v>
      </c>
    </row>
    <row r="147" spans="1:190" s="205" customFormat="1" ht="15.95" customHeight="1">
      <c r="A147" s="139"/>
      <c r="B147" s="202"/>
      <c r="C147" s="230" t="s">
        <v>337</v>
      </c>
      <c r="D147" s="321" t="s">
        <v>1</v>
      </c>
      <c r="E147" s="274">
        <f t="shared" si="3"/>
        <v>378</v>
      </c>
      <c r="F147" s="140" t="e">
        <f>#REF!</f>
        <v>#REF!</v>
      </c>
      <c r="G147" s="314" t="e">
        <f t="shared" si="1"/>
        <v>#REF!</v>
      </c>
      <c r="I147" s="258">
        <f>G6</f>
        <v>360</v>
      </c>
      <c r="J147" s="265">
        <v>1.05</v>
      </c>
      <c r="K147" s="258">
        <f t="shared" si="2"/>
        <v>378</v>
      </c>
    </row>
    <row r="148" spans="1:190" s="205" customFormat="1" ht="15.95" customHeight="1">
      <c r="A148" s="139"/>
      <c r="B148" s="202"/>
      <c r="C148" s="230" t="s">
        <v>317</v>
      </c>
      <c r="D148" s="321" t="s">
        <v>1</v>
      </c>
      <c r="E148" s="274">
        <f t="shared" si="3"/>
        <v>1312.5</v>
      </c>
      <c r="F148" s="140" t="e">
        <f>#REF!</f>
        <v>#REF!</v>
      </c>
      <c r="G148" s="314" t="e">
        <f t="shared" si="1"/>
        <v>#REF!</v>
      </c>
      <c r="I148" s="258">
        <f>G5</f>
        <v>1250</v>
      </c>
      <c r="J148" s="265">
        <v>1.05</v>
      </c>
      <c r="K148" s="258">
        <f t="shared" si="2"/>
        <v>1312.5</v>
      </c>
    </row>
    <row r="149" spans="1:190" s="225" customFormat="1" ht="15.95" customHeight="1">
      <c r="A149" s="139"/>
      <c r="B149" s="202"/>
      <c r="C149" s="227" t="s">
        <v>321</v>
      </c>
      <c r="D149" s="228" t="s">
        <v>1</v>
      </c>
      <c r="E149" s="138">
        <f t="shared" si="3"/>
        <v>1060.5</v>
      </c>
      <c r="F149" s="108" t="e">
        <f>#REF!</f>
        <v>#REF!</v>
      </c>
      <c r="G149" s="65" t="e">
        <f t="shared" si="1"/>
        <v>#REF!</v>
      </c>
      <c r="I149" s="259">
        <f>G4</f>
        <v>1010</v>
      </c>
      <c r="J149" s="265">
        <v>1.05</v>
      </c>
      <c r="K149" s="259">
        <f t="shared" si="2"/>
        <v>1060.5</v>
      </c>
      <c r="L149" s="226"/>
      <c r="M149" s="226"/>
      <c r="N149" s="226"/>
      <c r="O149" s="226"/>
      <c r="P149" s="226"/>
      <c r="Q149" s="226"/>
      <c r="R149" s="226"/>
      <c r="S149" s="226"/>
      <c r="T149" s="226"/>
      <c r="U149" s="226"/>
      <c r="V149" s="226"/>
      <c r="W149" s="226"/>
      <c r="X149" s="226"/>
      <c r="Y149" s="226"/>
      <c r="Z149" s="226"/>
      <c r="AA149" s="226"/>
      <c r="AB149" s="226"/>
      <c r="AC149" s="226"/>
      <c r="AD149" s="226"/>
      <c r="AE149" s="226"/>
      <c r="AF149" s="226"/>
      <c r="AG149" s="226"/>
      <c r="AH149" s="226"/>
      <c r="AI149" s="226"/>
      <c r="AJ149" s="226"/>
      <c r="AK149" s="226"/>
      <c r="AL149" s="226"/>
      <c r="AM149" s="226"/>
      <c r="AN149" s="226"/>
      <c r="AO149" s="226"/>
      <c r="AP149" s="226"/>
      <c r="AQ149" s="226"/>
      <c r="AR149" s="226"/>
      <c r="AS149" s="226"/>
      <c r="AT149" s="226"/>
      <c r="AU149" s="226"/>
      <c r="AV149" s="226"/>
      <c r="AW149" s="226"/>
      <c r="AX149" s="226"/>
      <c r="AY149" s="226"/>
      <c r="AZ149" s="226"/>
      <c r="BA149" s="226"/>
      <c r="BB149" s="226"/>
      <c r="BC149" s="226"/>
      <c r="BD149" s="226"/>
      <c r="BE149" s="226"/>
      <c r="BF149" s="226"/>
      <c r="BG149" s="226"/>
      <c r="BH149" s="226"/>
      <c r="BI149" s="226"/>
      <c r="BJ149" s="226"/>
      <c r="BK149" s="226"/>
      <c r="BL149" s="226"/>
      <c r="BM149" s="226"/>
      <c r="BN149" s="226"/>
      <c r="BO149" s="226"/>
      <c r="BP149" s="226"/>
      <c r="BQ149" s="226"/>
      <c r="BR149" s="226"/>
      <c r="BS149" s="226"/>
      <c r="BT149" s="226"/>
      <c r="BU149" s="226"/>
      <c r="BV149" s="226"/>
      <c r="BW149" s="226"/>
      <c r="BX149" s="226"/>
      <c r="BY149" s="226"/>
      <c r="BZ149" s="226"/>
      <c r="CA149" s="226"/>
      <c r="CB149" s="226"/>
      <c r="CC149" s="226"/>
      <c r="CD149" s="226"/>
      <c r="CE149" s="226"/>
      <c r="CF149" s="226"/>
      <c r="CG149" s="226"/>
      <c r="CH149" s="226"/>
      <c r="CI149" s="226"/>
      <c r="CJ149" s="226"/>
      <c r="CK149" s="226"/>
      <c r="CL149" s="226"/>
      <c r="CM149" s="226"/>
      <c r="CN149" s="226"/>
      <c r="CO149" s="226"/>
      <c r="CP149" s="226"/>
      <c r="CQ149" s="226"/>
      <c r="CR149" s="226"/>
      <c r="CS149" s="226"/>
      <c r="CT149" s="226"/>
      <c r="CU149" s="226"/>
      <c r="CV149" s="226"/>
      <c r="CW149" s="226"/>
      <c r="CX149" s="226"/>
      <c r="CY149" s="226"/>
      <c r="CZ149" s="226"/>
      <c r="DA149" s="226"/>
      <c r="DB149" s="226"/>
      <c r="DC149" s="226"/>
      <c r="DD149" s="226"/>
      <c r="DE149" s="226"/>
      <c r="DF149" s="226"/>
      <c r="DG149" s="226"/>
      <c r="DH149" s="226"/>
      <c r="DI149" s="226"/>
      <c r="DJ149" s="226"/>
      <c r="DK149" s="226"/>
      <c r="DL149" s="226"/>
      <c r="DM149" s="226"/>
      <c r="DN149" s="226"/>
      <c r="DO149" s="226"/>
      <c r="DP149" s="226"/>
      <c r="DQ149" s="226"/>
      <c r="DR149" s="226"/>
      <c r="DS149" s="226"/>
      <c r="DT149" s="226"/>
      <c r="DU149" s="226"/>
      <c r="DV149" s="226"/>
      <c r="DW149" s="226"/>
      <c r="DX149" s="226"/>
      <c r="DY149" s="226"/>
      <c r="DZ149" s="226"/>
      <c r="EA149" s="226"/>
      <c r="EB149" s="226"/>
      <c r="EC149" s="226"/>
      <c r="ED149" s="226"/>
      <c r="EE149" s="226"/>
      <c r="EF149" s="226"/>
      <c r="EG149" s="226"/>
      <c r="EH149" s="226"/>
      <c r="EI149" s="226"/>
      <c r="EJ149" s="226"/>
      <c r="EK149" s="226"/>
      <c r="EL149" s="226"/>
      <c r="EM149" s="226"/>
      <c r="EN149" s="226"/>
      <c r="EO149" s="226"/>
      <c r="EP149" s="226"/>
      <c r="EQ149" s="226"/>
      <c r="ER149" s="226"/>
      <c r="ES149" s="226"/>
      <c r="ET149" s="226"/>
      <c r="EU149" s="226"/>
      <c r="EV149" s="226"/>
      <c r="EW149" s="226"/>
      <c r="EX149" s="226"/>
      <c r="EY149" s="226"/>
      <c r="EZ149" s="226"/>
      <c r="FA149" s="226"/>
      <c r="FB149" s="226"/>
      <c r="FC149" s="226"/>
      <c r="FD149" s="226"/>
      <c r="FE149" s="226"/>
      <c r="FF149" s="226"/>
      <c r="FG149" s="226"/>
      <c r="FH149" s="226"/>
      <c r="FI149" s="226"/>
      <c r="FJ149" s="226"/>
      <c r="FK149" s="226"/>
      <c r="FL149" s="226"/>
      <c r="FM149" s="226"/>
      <c r="FN149" s="226"/>
      <c r="FO149" s="226"/>
      <c r="FP149" s="226"/>
      <c r="FQ149" s="226"/>
      <c r="FR149" s="226"/>
      <c r="FS149" s="226"/>
      <c r="FT149" s="226"/>
      <c r="FU149" s="226"/>
      <c r="FV149" s="226"/>
      <c r="FW149" s="226"/>
      <c r="FX149" s="226"/>
      <c r="FY149" s="226"/>
      <c r="FZ149" s="226"/>
      <c r="GA149" s="226"/>
      <c r="GB149" s="226"/>
      <c r="GC149" s="226"/>
      <c r="GD149" s="226"/>
      <c r="GE149" s="226"/>
      <c r="GF149" s="226"/>
      <c r="GG149" s="226"/>
      <c r="GH149" s="226"/>
    </row>
    <row r="150" spans="1:190" s="225" customFormat="1" ht="15.95" customHeight="1">
      <c r="A150" s="139"/>
      <c r="B150" s="202"/>
      <c r="C150" s="227" t="s">
        <v>325</v>
      </c>
      <c r="D150" s="228" t="s">
        <v>1</v>
      </c>
      <c r="E150" s="138">
        <f t="shared" si="3"/>
        <v>1522.5</v>
      </c>
      <c r="F150" s="108" t="e">
        <f>#REF!</f>
        <v>#REF!</v>
      </c>
      <c r="G150" s="65" t="e">
        <f t="shared" si="1"/>
        <v>#REF!</v>
      </c>
      <c r="I150" s="259">
        <f>G3</f>
        <v>1450</v>
      </c>
      <c r="J150" s="265">
        <v>1.05</v>
      </c>
      <c r="K150" s="259">
        <f t="shared" si="2"/>
        <v>1522.5</v>
      </c>
      <c r="L150" s="226"/>
      <c r="M150" s="226"/>
      <c r="N150" s="226"/>
      <c r="O150" s="226"/>
      <c r="P150" s="226"/>
      <c r="Q150" s="226"/>
      <c r="R150" s="226"/>
      <c r="S150" s="226"/>
      <c r="T150" s="226"/>
      <c r="U150" s="226"/>
      <c r="V150" s="226"/>
      <c r="W150" s="226"/>
      <c r="X150" s="226"/>
      <c r="Y150" s="226"/>
      <c r="Z150" s="226"/>
      <c r="AA150" s="226"/>
      <c r="AB150" s="226"/>
      <c r="AC150" s="226"/>
      <c r="AD150" s="226"/>
      <c r="AE150" s="226"/>
      <c r="AF150" s="226"/>
      <c r="AG150" s="226"/>
      <c r="AH150" s="226"/>
      <c r="AI150" s="226"/>
      <c r="AJ150" s="226"/>
      <c r="AK150" s="226"/>
      <c r="AL150" s="226"/>
      <c r="AM150" s="226"/>
      <c r="AN150" s="226"/>
      <c r="AO150" s="226"/>
      <c r="AP150" s="226"/>
      <c r="AQ150" s="226"/>
      <c r="AR150" s="226"/>
      <c r="AS150" s="226"/>
      <c r="AT150" s="226"/>
      <c r="AU150" s="226"/>
      <c r="AV150" s="226"/>
      <c r="AW150" s="226"/>
      <c r="AX150" s="226"/>
      <c r="AY150" s="226"/>
      <c r="AZ150" s="226"/>
      <c r="BA150" s="226"/>
      <c r="BB150" s="226"/>
      <c r="BC150" s="226"/>
      <c r="BD150" s="226"/>
      <c r="BE150" s="226"/>
      <c r="BF150" s="226"/>
      <c r="BG150" s="226"/>
      <c r="BH150" s="226"/>
      <c r="BI150" s="226"/>
      <c r="BJ150" s="226"/>
      <c r="BK150" s="226"/>
      <c r="BL150" s="226"/>
      <c r="BM150" s="226"/>
      <c r="BN150" s="226"/>
      <c r="BO150" s="226"/>
      <c r="BP150" s="226"/>
      <c r="BQ150" s="226"/>
      <c r="BR150" s="226"/>
      <c r="BS150" s="226"/>
      <c r="BT150" s="226"/>
      <c r="BU150" s="226"/>
      <c r="BV150" s="226"/>
      <c r="BW150" s="226"/>
      <c r="BX150" s="226"/>
      <c r="BY150" s="226"/>
      <c r="BZ150" s="226"/>
      <c r="CA150" s="226"/>
      <c r="CB150" s="226"/>
      <c r="CC150" s="226"/>
      <c r="CD150" s="226"/>
      <c r="CE150" s="226"/>
      <c r="CF150" s="226"/>
      <c r="CG150" s="226"/>
      <c r="CH150" s="226"/>
      <c r="CI150" s="226"/>
      <c r="CJ150" s="226"/>
      <c r="CK150" s="226"/>
      <c r="CL150" s="226"/>
      <c r="CM150" s="226"/>
      <c r="CN150" s="226"/>
      <c r="CO150" s="226"/>
      <c r="CP150" s="226"/>
      <c r="CQ150" s="226"/>
      <c r="CR150" s="226"/>
      <c r="CS150" s="226"/>
      <c r="CT150" s="226"/>
      <c r="CU150" s="226"/>
      <c r="CV150" s="226"/>
      <c r="CW150" s="226"/>
      <c r="CX150" s="226"/>
      <c r="CY150" s="226"/>
      <c r="CZ150" s="226"/>
      <c r="DA150" s="226"/>
      <c r="DB150" s="226"/>
      <c r="DC150" s="226"/>
      <c r="DD150" s="226"/>
      <c r="DE150" s="226"/>
      <c r="DF150" s="226"/>
      <c r="DG150" s="226"/>
      <c r="DH150" s="226"/>
      <c r="DI150" s="226"/>
      <c r="DJ150" s="226"/>
      <c r="DK150" s="226"/>
      <c r="DL150" s="226"/>
      <c r="DM150" s="226"/>
      <c r="DN150" s="226"/>
      <c r="DO150" s="226"/>
      <c r="DP150" s="226"/>
      <c r="DQ150" s="226"/>
      <c r="DR150" s="226"/>
      <c r="DS150" s="226"/>
      <c r="DT150" s="226"/>
      <c r="DU150" s="226"/>
      <c r="DV150" s="226"/>
      <c r="DW150" s="226"/>
      <c r="DX150" s="226"/>
      <c r="DY150" s="226"/>
      <c r="DZ150" s="226"/>
      <c r="EA150" s="226"/>
      <c r="EB150" s="226"/>
      <c r="EC150" s="226"/>
      <c r="ED150" s="226"/>
      <c r="EE150" s="226"/>
      <c r="EF150" s="226"/>
      <c r="EG150" s="226"/>
      <c r="EH150" s="226"/>
      <c r="EI150" s="226"/>
      <c r="EJ150" s="226"/>
      <c r="EK150" s="226"/>
      <c r="EL150" s="226"/>
      <c r="EM150" s="226"/>
      <c r="EN150" s="226"/>
      <c r="EO150" s="226"/>
      <c r="EP150" s="226"/>
      <c r="EQ150" s="226"/>
      <c r="ER150" s="226"/>
      <c r="ES150" s="226"/>
      <c r="ET150" s="226"/>
      <c r="EU150" s="226"/>
      <c r="EV150" s="226"/>
      <c r="EW150" s="226"/>
      <c r="EX150" s="226"/>
      <c r="EY150" s="226"/>
      <c r="EZ150" s="226"/>
      <c r="FA150" s="226"/>
      <c r="FB150" s="226"/>
      <c r="FC150" s="226"/>
      <c r="FD150" s="226"/>
      <c r="FE150" s="226"/>
      <c r="FF150" s="226"/>
      <c r="FG150" s="226"/>
      <c r="FH150" s="226"/>
      <c r="FI150" s="226"/>
      <c r="FJ150" s="226"/>
      <c r="FK150" s="226"/>
      <c r="FL150" s="226"/>
      <c r="FM150" s="226"/>
      <c r="FN150" s="226"/>
      <c r="FO150" s="226"/>
      <c r="FP150" s="226"/>
      <c r="FQ150" s="226"/>
      <c r="FR150" s="226"/>
      <c r="FS150" s="226"/>
      <c r="FT150" s="226"/>
      <c r="FU150" s="226"/>
      <c r="FV150" s="226"/>
      <c r="FW150" s="226"/>
      <c r="FX150" s="226"/>
      <c r="FY150" s="226"/>
      <c r="FZ150" s="226"/>
      <c r="GA150" s="226"/>
      <c r="GB150" s="226"/>
      <c r="GC150" s="226"/>
      <c r="GD150" s="226"/>
      <c r="GE150" s="226"/>
      <c r="GF150" s="226"/>
      <c r="GG150" s="226"/>
      <c r="GH150" s="226"/>
    </row>
    <row r="151" spans="1:190" s="225" customFormat="1" ht="15.95" customHeight="1">
      <c r="A151" s="139"/>
      <c r="B151" s="202"/>
      <c r="C151" s="227" t="s">
        <v>406</v>
      </c>
      <c r="D151" s="228" t="s">
        <v>1</v>
      </c>
      <c r="E151" s="138">
        <f t="shared" si="3"/>
        <v>0</v>
      </c>
      <c r="F151" s="108" t="e">
        <f>#REF!</f>
        <v>#REF!</v>
      </c>
      <c r="G151" s="65" t="e">
        <f t="shared" si="1"/>
        <v>#REF!</v>
      </c>
      <c r="I151" s="259">
        <f>G11</f>
        <v>0</v>
      </c>
      <c r="J151" s="265">
        <v>1.05</v>
      </c>
      <c r="K151" s="259">
        <f t="shared" si="2"/>
        <v>0</v>
      </c>
      <c r="L151" s="226"/>
      <c r="M151" s="226"/>
      <c r="N151" s="226"/>
      <c r="O151" s="226"/>
      <c r="P151" s="226"/>
      <c r="Q151" s="226"/>
      <c r="R151" s="226"/>
      <c r="S151" s="226"/>
      <c r="T151" s="226"/>
      <c r="U151" s="226"/>
      <c r="V151" s="226"/>
      <c r="W151" s="226"/>
      <c r="X151" s="226"/>
      <c r="Y151" s="226"/>
      <c r="Z151" s="226"/>
      <c r="AA151" s="226"/>
      <c r="AB151" s="226"/>
      <c r="AC151" s="226"/>
      <c r="AD151" s="226"/>
      <c r="AE151" s="226"/>
      <c r="AF151" s="226"/>
      <c r="AG151" s="226"/>
      <c r="AH151" s="226"/>
      <c r="AI151" s="226"/>
      <c r="AJ151" s="226"/>
      <c r="AK151" s="226"/>
      <c r="AL151" s="226"/>
      <c r="AM151" s="226"/>
      <c r="AN151" s="226"/>
      <c r="AO151" s="226"/>
      <c r="AP151" s="226"/>
      <c r="AQ151" s="226"/>
      <c r="AR151" s="226"/>
      <c r="AS151" s="226"/>
      <c r="AT151" s="226"/>
      <c r="AU151" s="226"/>
      <c r="AV151" s="226"/>
      <c r="AW151" s="226"/>
      <c r="AX151" s="226"/>
      <c r="AY151" s="226"/>
      <c r="AZ151" s="226"/>
      <c r="BA151" s="226"/>
      <c r="BB151" s="226"/>
      <c r="BC151" s="226"/>
      <c r="BD151" s="226"/>
      <c r="BE151" s="226"/>
      <c r="BF151" s="226"/>
      <c r="BG151" s="226"/>
      <c r="BH151" s="226"/>
      <c r="BI151" s="226"/>
      <c r="BJ151" s="226"/>
      <c r="BK151" s="226"/>
      <c r="BL151" s="226"/>
      <c r="BM151" s="226"/>
      <c r="BN151" s="226"/>
      <c r="BO151" s="226"/>
      <c r="BP151" s="226"/>
      <c r="BQ151" s="226"/>
      <c r="BR151" s="226"/>
      <c r="BS151" s="226"/>
      <c r="BT151" s="226"/>
      <c r="BU151" s="226"/>
      <c r="BV151" s="226"/>
      <c r="BW151" s="226"/>
      <c r="BX151" s="226"/>
      <c r="BY151" s="226"/>
      <c r="BZ151" s="226"/>
      <c r="CA151" s="226"/>
      <c r="CB151" s="226"/>
      <c r="CC151" s="226"/>
      <c r="CD151" s="226"/>
      <c r="CE151" s="226"/>
      <c r="CF151" s="226"/>
      <c r="CG151" s="226"/>
      <c r="CH151" s="226"/>
      <c r="CI151" s="226"/>
      <c r="CJ151" s="226"/>
      <c r="CK151" s="226"/>
      <c r="CL151" s="226"/>
      <c r="CM151" s="226"/>
      <c r="CN151" s="226"/>
      <c r="CO151" s="226"/>
      <c r="CP151" s="226"/>
      <c r="CQ151" s="226"/>
      <c r="CR151" s="226"/>
      <c r="CS151" s="226"/>
      <c r="CT151" s="226"/>
      <c r="CU151" s="226"/>
      <c r="CV151" s="226"/>
      <c r="CW151" s="226"/>
      <c r="CX151" s="226"/>
      <c r="CY151" s="226"/>
      <c r="CZ151" s="226"/>
      <c r="DA151" s="226"/>
      <c r="DB151" s="226"/>
      <c r="DC151" s="226"/>
      <c r="DD151" s="226"/>
      <c r="DE151" s="226"/>
      <c r="DF151" s="226"/>
      <c r="DG151" s="226"/>
      <c r="DH151" s="226"/>
      <c r="DI151" s="226"/>
      <c r="DJ151" s="226"/>
      <c r="DK151" s="226"/>
      <c r="DL151" s="226"/>
      <c r="DM151" s="226"/>
      <c r="DN151" s="226"/>
      <c r="DO151" s="226"/>
      <c r="DP151" s="226"/>
      <c r="DQ151" s="226"/>
      <c r="DR151" s="226"/>
      <c r="DS151" s="226"/>
      <c r="DT151" s="226"/>
      <c r="DU151" s="226"/>
      <c r="DV151" s="226"/>
      <c r="DW151" s="226"/>
      <c r="DX151" s="226"/>
      <c r="DY151" s="226"/>
      <c r="DZ151" s="226"/>
      <c r="EA151" s="226"/>
      <c r="EB151" s="226"/>
      <c r="EC151" s="226"/>
      <c r="ED151" s="226"/>
      <c r="EE151" s="226"/>
      <c r="EF151" s="226"/>
      <c r="EG151" s="226"/>
      <c r="EH151" s="226"/>
      <c r="EI151" s="226"/>
      <c r="EJ151" s="226"/>
      <c r="EK151" s="226"/>
      <c r="EL151" s="226"/>
      <c r="EM151" s="226"/>
      <c r="EN151" s="226"/>
      <c r="EO151" s="226"/>
      <c r="EP151" s="226"/>
      <c r="EQ151" s="226"/>
      <c r="ER151" s="226"/>
      <c r="ES151" s="226"/>
      <c r="ET151" s="226"/>
      <c r="EU151" s="226"/>
      <c r="EV151" s="226"/>
      <c r="EW151" s="226"/>
      <c r="EX151" s="226"/>
      <c r="EY151" s="226"/>
      <c r="EZ151" s="226"/>
      <c r="FA151" s="226"/>
      <c r="FB151" s="226"/>
      <c r="FC151" s="226"/>
      <c r="FD151" s="226"/>
      <c r="FE151" s="226"/>
      <c r="FF151" s="226"/>
      <c r="FG151" s="226"/>
      <c r="FH151" s="226"/>
      <c r="FI151" s="226"/>
      <c r="FJ151" s="226"/>
      <c r="FK151" s="226"/>
      <c r="FL151" s="226"/>
      <c r="FM151" s="226"/>
      <c r="FN151" s="226"/>
      <c r="FO151" s="226"/>
      <c r="FP151" s="226"/>
      <c r="FQ151" s="226"/>
      <c r="FR151" s="226"/>
      <c r="FS151" s="226"/>
      <c r="FT151" s="226"/>
      <c r="FU151" s="226"/>
      <c r="FV151" s="226"/>
      <c r="FW151" s="226"/>
      <c r="FX151" s="226"/>
      <c r="FY151" s="226"/>
      <c r="FZ151" s="226"/>
      <c r="GA151" s="226"/>
      <c r="GB151" s="226"/>
      <c r="GC151" s="226"/>
      <c r="GD151" s="226"/>
      <c r="GE151" s="226"/>
      <c r="GF151" s="226"/>
      <c r="GG151" s="226"/>
      <c r="GH151" s="226"/>
    </row>
    <row r="152" spans="1:190" s="225" customFormat="1" ht="15.95" customHeight="1">
      <c r="A152" s="17"/>
      <c r="B152" s="5"/>
      <c r="C152" s="39"/>
      <c r="D152" s="228"/>
      <c r="E152" s="138"/>
      <c r="F152" s="140"/>
      <c r="G152" s="65"/>
      <c r="I152" s="259"/>
      <c r="J152" s="265"/>
      <c r="K152" s="259"/>
      <c r="L152" s="226"/>
      <c r="M152" s="226"/>
      <c r="N152" s="226"/>
      <c r="O152" s="226"/>
      <c r="P152" s="226"/>
      <c r="Q152" s="226"/>
      <c r="R152" s="226"/>
      <c r="S152" s="226"/>
      <c r="T152" s="226"/>
      <c r="U152" s="226"/>
      <c r="V152" s="226"/>
      <c r="W152" s="226"/>
      <c r="X152" s="226"/>
      <c r="Y152" s="226"/>
      <c r="Z152" s="226"/>
      <c r="AA152" s="226"/>
      <c r="AB152" s="226"/>
      <c r="AC152" s="226"/>
      <c r="AD152" s="226"/>
      <c r="AE152" s="226"/>
      <c r="AF152" s="226"/>
      <c r="AG152" s="226"/>
      <c r="AH152" s="226"/>
      <c r="AI152" s="226"/>
      <c r="AJ152" s="226"/>
      <c r="AK152" s="226"/>
      <c r="AL152" s="226"/>
      <c r="AM152" s="226"/>
      <c r="AN152" s="226"/>
      <c r="AO152" s="226"/>
      <c r="AP152" s="226"/>
      <c r="AQ152" s="226"/>
      <c r="AR152" s="226"/>
      <c r="AS152" s="226"/>
      <c r="AT152" s="226"/>
      <c r="AU152" s="226"/>
      <c r="AV152" s="226"/>
      <c r="AW152" s="226"/>
      <c r="AX152" s="226"/>
      <c r="AY152" s="226"/>
      <c r="AZ152" s="226"/>
      <c r="BA152" s="226"/>
      <c r="BB152" s="226"/>
      <c r="BC152" s="226"/>
      <c r="BD152" s="226"/>
      <c r="BE152" s="226"/>
      <c r="BF152" s="226"/>
      <c r="BG152" s="226"/>
      <c r="BH152" s="226"/>
      <c r="BI152" s="226"/>
      <c r="BJ152" s="226"/>
      <c r="BK152" s="226"/>
      <c r="BL152" s="226"/>
      <c r="BM152" s="226"/>
      <c r="BN152" s="226"/>
      <c r="BO152" s="226"/>
      <c r="BP152" s="226"/>
      <c r="BQ152" s="226"/>
      <c r="BR152" s="226"/>
      <c r="BS152" s="226"/>
      <c r="BT152" s="226"/>
      <c r="BU152" s="226"/>
      <c r="BV152" s="226"/>
      <c r="BW152" s="226"/>
      <c r="BX152" s="226"/>
      <c r="BY152" s="226"/>
      <c r="BZ152" s="226"/>
      <c r="CA152" s="226"/>
      <c r="CB152" s="226"/>
      <c r="CC152" s="226"/>
      <c r="CD152" s="226"/>
      <c r="CE152" s="226"/>
      <c r="CF152" s="226"/>
      <c r="CG152" s="226"/>
      <c r="CH152" s="226"/>
      <c r="CI152" s="226"/>
      <c r="CJ152" s="226"/>
      <c r="CK152" s="226"/>
      <c r="CL152" s="226"/>
      <c r="CM152" s="226"/>
      <c r="CN152" s="226"/>
      <c r="CO152" s="226"/>
      <c r="CP152" s="226"/>
      <c r="CQ152" s="226"/>
      <c r="CR152" s="226"/>
      <c r="CS152" s="226"/>
      <c r="CT152" s="226"/>
      <c r="CU152" s="226"/>
      <c r="CV152" s="226"/>
      <c r="CW152" s="226"/>
      <c r="CX152" s="226"/>
      <c r="CY152" s="226"/>
      <c r="CZ152" s="226"/>
      <c r="DA152" s="226"/>
      <c r="DB152" s="226"/>
      <c r="DC152" s="226"/>
      <c r="DD152" s="226"/>
      <c r="DE152" s="226"/>
      <c r="DF152" s="226"/>
      <c r="DG152" s="226"/>
      <c r="DH152" s="226"/>
      <c r="DI152" s="226"/>
      <c r="DJ152" s="226"/>
      <c r="DK152" s="226"/>
      <c r="DL152" s="226"/>
      <c r="DM152" s="226"/>
      <c r="DN152" s="226"/>
      <c r="DO152" s="226"/>
      <c r="DP152" s="226"/>
      <c r="DQ152" s="226"/>
      <c r="DR152" s="226"/>
      <c r="DS152" s="226"/>
      <c r="DT152" s="226"/>
      <c r="DU152" s="226"/>
      <c r="DV152" s="226"/>
      <c r="DW152" s="226"/>
      <c r="DX152" s="226"/>
      <c r="DY152" s="226"/>
      <c r="DZ152" s="226"/>
      <c r="EA152" s="226"/>
      <c r="EB152" s="226"/>
      <c r="EC152" s="226"/>
      <c r="ED152" s="226"/>
      <c r="EE152" s="226"/>
      <c r="EF152" s="226"/>
      <c r="EG152" s="226"/>
      <c r="EH152" s="226"/>
      <c r="EI152" s="226"/>
      <c r="EJ152" s="226"/>
      <c r="EK152" s="226"/>
      <c r="EL152" s="226"/>
      <c r="EM152" s="226"/>
      <c r="EN152" s="226"/>
      <c r="EO152" s="226"/>
      <c r="EP152" s="226"/>
      <c r="EQ152" s="226"/>
      <c r="ER152" s="226"/>
      <c r="ES152" s="226"/>
      <c r="ET152" s="226"/>
      <c r="EU152" s="226"/>
      <c r="EV152" s="226"/>
      <c r="EW152" s="226"/>
      <c r="EX152" s="226"/>
      <c r="EY152" s="226"/>
      <c r="EZ152" s="226"/>
      <c r="FA152" s="226"/>
      <c r="FB152" s="226"/>
      <c r="FC152" s="226"/>
      <c r="FD152" s="226"/>
      <c r="FE152" s="226"/>
      <c r="FF152" s="226"/>
      <c r="FG152" s="226"/>
      <c r="FH152" s="226"/>
      <c r="FI152" s="226"/>
      <c r="FJ152" s="226"/>
      <c r="FK152" s="226"/>
      <c r="FL152" s="226"/>
      <c r="FM152" s="226"/>
      <c r="FN152" s="226"/>
      <c r="FO152" s="226"/>
      <c r="FP152" s="226"/>
      <c r="FQ152" s="226"/>
      <c r="FR152" s="226"/>
      <c r="FS152" s="226"/>
      <c r="FT152" s="226"/>
      <c r="FU152" s="226"/>
      <c r="FV152" s="226"/>
      <c r="FW152" s="226"/>
      <c r="FX152" s="226"/>
      <c r="FY152" s="226"/>
      <c r="FZ152" s="226"/>
      <c r="GA152" s="226"/>
      <c r="GB152" s="226"/>
      <c r="GC152" s="226"/>
      <c r="GD152" s="226"/>
      <c r="GE152" s="226"/>
      <c r="GF152" s="226"/>
      <c r="GG152" s="226"/>
      <c r="GH152" s="226"/>
    </row>
    <row r="153" spans="1:190" s="198" customFormat="1" ht="15.95" customHeight="1">
      <c r="A153" s="247" t="s">
        <v>229</v>
      </c>
      <c r="B153" s="222"/>
      <c r="C153" s="223" t="s">
        <v>264</v>
      </c>
      <c r="D153" s="224"/>
      <c r="E153" s="200"/>
      <c r="F153" s="109"/>
      <c r="G153" s="63"/>
      <c r="H153" s="225"/>
      <c r="I153" s="259"/>
      <c r="J153" s="265"/>
      <c r="K153" s="259"/>
      <c r="L153" s="199"/>
      <c r="M153" s="199"/>
      <c r="N153" s="199"/>
      <c r="O153" s="199"/>
      <c r="P153" s="199"/>
      <c r="Q153" s="199"/>
      <c r="R153" s="199"/>
      <c r="S153" s="199"/>
      <c r="T153" s="199"/>
      <c r="U153" s="199"/>
      <c r="V153" s="199"/>
      <c r="W153" s="199"/>
      <c r="X153" s="199"/>
      <c r="Y153" s="199"/>
      <c r="Z153" s="199"/>
      <c r="AA153" s="199"/>
      <c r="AB153" s="199"/>
      <c r="AC153" s="199"/>
      <c r="AD153" s="199"/>
      <c r="AE153" s="199"/>
      <c r="AF153" s="199"/>
      <c r="AG153" s="199"/>
      <c r="AH153" s="199"/>
      <c r="AI153" s="199"/>
      <c r="AJ153" s="199"/>
      <c r="AK153" s="199"/>
      <c r="AL153" s="199"/>
      <c r="AM153" s="199"/>
      <c r="AN153" s="199"/>
      <c r="AO153" s="199"/>
      <c r="AP153" s="199"/>
      <c r="AQ153" s="199"/>
      <c r="AR153" s="199"/>
      <c r="AS153" s="199"/>
      <c r="AT153" s="199"/>
      <c r="AU153" s="199"/>
      <c r="AV153" s="199"/>
      <c r="AW153" s="199"/>
      <c r="AX153" s="199"/>
      <c r="AY153" s="199"/>
      <c r="AZ153" s="199"/>
      <c r="BA153" s="199"/>
      <c r="BB153" s="199"/>
      <c r="BC153" s="199"/>
      <c r="BD153" s="199"/>
      <c r="BE153" s="199"/>
      <c r="BF153" s="199"/>
      <c r="BG153" s="199"/>
      <c r="BH153" s="199"/>
      <c r="BI153" s="199"/>
      <c r="BJ153" s="199"/>
      <c r="BK153" s="199"/>
      <c r="BL153" s="199"/>
      <c r="BM153" s="199"/>
      <c r="BN153" s="199"/>
      <c r="BO153" s="199"/>
      <c r="BP153" s="199"/>
      <c r="BQ153" s="199"/>
      <c r="BR153" s="199"/>
      <c r="BS153" s="199"/>
      <c r="BT153" s="199"/>
      <c r="BU153" s="199"/>
      <c r="BV153" s="199"/>
      <c r="BW153" s="199"/>
      <c r="BX153" s="199"/>
      <c r="BY153" s="199"/>
      <c r="BZ153" s="199"/>
      <c r="CA153" s="199"/>
      <c r="CB153" s="199"/>
      <c r="CC153" s="199"/>
      <c r="CD153" s="199"/>
      <c r="CE153" s="199"/>
      <c r="CF153" s="199"/>
      <c r="CG153" s="199"/>
      <c r="CH153" s="199"/>
      <c r="CI153" s="199"/>
      <c r="CJ153" s="199"/>
      <c r="CK153" s="199"/>
      <c r="CL153" s="199"/>
      <c r="CM153" s="199"/>
      <c r="CN153" s="199"/>
      <c r="CO153" s="199"/>
      <c r="CP153" s="199"/>
      <c r="CQ153" s="199"/>
      <c r="CR153" s="199"/>
      <c r="CS153" s="199"/>
      <c r="CT153" s="199"/>
      <c r="CU153" s="199"/>
      <c r="CV153" s="199"/>
      <c r="CW153" s="199"/>
      <c r="CX153" s="199"/>
      <c r="CY153" s="199"/>
      <c r="CZ153" s="199"/>
      <c r="DA153" s="199"/>
      <c r="DB153" s="199"/>
      <c r="DC153" s="199"/>
      <c r="DD153" s="199"/>
      <c r="DE153" s="199"/>
      <c r="DF153" s="199"/>
      <c r="DG153" s="199"/>
      <c r="DH153" s="199"/>
      <c r="DI153" s="199"/>
      <c r="DJ153" s="199"/>
      <c r="DK153" s="199"/>
      <c r="DL153" s="199"/>
      <c r="DM153" s="199"/>
      <c r="DN153" s="199"/>
      <c r="DO153" s="199"/>
      <c r="DP153" s="199"/>
      <c r="DQ153" s="199"/>
      <c r="DR153" s="199"/>
      <c r="DS153" s="199"/>
      <c r="DT153" s="199"/>
      <c r="DU153" s="199"/>
      <c r="DV153" s="199"/>
      <c r="DW153" s="199"/>
      <c r="DX153" s="199"/>
      <c r="DY153" s="199"/>
      <c r="DZ153" s="199"/>
      <c r="EA153" s="199"/>
      <c r="EB153" s="199"/>
      <c r="EC153" s="199"/>
      <c r="ED153" s="199"/>
      <c r="EE153" s="199"/>
      <c r="EF153" s="199"/>
      <c r="EG153" s="199"/>
      <c r="EH153" s="199"/>
      <c r="EI153" s="199"/>
      <c r="EJ153" s="199"/>
      <c r="EK153" s="199"/>
      <c r="EL153" s="199"/>
      <c r="EM153" s="199"/>
      <c r="EN153" s="199"/>
      <c r="EO153" s="199"/>
      <c r="EP153" s="199"/>
      <c r="EQ153" s="199"/>
      <c r="ER153" s="199"/>
      <c r="ES153" s="199"/>
      <c r="ET153" s="199"/>
      <c r="EU153" s="199"/>
      <c r="EV153" s="199"/>
      <c r="EW153" s="199"/>
      <c r="EX153" s="199"/>
      <c r="EY153" s="199"/>
      <c r="EZ153" s="199"/>
      <c r="FA153" s="199"/>
      <c r="FB153" s="199"/>
      <c r="FC153" s="199"/>
      <c r="FD153" s="199"/>
      <c r="FE153" s="199"/>
      <c r="FF153" s="199"/>
      <c r="FG153" s="199"/>
      <c r="FH153" s="199"/>
      <c r="FI153" s="199"/>
      <c r="FJ153" s="199"/>
      <c r="FK153" s="199"/>
      <c r="FL153" s="199"/>
      <c r="FM153" s="199"/>
      <c r="FN153" s="199"/>
      <c r="FO153" s="199"/>
      <c r="FP153" s="199"/>
      <c r="FQ153" s="199"/>
      <c r="FR153" s="199"/>
      <c r="FS153" s="199"/>
      <c r="FT153" s="199"/>
      <c r="FU153" s="199"/>
      <c r="FV153" s="199"/>
      <c r="FW153" s="199"/>
      <c r="FX153" s="199"/>
      <c r="FY153" s="199"/>
      <c r="FZ153" s="199"/>
      <c r="GA153" s="199"/>
      <c r="GB153" s="199"/>
      <c r="GC153" s="199"/>
      <c r="GD153" s="199"/>
      <c r="GE153" s="199"/>
      <c r="GF153" s="199"/>
      <c r="GG153" s="199"/>
      <c r="GH153" s="199"/>
    </row>
    <row r="154" spans="1:190" s="198" customFormat="1" ht="15.95" customHeight="1">
      <c r="A154" s="348" t="s">
        <v>228</v>
      </c>
      <c r="B154" s="349"/>
      <c r="C154" s="127" t="s">
        <v>407</v>
      </c>
      <c r="D154" s="350" t="s">
        <v>1</v>
      </c>
      <c r="E154" s="351">
        <f>K154</f>
        <v>420</v>
      </c>
      <c r="F154" s="352" t="e">
        <f>#REF!</f>
        <v>#REF!</v>
      </c>
      <c r="G154" s="331" t="e">
        <f>+E154*F154</f>
        <v>#REF!</v>
      </c>
      <c r="I154" s="256">
        <f>350+20+30</f>
        <v>400</v>
      </c>
      <c r="J154" s="330">
        <v>1.05</v>
      </c>
      <c r="K154" s="256">
        <f>I154*J154</f>
        <v>420</v>
      </c>
      <c r="L154" s="199"/>
      <c r="M154" s="199"/>
      <c r="N154" s="199"/>
      <c r="O154" s="199"/>
      <c r="P154" s="199"/>
      <c r="Q154" s="199"/>
      <c r="R154" s="199"/>
      <c r="S154" s="199"/>
      <c r="T154" s="199"/>
      <c r="U154" s="199"/>
      <c r="V154" s="199"/>
      <c r="W154" s="199"/>
      <c r="X154" s="199"/>
      <c r="Y154" s="199"/>
      <c r="Z154" s="199"/>
      <c r="AA154" s="199"/>
      <c r="AB154" s="199"/>
      <c r="AC154" s="199"/>
      <c r="AD154" s="199"/>
      <c r="AE154" s="199"/>
      <c r="AF154" s="199"/>
      <c r="AG154" s="199"/>
      <c r="AH154" s="199"/>
      <c r="AI154" s="199"/>
      <c r="AJ154" s="199"/>
      <c r="AK154" s="199"/>
      <c r="AL154" s="199"/>
      <c r="AM154" s="199"/>
      <c r="AN154" s="199"/>
      <c r="AO154" s="199"/>
      <c r="AP154" s="199"/>
      <c r="AQ154" s="199"/>
      <c r="AR154" s="199"/>
      <c r="AS154" s="199"/>
      <c r="AT154" s="199"/>
      <c r="AU154" s="199"/>
      <c r="AV154" s="199"/>
      <c r="AW154" s="199"/>
      <c r="AX154" s="199"/>
      <c r="AY154" s="199"/>
      <c r="AZ154" s="199"/>
      <c r="BA154" s="199"/>
      <c r="BB154" s="199"/>
      <c r="BC154" s="199"/>
      <c r="BD154" s="199"/>
      <c r="BE154" s="199"/>
      <c r="BF154" s="199"/>
      <c r="BG154" s="199"/>
      <c r="BH154" s="199"/>
      <c r="BI154" s="199"/>
      <c r="BJ154" s="199"/>
      <c r="BK154" s="199"/>
      <c r="BL154" s="199"/>
      <c r="BM154" s="199"/>
      <c r="BN154" s="199"/>
      <c r="BO154" s="199"/>
      <c r="BP154" s="199"/>
      <c r="BQ154" s="199"/>
      <c r="BR154" s="199"/>
      <c r="BS154" s="199"/>
      <c r="BT154" s="199"/>
      <c r="BU154" s="199"/>
      <c r="BV154" s="199"/>
      <c r="BW154" s="199"/>
      <c r="BX154" s="199"/>
      <c r="BY154" s="199"/>
      <c r="BZ154" s="199"/>
      <c r="CA154" s="199"/>
      <c r="CB154" s="199"/>
      <c r="CC154" s="199"/>
      <c r="CD154" s="199"/>
      <c r="CE154" s="199"/>
      <c r="CF154" s="199"/>
      <c r="CG154" s="199"/>
      <c r="CH154" s="199"/>
      <c r="CI154" s="199"/>
      <c r="CJ154" s="199"/>
      <c r="CK154" s="199"/>
      <c r="CL154" s="199"/>
      <c r="CM154" s="199"/>
      <c r="CN154" s="199"/>
      <c r="CO154" s="199"/>
      <c r="CP154" s="199"/>
      <c r="CQ154" s="199"/>
      <c r="CR154" s="199"/>
      <c r="CS154" s="199"/>
      <c r="CT154" s="199"/>
      <c r="CU154" s="199"/>
      <c r="CV154" s="199"/>
      <c r="CW154" s="199"/>
      <c r="CX154" s="199"/>
      <c r="CY154" s="199"/>
      <c r="CZ154" s="199"/>
      <c r="DA154" s="199"/>
      <c r="DB154" s="199"/>
      <c r="DC154" s="199"/>
      <c r="DD154" s="199"/>
      <c r="DE154" s="199"/>
      <c r="DF154" s="199"/>
      <c r="DG154" s="199"/>
      <c r="DH154" s="199"/>
      <c r="DI154" s="199"/>
      <c r="DJ154" s="199"/>
      <c r="DK154" s="199"/>
      <c r="DL154" s="199"/>
      <c r="DM154" s="199"/>
      <c r="DN154" s="199"/>
      <c r="DO154" s="199"/>
      <c r="DP154" s="199"/>
      <c r="DQ154" s="199"/>
      <c r="DR154" s="199"/>
      <c r="DS154" s="199"/>
      <c r="DT154" s="199"/>
      <c r="DU154" s="199"/>
      <c r="DV154" s="199"/>
      <c r="DW154" s="199"/>
      <c r="DX154" s="199"/>
      <c r="DY154" s="199"/>
      <c r="DZ154" s="199"/>
      <c r="EA154" s="199"/>
      <c r="EB154" s="199"/>
      <c r="EC154" s="199"/>
      <c r="ED154" s="199"/>
      <c r="EE154" s="199"/>
      <c r="EF154" s="199"/>
      <c r="EG154" s="199"/>
      <c r="EH154" s="199"/>
      <c r="EI154" s="199"/>
      <c r="EJ154" s="199"/>
      <c r="EK154" s="199"/>
      <c r="EL154" s="199"/>
      <c r="EM154" s="199"/>
      <c r="EN154" s="199"/>
      <c r="EO154" s="199"/>
      <c r="EP154" s="199"/>
      <c r="EQ154" s="199"/>
      <c r="ER154" s="199"/>
      <c r="ES154" s="199"/>
      <c r="ET154" s="199"/>
      <c r="EU154" s="199"/>
      <c r="EV154" s="199"/>
      <c r="EW154" s="199"/>
      <c r="EX154" s="199"/>
      <c r="EY154" s="199"/>
      <c r="EZ154" s="199"/>
      <c r="FA154" s="199"/>
      <c r="FB154" s="199"/>
      <c r="FC154" s="199"/>
      <c r="FD154" s="199"/>
      <c r="FE154" s="199"/>
      <c r="FF154" s="199"/>
      <c r="FG154" s="199"/>
      <c r="FH154" s="199"/>
      <c r="FI154" s="199"/>
      <c r="FJ154" s="199"/>
      <c r="FK154" s="199"/>
      <c r="FL154" s="199"/>
      <c r="FM154" s="199"/>
      <c r="FN154" s="199"/>
      <c r="FO154" s="199"/>
      <c r="FP154" s="199"/>
      <c r="FQ154" s="199"/>
      <c r="FR154" s="199"/>
      <c r="FS154" s="199"/>
      <c r="FT154" s="199"/>
      <c r="FU154" s="199"/>
      <c r="FV154" s="199"/>
      <c r="FW154" s="199"/>
      <c r="FX154" s="199"/>
      <c r="FY154" s="199"/>
      <c r="FZ154" s="199"/>
      <c r="GA154" s="199"/>
      <c r="GB154" s="199"/>
      <c r="GC154" s="199"/>
      <c r="GD154" s="199"/>
      <c r="GE154" s="199"/>
      <c r="GF154" s="199"/>
      <c r="GG154" s="199"/>
      <c r="GH154" s="199"/>
    </row>
    <row r="155" spans="1:190" s="198" customFormat="1" ht="15.95" customHeight="1">
      <c r="A155" s="348" t="s">
        <v>228</v>
      </c>
      <c r="B155" s="349"/>
      <c r="C155" s="127" t="s">
        <v>413</v>
      </c>
      <c r="D155" s="350" t="s">
        <v>1</v>
      </c>
      <c r="E155" s="351">
        <f>K155</f>
        <v>42</v>
      </c>
      <c r="F155" s="352" t="e">
        <f>#REF!</f>
        <v>#REF!</v>
      </c>
      <c r="G155" s="331" t="e">
        <f>+E155*F155</f>
        <v>#REF!</v>
      </c>
      <c r="I155" s="256">
        <f>20*2</f>
        <v>40</v>
      </c>
      <c r="J155" s="330">
        <v>1.05</v>
      </c>
      <c r="K155" s="256">
        <f>I155*J155</f>
        <v>42</v>
      </c>
      <c r="L155" s="199"/>
      <c r="M155" s="199"/>
      <c r="N155" s="199"/>
      <c r="O155" s="199"/>
      <c r="P155" s="199"/>
      <c r="Q155" s="199"/>
      <c r="R155" s="199"/>
      <c r="S155" s="199"/>
      <c r="T155" s="199"/>
      <c r="U155" s="199"/>
      <c r="V155" s="199"/>
      <c r="W155" s="199"/>
      <c r="X155" s="199"/>
      <c r="Y155" s="199"/>
      <c r="Z155" s="199"/>
      <c r="AA155" s="199"/>
      <c r="AB155" s="199"/>
      <c r="AC155" s="199"/>
      <c r="AD155" s="199"/>
      <c r="AE155" s="199"/>
      <c r="AF155" s="199"/>
      <c r="AG155" s="199"/>
      <c r="AH155" s="199"/>
      <c r="AI155" s="199"/>
      <c r="AJ155" s="199"/>
      <c r="AK155" s="199"/>
      <c r="AL155" s="199"/>
      <c r="AM155" s="199"/>
      <c r="AN155" s="199"/>
      <c r="AO155" s="199"/>
      <c r="AP155" s="199"/>
      <c r="AQ155" s="199"/>
      <c r="AR155" s="199"/>
      <c r="AS155" s="199"/>
      <c r="AT155" s="199"/>
      <c r="AU155" s="199"/>
      <c r="AV155" s="199"/>
      <c r="AW155" s="199"/>
      <c r="AX155" s="199"/>
      <c r="AY155" s="199"/>
      <c r="AZ155" s="199"/>
      <c r="BA155" s="199"/>
      <c r="BB155" s="199"/>
      <c r="BC155" s="199"/>
      <c r="BD155" s="199"/>
      <c r="BE155" s="199"/>
      <c r="BF155" s="199"/>
      <c r="BG155" s="199"/>
      <c r="BH155" s="199"/>
      <c r="BI155" s="199"/>
      <c r="BJ155" s="199"/>
      <c r="BK155" s="199"/>
      <c r="BL155" s="199"/>
      <c r="BM155" s="199"/>
      <c r="BN155" s="199"/>
      <c r="BO155" s="199"/>
      <c r="BP155" s="199"/>
      <c r="BQ155" s="199"/>
      <c r="BR155" s="199"/>
      <c r="BS155" s="199"/>
      <c r="BT155" s="199"/>
      <c r="BU155" s="199"/>
      <c r="BV155" s="199"/>
      <c r="BW155" s="199"/>
      <c r="BX155" s="199"/>
      <c r="BY155" s="199"/>
      <c r="BZ155" s="199"/>
      <c r="CA155" s="199"/>
      <c r="CB155" s="199"/>
      <c r="CC155" s="199"/>
      <c r="CD155" s="199"/>
      <c r="CE155" s="199"/>
      <c r="CF155" s="199"/>
      <c r="CG155" s="199"/>
      <c r="CH155" s="199"/>
      <c r="CI155" s="199"/>
      <c r="CJ155" s="199"/>
      <c r="CK155" s="199"/>
      <c r="CL155" s="199"/>
      <c r="CM155" s="199"/>
      <c r="CN155" s="199"/>
      <c r="CO155" s="199"/>
      <c r="CP155" s="199"/>
      <c r="CQ155" s="199"/>
      <c r="CR155" s="199"/>
      <c r="CS155" s="199"/>
      <c r="CT155" s="199"/>
      <c r="CU155" s="199"/>
      <c r="CV155" s="199"/>
      <c r="CW155" s="199"/>
      <c r="CX155" s="199"/>
      <c r="CY155" s="199"/>
      <c r="CZ155" s="199"/>
      <c r="DA155" s="199"/>
      <c r="DB155" s="199"/>
      <c r="DC155" s="199"/>
      <c r="DD155" s="199"/>
      <c r="DE155" s="199"/>
      <c r="DF155" s="199"/>
      <c r="DG155" s="199"/>
      <c r="DH155" s="199"/>
      <c r="DI155" s="199"/>
      <c r="DJ155" s="199"/>
      <c r="DK155" s="199"/>
      <c r="DL155" s="199"/>
      <c r="DM155" s="199"/>
      <c r="DN155" s="199"/>
      <c r="DO155" s="199"/>
      <c r="DP155" s="199"/>
      <c r="DQ155" s="199"/>
      <c r="DR155" s="199"/>
      <c r="DS155" s="199"/>
      <c r="DT155" s="199"/>
      <c r="DU155" s="199"/>
      <c r="DV155" s="199"/>
      <c r="DW155" s="199"/>
      <c r="DX155" s="199"/>
      <c r="DY155" s="199"/>
      <c r="DZ155" s="199"/>
      <c r="EA155" s="199"/>
      <c r="EB155" s="199"/>
      <c r="EC155" s="199"/>
      <c r="ED155" s="199"/>
      <c r="EE155" s="199"/>
      <c r="EF155" s="199"/>
      <c r="EG155" s="199"/>
      <c r="EH155" s="199"/>
      <c r="EI155" s="199"/>
      <c r="EJ155" s="199"/>
      <c r="EK155" s="199"/>
      <c r="EL155" s="199"/>
      <c r="EM155" s="199"/>
      <c r="EN155" s="199"/>
      <c r="EO155" s="199"/>
      <c r="EP155" s="199"/>
      <c r="EQ155" s="199"/>
      <c r="ER155" s="199"/>
      <c r="ES155" s="199"/>
      <c r="ET155" s="199"/>
      <c r="EU155" s="199"/>
      <c r="EV155" s="199"/>
      <c r="EW155" s="199"/>
      <c r="EX155" s="199"/>
      <c r="EY155" s="199"/>
      <c r="EZ155" s="199"/>
      <c r="FA155" s="199"/>
      <c r="FB155" s="199"/>
      <c r="FC155" s="199"/>
      <c r="FD155" s="199"/>
      <c r="FE155" s="199"/>
      <c r="FF155" s="199"/>
      <c r="FG155" s="199"/>
      <c r="FH155" s="199"/>
      <c r="FI155" s="199"/>
      <c r="FJ155" s="199"/>
      <c r="FK155" s="199"/>
      <c r="FL155" s="199"/>
      <c r="FM155" s="199"/>
      <c r="FN155" s="199"/>
      <c r="FO155" s="199"/>
      <c r="FP155" s="199"/>
      <c r="FQ155" s="199"/>
      <c r="FR155" s="199"/>
      <c r="FS155" s="199"/>
      <c r="FT155" s="199"/>
      <c r="FU155" s="199"/>
      <c r="FV155" s="199"/>
      <c r="FW155" s="199"/>
      <c r="FX155" s="199"/>
      <c r="FY155" s="199"/>
      <c r="FZ155" s="199"/>
      <c r="GA155" s="199"/>
      <c r="GB155" s="199"/>
      <c r="GC155" s="199"/>
      <c r="GD155" s="199"/>
      <c r="GE155" s="199"/>
      <c r="GF155" s="199"/>
      <c r="GG155" s="199"/>
      <c r="GH155" s="199"/>
    </row>
    <row r="156" spans="1:190" s="225" customFormat="1" ht="15.95" customHeight="1">
      <c r="A156" s="17"/>
      <c r="B156" s="229"/>
      <c r="C156" s="230"/>
      <c r="D156" s="228"/>
      <c r="E156" s="138"/>
      <c r="F156" s="108"/>
      <c r="G156" s="65"/>
      <c r="I156" s="259"/>
      <c r="J156" s="265"/>
      <c r="K156" s="259"/>
      <c r="L156" s="226"/>
      <c r="M156" s="226"/>
      <c r="N156" s="226"/>
      <c r="O156" s="226"/>
      <c r="P156" s="226"/>
      <c r="Q156" s="226"/>
      <c r="R156" s="226"/>
      <c r="S156" s="226"/>
      <c r="T156" s="226"/>
      <c r="U156" s="226"/>
      <c r="V156" s="226"/>
      <c r="W156" s="226"/>
      <c r="X156" s="226"/>
      <c r="Y156" s="226"/>
      <c r="Z156" s="226"/>
      <c r="AA156" s="226"/>
      <c r="AB156" s="226"/>
      <c r="AC156" s="226"/>
      <c r="AD156" s="226"/>
      <c r="AE156" s="226"/>
      <c r="AF156" s="226"/>
      <c r="AG156" s="226"/>
      <c r="AH156" s="226"/>
      <c r="AI156" s="226"/>
      <c r="AJ156" s="226"/>
      <c r="AK156" s="226"/>
      <c r="AL156" s="226"/>
      <c r="AM156" s="226"/>
      <c r="AN156" s="226"/>
      <c r="AO156" s="226"/>
      <c r="AP156" s="226"/>
      <c r="AQ156" s="226"/>
      <c r="AR156" s="226"/>
      <c r="AS156" s="226"/>
      <c r="AT156" s="226"/>
      <c r="AU156" s="226"/>
      <c r="AV156" s="226"/>
      <c r="AW156" s="226"/>
      <c r="AX156" s="226"/>
      <c r="AY156" s="226"/>
      <c r="AZ156" s="226"/>
      <c r="BA156" s="226"/>
      <c r="BB156" s="226"/>
      <c r="BC156" s="226"/>
      <c r="BD156" s="226"/>
      <c r="BE156" s="226"/>
      <c r="BF156" s="226"/>
      <c r="BG156" s="226"/>
      <c r="BH156" s="226"/>
      <c r="BI156" s="226"/>
      <c r="BJ156" s="226"/>
      <c r="BK156" s="226"/>
      <c r="BL156" s="226"/>
      <c r="BM156" s="226"/>
      <c r="BN156" s="226"/>
      <c r="BO156" s="226"/>
      <c r="BP156" s="226"/>
      <c r="BQ156" s="226"/>
      <c r="BR156" s="226"/>
      <c r="BS156" s="226"/>
      <c r="BT156" s="226"/>
      <c r="BU156" s="226"/>
      <c r="BV156" s="226"/>
      <c r="BW156" s="226"/>
      <c r="BX156" s="226"/>
      <c r="BY156" s="226"/>
      <c r="BZ156" s="226"/>
      <c r="CA156" s="226"/>
      <c r="CB156" s="226"/>
      <c r="CC156" s="226"/>
      <c r="CD156" s="226"/>
      <c r="CE156" s="226"/>
      <c r="CF156" s="226"/>
      <c r="CG156" s="226"/>
      <c r="CH156" s="226"/>
      <c r="CI156" s="226"/>
      <c r="CJ156" s="226"/>
      <c r="CK156" s="226"/>
      <c r="CL156" s="226"/>
      <c r="CM156" s="226"/>
      <c r="CN156" s="226"/>
      <c r="CO156" s="226"/>
      <c r="CP156" s="226"/>
      <c r="CQ156" s="226"/>
      <c r="CR156" s="226"/>
      <c r="CS156" s="226"/>
      <c r="CT156" s="226"/>
      <c r="CU156" s="226"/>
      <c r="CV156" s="226"/>
      <c r="CW156" s="226"/>
      <c r="CX156" s="226"/>
      <c r="CY156" s="226"/>
      <c r="CZ156" s="226"/>
      <c r="DA156" s="226"/>
      <c r="DB156" s="226"/>
      <c r="DC156" s="226"/>
      <c r="DD156" s="226"/>
      <c r="DE156" s="226"/>
      <c r="DF156" s="226"/>
      <c r="DG156" s="226"/>
      <c r="DH156" s="226"/>
      <c r="DI156" s="226"/>
      <c r="DJ156" s="226"/>
      <c r="DK156" s="226"/>
      <c r="DL156" s="226"/>
      <c r="DM156" s="226"/>
      <c r="DN156" s="226"/>
      <c r="DO156" s="226"/>
      <c r="DP156" s="226"/>
      <c r="DQ156" s="226"/>
      <c r="DR156" s="226"/>
      <c r="DS156" s="226"/>
      <c r="DT156" s="226"/>
      <c r="DU156" s="226"/>
      <c r="DV156" s="226"/>
      <c r="DW156" s="226"/>
      <c r="DX156" s="226"/>
      <c r="DY156" s="226"/>
      <c r="DZ156" s="226"/>
      <c r="EA156" s="226"/>
      <c r="EB156" s="226"/>
      <c r="EC156" s="226"/>
      <c r="ED156" s="226"/>
      <c r="EE156" s="226"/>
      <c r="EF156" s="226"/>
      <c r="EG156" s="226"/>
      <c r="EH156" s="226"/>
      <c r="EI156" s="226"/>
      <c r="EJ156" s="226"/>
      <c r="EK156" s="226"/>
      <c r="EL156" s="226"/>
      <c r="EM156" s="226"/>
      <c r="EN156" s="226"/>
      <c r="EO156" s="226"/>
      <c r="EP156" s="226"/>
      <c r="EQ156" s="226"/>
      <c r="ER156" s="226"/>
      <c r="ES156" s="226"/>
      <c r="ET156" s="226"/>
      <c r="EU156" s="226"/>
      <c r="EV156" s="226"/>
      <c r="EW156" s="226"/>
      <c r="EX156" s="226"/>
      <c r="EY156" s="226"/>
      <c r="EZ156" s="226"/>
      <c r="FA156" s="226"/>
      <c r="FB156" s="226"/>
      <c r="FC156" s="226"/>
      <c r="FD156" s="226"/>
      <c r="FE156" s="226"/>
      <c r="FF156" s="226"/>
      <c r="FG156" s="226"/>
      <c r="FH156" s="226"/>
      <c r="FI156" s="226"/>
      <c r="FJ156" s="226"/>
      <c r="FK156" s="226"/>
      <c r="FL156" s="226"/>
      <c r="FM156" s="226"/>
      <c r="FN156" s="226"/>
      <c r="FO156" s="226"/>
      <c r="FP156" s="226"/>
      <c r="FQ156" s="226"/>
      <c r="FR156" s="226"/>
      <c r="FS156" s="226"/>
      <c r="FT156" s="226"/>
      <c r="FU156" s="226"/>
      <c r="FV156" s="226"/>
      <c r="FW156" s="226"/>
      <c r="FX156" s="226"/>
      <c r="FY156" s="226"/>
      <c r="FZ156" s="226"/>
      <c r="GA156" s="226"/>
      <c r="GB156" s="226"/>
      <c r="GC156" s="226"/>
      <c r="GD156" s="226"/>
      <c r="GE156" s="226"/>
      <c r="GF156" s="226"/>
      <c r="GG156" s="226"/>
      <c r="GH156" s="226"/>
    </row>
    <row r="157" spans="1:190" s="198" customFormat="1" ht="15.95" customHeight="1">
      <c r="A157" s="247" t="s">
        <v>219</v>
      </c>
      <c r="B157" s="222"/>
      <c r="C157" s="223" t="s">
        <v>220</v>
      </c>
      <c r="D157" s="224"/>
      <c r="E157" s="200"/>
      <c r="F157" s="109"/>
      <c r="G157" s="63"/>
      <c r="H157" s="225"/>
      <c r="I157" s="259"/>
      <c r="J157" s="265"/>
      <c r="K157" s="259"/>
      <c r="L157" s="199"/>
      <c r="M157" s="199"/>
      <c r="N157" s="199"/>
      <c r="O157" s="199"/>
      <c r="P157" s="199"/>
      <c r="Q157" s="199"/>
      <c r="R157" s="199"/>
      <c r="S157" s="199"/>
      <c r="T157" s="199"/>
      <c r="U157" s="199"/>
      <c r="V157" s="199"/>
      <c r="W157" s="199"/>
      <c r="X157" s="199"/>
      <c r="Y157" s="199"/>
      <c r="Z157" s="199"/>
      <c r="AA157" s="199"/>
      <c r="AB157" s="199"/>
      <c r="AC157" s="199"/>
      <c r="AD157" s="199"/>
      <c r="AE157" s="199"/>
      <c r="AF157" s="199"/>
      <c r="AG157" s="199"/>
      <c r="AH157" s="199"/>
      <c r="AI157" s="199"/>
      <c r="AJ157" s="199"/>
      <c r="AK157" s="199"/>
      <c r="AL157" s="199"/>
      <c r="AM157" s="199"/>
      <c r="AN157" s="199"/>
      <c r="AO157" s="199"/>
      <c r="AP157" s="199"/>
      <c r="AQ157" s="199"/>
      <c r="AR157" s="199"/>
      <c r="AS157" s="199"/>
      <c r="AT157" s="199"/>
      <c r="AU157" s="199"/>
      <c r="AV157" s="199"/>
      <c r="AW157" s="199"/>
      <c r="AX157" s="199"/>
      <c r="AY157" s="199"/>
      <c r="AZ157" s="199"/>
      <c r="BA157" s="199"/>
      <c r="BB157" s="199"/>
      <c r="BC157" s="199"/>
      <c r="BD157" s="199"/>
      <c r="BE157" s="199"/>
      <c r="BF157" s="199"/>
      <c r="BG157" s="199"/>
      <c r="BH157" s="199"/>
      <c r="BI157" s="199"/>
      <c r="BJ157" s="199"/>
      <c r="BK157" s="199"/>
      <c r="BL157" s="199"/>
      <c r="BM157" s="199"/>
      <c r="BN157" s="199"/>
      <c r="BO157" s="199"/>
      <c r="BP157" s="199"/>
      <c r="BQ157" s="199"/>
      <c r="BR157" s="199"/>
      <c r="BS157" s="199"/>
      <c r="BT157" s="199"/>
      <c r="BU157" s="199"/>
      <c r="BV157" s="199"/>
      <c r="BW157" s="199"/>
      <c r="BX157" s="199"/>
      <c r="BY157" s="199"/>
      <c r="BZ157" s="199"/>
      <c r="CA157" s="199"/>
      <c r="CB157" s="199"/>
      <c r="CC157" s="199"/>
      <c r="CD157" s="199"/>
      <c r="CE157" s="199"/>
      <c r="CF157" s="199"/>
      <c r="CG157" s="199"/>
      <c r="CH157" s="199"/>
      <c r="CI157" s="199"/>
      <c r="CJ157" s="199"/>
      <c r="CK157" s="199"/>
      <c r="CL157" s="199"/>
      <c r="CM157" s="199"/>
      <c r="CN157" s="199"/>
      <c r="CO157" s="199"/>
      <c r="CP157" s="199"/>
      <c r="CQ157" s="199"/>
      <c r="CR157" s="199"/>
      <c r="CS157" s="199"/>
      <c r="CT157" s="199"/>
      <c r="CU157" s="199"/>
      <c r="CV157" s="199"/>
      <c r="CW157" s="199"/>
      <c r="CX157" s="199"/>
      <c r="CY157" s="199"/>
      <c r="CZ157" s="199"/>
      <c r="DA157" s="199"/>
      <c r="DB157" s="199"/>
      <c r="DC157" s="199"/>
      <c r="DD157" s="199"/>
      <c r="DE157" s="199"/>
      <c r="DF157" s="199"/>
      <c r="DG157" s="199"/>
      <c r="DH157" s="199"/>
      <c r="DI157" s="199"/>
      <c r="DJ157" s="199"/>
      <c r="DK157" s="199"/>
      <c r="DL157" s="199"/>
      <c r="DM157" s="199"/>
      <c r="DN157" s="199"/>
      <c r="DO157" s="199"/>
      <c r="DP157" s="199"/>
      <c r="DQ157" s="199"/>
      <c r="DR157" s="199"/>
      <c r="DS157" s="199"/>
      <c r="DT157" s="199"/>
      <c r="DU157" s="199"/>
      <c r="DV157" s="199"/>
      <c r="DW157" s="199"/>
      <c r="DX157" s="199"/>
      <c r="DY157" s="199"/>
      <c r="DZ157" s="199"/>
      <c r="EA157" s="199"/>
      <c r="EB157" s="199"/>
      <c r="EC157" s="199"/>
      <c r="ED157" s="199"/>
      <c r="EE157" s="199"/>
      <c r="EF157" s="199"/>
      <c r="EG157" s="199"/>
      <c r="EH157" s="199"/>
      <c r="EI157" s="199"/>
      <c r="EJ157" s="199"/>
      <c r="EK157" s="199"/>
      <c r="EL157" s="199"/>
      <c r="EM157" s="199"/>
      <c r="EN157" s="199"/>
      <c r="EO157" s="199"/>
      <c r="EP157" s="199"/>
      <c r="EQ157" s="199"/>
      <c r="ER157" s="199"/>
      <c r="ES157" s="199"/>
      <c r="ET157" s="199"/>
      <c r="EU157" s="199"/>
      <c r="EV157" s="199"/>
      <c r="EW157" s="199"/>
      <c r="EX157" s="199"/>
      <c r="EY157" s="199"/>
      <c r="EZ157" s="199"/>
      <c r="FA157" s="199"/>
      <c r="FB157" s="199"/>
      <c r="FC157" s="199"/>
      <c r="FD157" s="199"/>
      <c r="FE157" s="199"/>
      <c r="FF157" s="199"/>
      <c r="FG157" s="199"/>
      <c r="FH157" s="199"/>
      <c r="FI157" s="199"/>
      <c r="FJ157" s="199"/>
      <c r="FK157" s="199"/>
      <c r="FL157" s="199"/>
      <c r="FM157" s="199"/>
      <c r="FN157" s="199"/>
      <c r="FO157" s="199"/>
      <c r="FP157" s="199"/>
      <c r="FQ157" s="199"/>
      <c r="FR157" s="199"/>
      <c r="FS157" s="199"/>
      <c r="FT157" s="199"/>
      <c r="FU157" s="199"/>
      <c r="FV157" s="199"/>
      <c r="FW157" s="199"/>
      <c r="FX157" s="199"/>
      <c r="FY157" s="199"/>
      <c r="FZ157" s="199"/>
      <c r="GA157" s="199"/>
      <c r="GB157" s="199"/>
      <c r="GC157" s="199"/>
      <c r="GD157" s="199"/>
      <c r="GE157" s="199"/>
      <c r="GF157" s="199"/>
      <c r="GG157" s="199"/>
      <c r="GH157" s="199"/>
    </row>
    <row r="158" spans="1:190" s="225" customFormat="1" ht="15.95" customHeight="1">
      <c r="A158" s="139" t="s">
        <v>230</v>
      </c>
      <c r="B158" s="202"/>
      <c r="C158" s="193"/>
      <c r="D158" s="228" t="s">
        <v>27</v>
      </c>
      <c r="E158" s="138">
        <f>K158</f>
        <v>2</v>
      </c>
      <c r="F158" s="140" t="e">
        <f>#REF!</f>
        <v>#REF!</v>
      </c>
      <c r="G158" s="65" t="e">
        <f>+E158*F158</f>
        <v>#REF!</v>
      </c>
      <c r="I158" s="259">
        <v>2</v>
      </c>
      <c r="J158" s="265">
        <v>1</v>
      </c>
      <c r="K158" s="259">
        <f>I158*J158</f>
        <v>2</v>
      </c>
      <c r="L158" s="226"/>
      <c r="M158" s="226"/>
      <c r="N158" s="226"/>
      <c r="O158" s="226"/>
      <c r="P158" s="226"/>
      <c r="Q158" s="226"/>
      <c r="R158" s="226"/>
      <c r="S158" s="226"/>
      <c r="T158" s="226"/>
      <c r="U158" s="226"/>
      <c r="V158" s="226"/>
      <c r="W158" s="226"/>
      <c r="X158" s="226"/>
      <c r="Y158" s="226"/>
      <c r="Z158" s="226"/>
      <c r="AA158" s="226"/>
      <c r="AB158" s="226"/>
      <c r="AC158" s="226"/>
      <c r="AD158" s="226"/>
      <c r="AE158" s="226"/>
      <c r="AF158" s="226"/>
      <c r="AG158" s="226"/>
      <c r="AH158" s="226"/>
      <c r="AI158" s="226"/>
      <c r="AJ158" s="226"/>
      <c r="AK158" s="226"/>
      <c r="AL158" s="226"/>
      <c r="AM158" s="226"/>
      <c r="AN158" s="226"/>
      <c r="AO158" s="226"/>
      <c r="AP158" s="226"/>
      <c r="AQ158" s="226"/>
      <c r="AR158" s="226"/>
      <c r="AS158" s="226"/>
      <c r="AT158" s="226"/>
      <c r="AU158" s="226"/>
      <c r="AV158" s="226"/>
      <c r="AW158" s="226"/>
      <c r="AX158" s="226"/>
      <c r="AY158" s="226"/>
      <c r="AZ158" s="226"/>
      <c r="BA158" s="226"/>
      <c r="BB158" s="226"/>
      <c r="BC158" s="226"/>
      <c r="BD158" s="226"/>
      <c r="BE158" s="226"/>
      <c r="BF158" s="226"/>
      <c r="BG158" s="226"/>
      <c r="BH158" s="226"/>
      <c r="BI158" s="226"/>
      <c r="BJ158" s="226"/>
      <c r="BK158" s="226"/>
      <c r="BL158" s="226"/>
      <c r="BM158" s="226"/>
      <c r="BN158" s="226"/>
      <c r="BO158" s="226"/>
      <c r="BP158" s="226"/>
      <c r="BQ158" s="226"/>
      <c r="BR158" s="226"/>
      <c r="BS158" s="226"/>
      <c r="BT158" s="226"/>
      <c r="BU158" s="226"/>
      <c r="BV158" s="226"/>
      <c r="BW158" s="226"/>
      <c r="BX158" s="226"/>
      <c r="BY158" s="226"/>
      <c r="BZ158" s="226"/>
      <c r="CA158" s="226"/>
      <c r="CB158" s="226"/>
      <c r="CC158" s="226"/>
      <c r="CD158" s="226"/>
      <c r="CE158" s="226"/>
      <c r="CF158" s="226"/>
      <c r="CG158" s="226"/>
      <c r="CH158" s="226"/>
      <c r="CI158" s="226"/>
      <c r="CJ158" s="226"/>
      <c r="CK158" s="226"/>
      <c r="CL158" s="226"/>
      <c r="CM158" s="226"/>
      <c r="CN158" s="226"/>
      <c r="CO158" s="226"/>
      <c r="CP158" s="226"/>
      <c r="CQ158" s="226"/>
      <c r="CR158" s="226"/>
      <c r="CS158" s="226"/>
      <c r="CT158" s="226"/>
      <c r="CU158" s="226"/>
      <c r="CV158" s="226"/>
      <c r="CW158" s="226"/>
      <c r="CX158" s="226"/>
      <c r="CY158" s="226"/>
      <c r="CZ158" s="226"/>
      <c r="DA158" s="226"/>
      <c r="DB158" s="226"/>
      <c r="DC158" s="226"/>
      <c r="DD158" s="226"/>
      <c r="DE158" s="226"/>
      <c r="DF158" s="226"/>
      <c r="DG158" s="226"/>
      <c r="DH158" s="226"/>
      <c r="DI158" s="226"/>
      <c r="DJ158" s="226"/>
      <c r="DK158" s="226"/>
      <c r="DL158" s="226"/>
      <c r="DM158" s="226"/>
      <c r="DN158" s="226"/>
      <c r="DO158" s="226"/>
      <c r="DP158" s="226"/>
      <c r="DQ158" s="226"/>
      <c r="DR158" s="226"/>
      <c r="DS158" s="226"/>
      <c r="DT158" s="226"/>
      <c r="DU158" s="226"/>
      <c r="DV158" s="226"/>
      <c r="DW158" s="226"/>
      <c r="DX158" s="226"/>
      <c r="DY158" s="226"/>
      <c r="DZ158" s="226"/>
      <c r="EA158" s="226"/>
      <c r="EB158" s="226"/>
      <c r="EC158" s="226"/>
      <c r="ED158" s="226"/>
      <c r="EE158" s="226"/>
      <c r="EF158" s="226"/>
      <c r="EG158" s="226"/>
      <c r="EH158" s="226"/>
      <c r="EI158" s="226"/>
      <c r="EJ158" s="226"/>
      <c r="EK158" s="226"/>
      <c r="EL158" s="226"/>
      <c r="EM158" s="226"/>
      <c r="EN158" s="226"/>
      <c r="EO158" s="226"/>
      <c r="EP158" s="226"/>
      <c r="EQ158" s="226"/>
      <c r="ER158" s="226"/>
      <c r="ES158" s="226"/>
      <c r="ET158" s="226"/>
      <c r="EU158" s="226"/>
      <c r="EV158" s="226"/>
      <c r="EW158" s="226"/>
      <c r="EX158" s="226"/>
      <c r="EY158" s="226"/>
      <c r="EZ158" s="226"/>
      <c r="FA158" s="226"/>
      <c r="FB158" s="226"/>
      <c r="FC158" s="226"/>
      <c r="FD158" s="226"/>
      <c r="FE158" s="226"/>
      <c r="FF158" s="226"/>
      <c r="FG158" s="226"/>
      <c r="FH158" s="226"/>
      <c r="FI158" s="226"/>
      <c r="FJ158" s="226"/>
      <c r="FK158" s="226"/>
      <c r="FL158" s="226"/>
      <c r="FM158" s="226"/>
      <c r="FN158" s="226"/>
      <c r="FO158" s="226"/>
      <c r="FP158" s="226"/>
      <c r="FQ158" s="226"/>
      <c r="FR158" s="226"/>
      <c r="FS158" s="226"/>
      <c r="FT158" s="226"/>
      <c r="FU158" s="226"/>
      <c r="FV158" s="226"/>
      <c r="FW158" s="226"/>
      <c r="FX158" s="226"/>
      <c r="FY158" s="226"/>
      <c r="FZ158" s="226"/>
      <c r="GA158" s="226"/>
      <c r="GB158" s="226"/>
      <c r="GC158" s="226"/>
      <c r="GD158" s="226"/>
      <c r="GE158" s="226"/>
      <c r="GF158" s="226"/>
      <c r="GG158" s="226"/>
      <c r="GH158" s="226"/>
    </row>
    <row r="159" spans="1:190" s="225" customFormat="1" ht="15.95" customHeight="1">
      <c r="A159" s="17"/>
      <c r="B159" s="229"/>
      <c r="C159" s="230"/>
      <c r="D159" s="228"/>
      <c r="E159" s="138"/>
      <c r="F159" s="108"/>
      <c r="G159" s="65"/>
      <c r="I159" s="259"/>
      <c r="J159" s="265"/>
      <c r="K159" s="259"/>
      <c r="L159" s="226"/>
      <c r="M159" s="226"/>
      <c r="N159" s="226"/>
      <c r="O159" s="226"/>
      <c r="P159" s="226"/>
      <c r="Q159" s="226"/>
      <c r="R159" s="226"/>
      <c r="S159" s="226"/>
      <c r="T159" s="226"/>
      <c r="U159" s="226"/>
      <c r="V159" s="226"/>
      <c r="W159" s="226"/>
      <c r="X159" s="226"/>
      <c r="Y159" s="226"/>
      <c r="Z159" s="226"/>
      <c r="AA159" s="226"/>
      <c r="AB159" s="226"/>
      <c r="AC159" s="226"/>
      <c r="AD159" s="226"/>
      <c r="AE159" s="226"/>
      <c r="AF159" s="226"/>
      <c r="AG159" s="226"/>
      <c r="AH159" s="226"/>
      <c r="AI159" s="226"/>
      <c r="AJ159" s="226"/>
      <c r="AK159" s="226"/>
      <c r="AL159" s="226"/>
      <c r="AM159" s="226"/>
      <c r="AN159" s="226"/>
      <c r="AO159" s="226"/>
      <c r="AP159" s="226"/>
      <c r="AQ159" s="226"/>
      <c r="AR159" s="226"/>
      <c r="AS159" s="226"/>
      <c r="AT159" s="226"/>
      <c r="AU159" s="226"/>
      <c r="AV159" s="226"/>
      <c r="AW159" s="226"/>
      <c r="AX159" s="226"/>
      <c r="AY159" s="226"/>
      <c r="AZ159" s="226"/>
      <c r="BA159" s="226"/>
      <c r="BB159" s="226"/>
      <c r="BC159" s="226"/>
      <c r="BD159" s="226"/>
      <c r="BE159" s="226"/>
      <c r="BF159" s="226"/>
      <c r="BG159" s="226"/>
      <c r="BH159" s="226"/>
      <c r="BI159" s="226"/>
      <c r="BJ159" s="226"/>
      <c r="BK159" s="226"/>
      <c r="BL159" s="226"/>
      <c r="BM159" s="226"/>
      <c r="BN159" s="226"/>
      <c r="BO159" s="226"/>
      <c r="BP159" s="226"/>
      <c r="BQ159" s="226"/>
      <c r="BR159" s="226"/>
      <c r="BS159" s="226"/>
      <c r="BT159" s="226"/>
      <c r="BU159" s="226"/>
      <c r="BV159" s="226"/>
      <c r="BW159" s="226"/>
      <c r="BX159" s="226"/>
      <c r="BY159" s="226"/>
      <c r="BZ159" s="226"/>
      <c r="CA159" s="226"/>
      <c r="CB159" s="226"/>
      <c r="CC159" s="226"/>
      <c r="CD159" s="226"/>
      <c r="CE159" s="226"/>
      <c r="CF159" s="226"/>
      <c r="CG159" s="226"/>
      <c r="CH159" s="226"/>
      <c r="CI159" s="226"/>
      <c r="CJ159" s="226"/>
      <c r="CK159" s="226"/>
      <c r="CL159" s="226"/>
      <c r="CM159" s="226"/>
      <c r="CN159" s="226"/>
      <c r="CO159" s="226"/>
      <c r="CP159" s="226"/>
      <c r="CQ159" s="226"/>
      <c r="CR159" s="226"/>
      <c r="CS159" s="226"/>
      <c r="CT159" s="226"/>
      <c r="CU159" s="226"/>
      <c r="CV159" s="226"/>
      <c r="CW159" s="226"/>
      <c r="CX159" s="226"/>
      <c r="CY159" s="226"/>
      <c r="CZ159" s="226"/>
      <c r="DA159" s="226"/>
      <c r="DB159" s="226"/>
      <c r="DC159" s="226"/>
      <c r="DD159" s="226"/>
      <c r="DE159" s="226"/>
      <c r="DF159" s="226"/>
      <c r="DG159" s="226"/>
      <c r="DH159" s="226"/>
      <c r="DI159" s="226"/>
      <c r="DJ159" s="226"/>
      <c r="DK159" s="226"/>
      <c r="DL159" s="226"/>
      <c r="DM159" s="226"/>
      <c r="DN159" s="226"/>
      <c r="DO159" s="226"/>
      <c r="DP159" s="226"/>
      <c r="DQ159" s="226"/>
      <c r="DR159" s="226"/>
      <c r="DS159" s="226"/>
      <c r="DT159" s="226"/>
      <c r="DU159" s="226"/>
      <c r="DV159" s="226"/>
      <c r="DW159" s="226"/>
      <c r="DX159" s="226"/>
      <c r="DY159" s="226"/>
      <c r="DZ159" s="226"/>
      <c r="EA159" s="226"/>
      <c r="EB159" s="226"/>
      <c r="EC159" s="226"/>
      <c r="ED159" s="226"/>
      <c r="EE159" s="226"/>
      <c r="EF159" s="226"/>
      <c r="EG159" s="226"/>
      <c r="EH159" s="226"/>
      <c r="EI159" s="226"/>
      <c r="EJ159" s="226"/>
      <c r="EK159" s="226"/>
      <c r="EL159" s="226"/>
      <c r="EM159" s="226"/>
      <c r="EN159" s="226"/>
      <c r="EO159" s="226"/>
      <c r="EP159" s="226"/>
      <c r="EQ159" s="226"/>
      <c r="ER159" s="226"/>
      <c r="ES159" s="226"/>
      <c r="ET159" s="226"/>
      <c r="EU159" s="226"/>
      <c r="EV159" s="226"/>
      <c r="EW159" s="226"/>
      <c r="EX159" s="226"/>
      <c r="EY159" s="226"/>
      <c r="EZ159" s="226"/>
      <c r="FA159" s="226"/>
      <c r="FB159" s="226"/>
      <c r="FC159" s="226"/>
      <c r="FD159" s="226"/>
      <c r="FE159" s="226"/>
      <c r="FF159" s="226"/>
      <c r="FG159" s="226"/>
      <c r="FH159" s="226"/>
      <c r="FI159" s="226"/>
      <c r="FJ159" s="226"/>
      <c r="FK159" s="226"/>
      <c r="FL159" s="226"/>
      <c r="FM159" s="226"/>
      <c r="FN159" s="226"/>
      <c r="FO159" s="226"/>
      <c r="FP159" s="226"/>
      <c r="FQ159" s="226"/>
      <c r="FR159" s="226"/>
      <c r="FS159" s="226"/>
      <c r="FT159" s="226"/>
      <c r="FU159" s="226"/>
      <c r="FV159" s="226"/>
      <c r="FW159" s="226"/>
      <c r="FX159" s="226"/>
      <c r="FY159" s="226"/>
      <c r="FZ159" s="226"/>
      <c r="GA159" s="226"/>
      <c r="GB159" s="226"/>
      <c r="GC159" s="226"/>
      <c r="GD159" s="226"/>
      <c r="GE159" s="226"/>
      <c r="GF159" s="226"/>
      <c r="GG159" s="226"/>
      <c r="GH159" s="226"/>
    </row>
    <row r="160" spans="1:190" s="225" customFormat="1" ht="15.95" customHeight="1">
      <c r="A160" s="141">
        <v>513</v>
      </c>
      <c r="B160" s="222"/>
      <c r="C160" s="223" t="s">
        <v>144</v>
      </c>
      <c r="D160" s="224"/>
      <c r="E160" s="200"/>
      <c r="F160" s="109"/>
      <c r="G160" s="63"/>
      <c r="I160" s="259"/>
      <c r="J160" s="265"/>
      <c r="K160" s="259"/>
      <c r="L160" s="226"/>
      <c r="M160" s="226"/>
      <c r="N160" s="226"/>
      <c r="O160" s="226"/>
      <c r="P160" s="226"/>
      <c r="Q160" s="226"/>
      <c r="R160" s="226"/>
      <c r="S160" s="226"/>
      <c r="T160" s="226"/>
      <c r="U160" s="226"/>
      <c r="V160" s="226"/>
      <c r="W160" s="226"/>
      <c r="X160" s="226"/>
      <c r="Y160" s="226"/>
      <c r="Z160" s="226"/>
      <c r="AA160" s="226"/>
      <c r="AB160" s="226"/>
      <c r="AC160" s="226"/>
      <c r="AD160" s="226"/>
      <c r="AE160" s="226"/>
      <c r="AF160" s="226"/>
      <c r="AG160" s="226"/>
      <c r="AH160" s="226"/>
      <c r="AI160" s="226"/>
      <c r="AJ160" s="226"/>
      <c r="AK160" s="226"/>
      <c r="AL160" s="226"/>
      <c r="AM160" s="226"/>
      <c r="AN160" s="226"/>
      <c r="AO160" s="226"/>
      <c r="AP160" s="226"/>
      <c r="AQ160" s="226"/>
      <c r="AR160" s="226"/>
      <c r="AS160" s="226"/>
      <c r="AT160" s="226"/>
      <c r="AU160" s="226"/>
      <c r="AV160" s="226"/>
      <c r="AW160" s="226"/>
      <c r="AX160" s="226"/>
      <c r="AY160" s="226"/>
      <c r="AZ160" s="226"/>
      <c r="BA160" s="226"/>
      <c r="BB160" s="226"/>
      <c r="BC160" s="226"/>
      <c r="BD160" s="226"/>
      <c r="BE160" s="226"/>
      <c r="BF160" s="226"/>
      <c r="BG160" s="226"/>
      <c r="BH160" s="226"/>
      <c r="BI160" s="226"/>
      <c r="BJ160" s="226"/>
      <c r="BK160" s="226"/>
      <c r="BL160" s="226"/>
      <c r="BM160" s="226"/>
      <c r="BN160" s="226"/>
      <c r="BO160" s="226"/>
      <c r="BP160" s="226"/>
      <c r="BQ160" s="226"/>
      <c r="BR160" s="226"/>
      <c r="BS160" s="226"/>
      <c r="BT160" s="226"/>
      <c r="BU160" s="226"/>
      <c r="BV160" s="226"/>
      <c r="BW160" s="226"/>
      <c r="BX160" s="226"/>
      <c r="BY160" s="226"/>
      <c r="BZ160" s="226"/>
      <c r="CA160" s="226"/>
      <c r="CB160" s="226"/>
      <c r="CC160" s="226"/>
      <c r="CD160" s="226"/>
      <c r="CE160" s="226"/>
      <c r="CF160" s="226"/>
      <c r="CG160" s="226"/>
      <c r="CH160" s="226"/>
      <c r="CI160" s="226"/>
      <c r="CJ160" s="226"/>
      <c r="CK160" s="226"/>
      <c r="CL160" s="226"/>
      <c r="CM160" s="226"/>
      <c r="CN160" s="226"/>
      <c r="CO160" s="226"/>
      <c r="CP160" s="226"/>
      <c r="CQ160" s="226"/>
      <c r="CR160" s="226"/>
      <c r="CS160" s="226"/>
      <c r="CT160" s="226"/>
      <c r="CU160" s="226"/>
      <c r="CV160" s="226"/>
      <c r="CW160" s="226"/>
      <c r="CX160" s="226"/>
      <c r="CY160" s="226"/>
      <c r="CZ160" s="226"/>
      <c r="DA160" s="226"/>
      <c r="DB160" s="226"/>
      <c r="DC160" s="226"/>
      <c r="DD160" s="226"/>
      <c r="DE160" s="226"/>
      <c r="DF160" s="226"/>
      <c r="DG160" s="226"/>
      <c r="DH160" s="226"/>
      <c r="DI160" s="226"/>
      <c r="DJ160" s="226"/>
      <c r="DK160" s="226"/>
      <c r="DL160" s="226"/>
      <c r="DM160" s="226"/>
      <c r="DN160" s="226"/>
      <c r="DO160" s="226"/>
      <c r="DP160" s="226"/>
      <c r="DQ160" s="226"/>
      <c r="DR160" s="226"/>
      <c r="DS160" s="226"/>
      <c r="DT160" s="226"/>
      <c r="DU160" s="226"/>
      <c r="DV160" s="226"/>
      <c r="DW160" s="226"/>
      <c r="DX160" s="226"/>
      <c r="DY160" s="226"/>
      <c r="DZ160" s="226"/>
      <c r="EA160" s="226"/>
      <c r="EB160" s="226"/>
      <c r="EC160" s="226"/>
      <c r="ED160" s="226"/>
      <c r="EE160" s="226"/>
      <c r="EF160" s="226"/>
      <c r="EG160" s="226"/>
      <c r="EH160" s="226"/>
      <c r="EI160" s="226"/>
      <c r="EJ160" s="226"/>
      <c r="EK160" s="226"/>
      <c r="EL160" s="226"/>
      <c r="EM160" s="226"/>
      <c r="EN160" s="226"/>
      <c r="EO160" s="226"/>
      <c r="EP160" s="226"/>
      <c r="EQ160" s="226"/>
      <c r="ER160" s="226"/>
      <c r="ES160" s="226"/>
      <c r="ET160" s="226"/>
      <c r="EU160" s="226"/>
      <c r="EV160" s="226"/>
      <c r="EW160" s="226"/>
      <c r="EX160" s="226"/>
      <c r="EY160" s="226"/>
      <c r="EZ160" s="226"/>
      <c r="FA160" s="226"/>
      <c r="FB160" s="226"/>
      <c r="FC160" s="226"/>
      <c r="FD160" s="226"/>
      <c r="FE160" s="226"/>
      <c r="FF160" s="226"/>
      <c r="FG160" s="226"/>
      <c r="FH160" s="226"/>
      <c r="FI160" s="226"/>
      <c r="FJ160" s="226"/>
      <c r="FK160" s="226"/>
      <c r="FL160" s="226"/>
      <c r="FM160" s="226"/>
      <c r="FN160" s="226"/>
      <c r="FO160" s="226"/>
      <c r="FP160" s="226"/>
      <c r="FQ160" s="226"/>
      <c r="FR160" s="226"/>
      <c r="FS160" s="226"/>
      <c r="FT160" s="226"/>
      <c r="FU160" s="226"/>
      <c r="FV160" s="226"/>
      <c r="FW160" s="226"/>
      <c r="FX160" s="226"/>
      <c r="FY160" s="226"/>
      <c r="FZ160" s="226"/>
      <c r="GA160" s="226"/>
      <c r="GB160" s="226"/>
      <c r="GC160" s="226"/>
      <c r="GD160" s="226"/>
      <c r="GE160" s="226"/>
      <c r="GF160" s="226"/>
      <c r="GG160" s="226"/>
      <c r="GH160" s="226"/>
    </row>
    <row r="161" spans="1:190" s="225" customFormat="1" ht="30" customHeight="1">
      <c r="A161" s="139" t="s">
        <v>145</v>
      </c>
      <c r="B161" s="202"/>
      <c r="C161" s="231" t="s">
        <v>212</v>
      </c>
      <c r="D161" s="228" t="s">
        <v>27</v>
      </c>
      <c r="E161" s="138">
        <f>K161</f>
        <v>0</v>
      </c>
      <c r="F161" s="108" t="e">
        <f>#REF!</f>
        <v>#REF!</v>
      </c>
      <c r="G161" s="65" t="e">
        <f>+E161*F161</f>
        <v>#REF!</v>
      </c>
      <c r="I161" s="259">
        <f>I154/50*0</f>
        <v>0</v>
      </c>
      <c r="J161" s="265">
        <v>1.05</v>
      </c>
      <c r="K161" s="259">
        <f>I161*J161</f>
        <v>0</v>
      </c>
      <c r="L161" s="226"/>
      <c r="M161" s="226"/>
      <c r="N161" s="226"/>
      <c r="O161" s="226"/>
      <c r="P161" s="226"/>
      <c r="Q161" s="226"/>
      <c r="R161" s="226"/>
      <c r="S161" s="226"/>
      <c r="T161" s="226"/>
      <c r="U161" s="226"/>
      <c r="V161" s="226"/>
      <c r="W161" s="226"/>
      <c r="X161" s="226"/>
      <c r="Y161" s="226"/>
      <c r="Z161" s="226"/>
      <c r="AA161" s="226"/>
      <c r="AB161" s="226"/>
      <c r="AC161" s="226"/>
      <c r="AD161" s="226"/>
      <c r="AE161" s="226"/>
      <c r="AF161" s="226"/>
      <c r="AG161" s="226"/>
      <c r="AH161" s="226"/>
      <c r="AI161" s="226"/>
      <c r="AJ161" s="226"/>
      <c r="AK161" s="226"/>
      <c r="AL161" s="226"/>
      <c r="AM161" s="226"/>
      <c r="AN161" s="226"/>
      <c r="AO161" s="226"/>
      <c r="AP161" s="226"/>
      <c r="AQ161" s="226"/>
      <c r="AR161" s="226"/>
      <c r="AS161" s="226"/>
      <c r="AT161" s="226"/>
      <c r="AU161" s="226"/>
      <c r="AV161" s="226"/>
      <c r="AW161" s="226"/>
      <c r="AX161" s="226"/>
      <c r="AY161" s="226"/>
      <c r="AZ161" s="226"/>
      <c r="BA161" s="226"/>
      <c r="BB161" s="226"/>
      <c r="BC161" s="226"/>
      <c r="BD161" s="226"/>
      <c r="BE161" s="226"/>
      <c r="BF161" s="226"/>
      <c r="BG161" s="226"/>
      <c r="BH161" s="226"/>
      <c r="BI161" s="226"/>
      <c r="BJ161" s="226"/>
      <c r="BK161" s="226"/>
      <c r="BL161" s="226"/>
      <c r="BM161" s="226"/>
      <c r="BN161" s="226"/>
      <c r="BO161" s="226"/>
      <c r="BP161" s="226"/>
      <c r="BQ161" s="226"/>
      <c r="BR161" s="226"/>
      <c r="BS161" s="226"/>
      <c r="BT161" s="226"/>
      <c r="BU161" s="226"/>
      <c r="BV161" s="226"/>
      <c r="BW161" s="226"/>
      <c r="BX161" s="226"/>
      <c r="BY161" s="226"/>
      <c r="BZ161" s="226"/>
      <c r="CA161" s="226"/>
      <c r="CB161" s="226"/>
      <c r="CC161" s="226"/>
      <c r="CD161" s="226"/>
      <c r="CE161" s="226"/>
      <c r="CF161" s="226"/>
      <c r="CG161" s="226"/>
      <c r="CH161" s="226"/>
      <c r="CI161" s="226"/>
      <c r="CJ161" s="226"/>
      <c r="CK161" s="226"/>
      <c r="CL161" s="226"/>
      <c r="CM161" s="226"/>
      <c r="CN161" s="226"/>
      <c r="CO161" s="226"/>
      <c r="CP161" s="226"/>
      <c r="CQ161" s="226"/>
      <c r="CR161" s="226"/>
      <c r="CS161" s="226"/>
      <c r="CT161" s="226"/>
      <c r="CU161" s="226"/>
      <c r="CV161" s="226"/>
      <c r="CW161" s="226"/>
      <c r="CX161" s="226"/>
      <c r="CY161" s="226"/>
      <c r="CZ161" s="226"/>
      <c r="DA161" s="226"/>
      <c r="DB161" s="226"/>
      <c r="DC161" s="226"/>
      <c r="DD161" s="226"/>
      <c r="DE161" s="226"/>
      <c r="DF161" s="226"/>
      <c r="DG161" s="226"/>
      <c r="DH161" s="226"/>
      <c r="DI161" s="226"/>
      <c r="DJ161" s="226"/>
      <c r="DK161" s="226"/>
      <c r="DL161" s="226"/>
      <c r="DM161" s="226"/>
      <c r="DN161" s="226"/>
      <c r="DO161" s="226"/>
      <c r="DP161" s="226"/>
      <c r="DQ161" s="226"/>
      <c r="DR161" s="226"/>
      <c r="DS161" s="226"/>
      <c r="DT161" s="226"/>
      <c r="DU161" s="226"/>
      <c r="DV161" s="226"/>
      <c r="DW161" s="226"/>
      <c r="DX161" s="226"/>
      <c r="DY161" s="226"/>
      <c r="DZ161" s="226"/>
      <c r="EA161" s="226"/>
      <c r="EB161" s="226"/>
      <c r="EC161" s="226"/>
      <c r="ED161" s="226"/>
      <c r="EE161" s="226"/>
      <c r="EF161" s="226"/>
      <c r="EG161" s="226"/>
      <c r="EH161" s="226"/>
      <c r="EI161" s="226"/>
      <c r="EJ161" s="226"/>
      <c r="EK161" s="226"/>
      <c r="EL161" s="226"/>
      <c r="EM161" s="226"/>
      <c r="EN161" s="226"/>
      <c r="EO161" s="226"/>
      <c r="EP161" s="226"/>
      <c r="EQ161" s="226"/>
      <c r="ER161" s="226"/>
      <c r="ES161" s="226"/>
      <c r="ET161" s="226"/>
      <c r="EU161" s="226"/>
      <c r="EV161" s="226"/>
      <c r="EW161" s="226"/>
      <c r="EX161" s="226"/>
      <c r="EY161" s="226"/>
      <c r="EZ161" s="226"/>
      <c r="FA161" s="226"/>
      <c r="FB161" s="226"/>
      <c r="FC161" s="226"/>
      <c r="FD161" s="226"/>
      <c r="FE161" s="226"/>
      <c r="FF161" s="226"/>
      <c r="FG161" s="226"/>
      <c r="FH161" s="226"/>
      <c r="FI161" s="226"/>
      <c r="FJ161" s="226"/>
      <c r="FK161" s="226"/>
      <c r="FL161" s="226"/>
      <c r="FM161" s="226"/>
      <c r="FN161" s="226"/>
      <c r="FO161" s="226"/>
      <c r="FP161" s="226"/>
      <c r="FQ161" s="226"/>
      <c r="FR161" s="226"/>
      <c r="FS161" s="226"/>
      <c r="FT161" s="226"/>
      <c r="FU161" s="226"/>
      <c r="FV161" s="226"/>
      <c r="FW161" s="226"/>
      <c r="FX161" s="226"/>
      <c r="FY161" s="226"/>
      <c r="FZ161" s="226"/>
      <c r="GA161" s="226"/>
      <c r="GB161" s="226"/>
      <c r="GC161" s="226"/>
      <c r="GD161" s="226"/>
      <c r="GE161" s="226"/>
      <c r="GF161" s="226"/>
      <c r="GG161" s="226"/>
      <c r="GH161" s="226"/>
    </row>
    <row r="162" spans="1:190" s="225" customFormat="1" ht="15.95" customHeight="1">
      <c r="A162" s="139" t="s">
        <v>214</v>
      </c>
      <c r="B162" s="202"/>
      <c r="C162" s="231" t="s">
        <v>213</v>
      </c>
      <c r="D162" s="228" t="s">
        <v>27</v>
      </c>
      <c r="E162" s="138">
        <f>K162</f>
        <v>935.7600000000001</v>
      </c>
      <c r="F162" s="108" t="e">
        <f>#REF!</f>
        <v>#REF!</v>
      </c>
      <c r="G162" s="65" t="e">
        <f>+E162*F162</f>
        <v>#REF!</v>
      </c>
      <c r="I162" s="259">
        <f>SUM(I143:I151)/12.5</f>
        <v>891.2</v>
      </c>
      <c r="J162" s="265">
        <v>1.05</v>
      </c>
      <c r="K162" s="259">
        <f>I162*J162</f>
        <v>935.7600000000001</v>
      </c>
      <c r="L162" s="226"/>
      <c r="M162" s="226"/>
      <c r="N162" s="226"/>
      <c r="O162" s="226"/>
      <c r="P162" s="226"/>
      <c r="Q162" s="226"/>
      <c r="R162" s="226"/>
      <c r="S162" s="226"/>
      <c r="T162" s="226"/>
      <c r="U162" s="226"/>
      <c r="V162" s="226"/>
      <c r="W162" s="226"/>
      <c r="X162" s="226"/>
      <c r="Y162" s="226"/>
      <c r="Z162" s="226"/>
      <c r="AA162" s="226"/>
      <c r="AB162" s="226"/>
      <c r="AC162" s="226"/>
      <c r="AD162" s="226"/>
      <c r="AE162" s="226"/>
      <c r="AF162" s="226"/>
      <c r="AG162" s="226"/>
      <c r="AH162" s="226"/>
      <c r="AI162" s="226"/>
      <c r="AJ162" s="226"/>
      <c r="AK162" s="226"/>
      <c r="AL162" s="226"/>
      <c r="AM162" s="226"/>
      <c r="AN162" s="226"/>
      <c r="AO162" s="226"/>
      <c r="AP162" s="226"/>
      <c r="AQ162" s="226"/>
      <c r="AR162" s="226"/>
      <c r="AS162" s="226"/>
      <c r="AT162" s="226"/>
      <c r="AU162" s="226"/>
      <c r="AV162" s="226"/>
      <c r="AW162" s="226"/>
      <c r="AX162" s="226"/>
      <c r="AY162" s="226"/>
      <c r="AZ162" s="226"/>
      <c r="BA162" s="226"/>
      <c r="BB162" s="226"/>
      <c r="BC162" s="226"/>
      <c r="BD162" s="226"/>
      <c r="BE162" s="226"/>
      <c r="BF162" s="226"/>
      <c r="BG162" s="226"/>
      <c r="BH162" s="226"/>
      <c r="BI162" s="226"/>
      <c r="BJ162" s="226"/>
      <c r="BK162" s="226"/>
      <c r="BL162" s="226"/>
      <c r="BM162" s="226"/>
      <c r="BN162" s="226"/>
      <c r="BO162" s="226"/>
      <c r="BP162" s="226"/>
      <c r="BQ162" s="226"/>
      <c r="BR162" s="226"/>
      <c r="BS162" s="226"/>
      <c r="BT162" s="226"/>
      <c r="BU162" s="226"/>
      <c r="BV162" s="226"/>
      <c r="BW162" s="226"/>
      <c r="BX162" s="226"/>
      <c r="BY162" s="226"/>
      <c r="BZ162" s="226"/>
      <c r="CA162" s="226"/>
      <c r="CB162" s="226"/>
      <c r="CC162" s="226"/>
      <c r="CD162" s="226"/>
      <c r="CE162" s="226"/>
      <c r="CF162" s="226"/>
      <c r="CG162" s="226"/>
      <c r="CH162" s="226"/>
      <c r="CI162" s="226"/>
      <c r="CJ162" s="226"/>
      <c r="CK162" s="226"/>
      <c r="CL162" s="226"/>
      <c r="CM162" s="226"/>
      <c r="CN162" s="226"/>
      <c r="CO162" s="226"/>
      <c r="CP162" s="226"/>
      <c r="CQ162" s="226"/>
      <c r="CR162" s="226"/>
      <c r="CS162" s="226"/>
      <c r="CT162" s="226"/>
      <c r="CU162" s="226"/>
      <c r="CV162" s="226"/>
      <c r="CW162" s="226"/>
      <c r="CX162" s="226"/>
      <c r="CY162" s="226"/>
      <c r="CZ162" s="226"/>
      <c r="DA162" s="226"/>
      <c r="DB162" s="226"/>
      <c r="DC162" s="226"/>
      <c r="DD162" s="226"/>
      <c r="DE162" s="226"/>
      <c r="DF162" s="226"/>
      <c r="DG162" s="226"/>
      <c r="DH162" s="226"/>
      <c r="DI162" s="226"/>
      <c r="DJ162" s="226"/>
      <c r="DK162" s="226"/>
      <c r="DL162" s="226"/>
      <c r="DM162" s="226"/>
      <c r="DN162" s="226"/>
      <c r="DO162" s="226"/>
      <c r="DP162" s="226"/>
      <c r="DQ162" s="226"/>
      <c r="DR162" s="226"/>
      <c r="DS162" s="226"/>
      <c r="DT162" s="226"/>
      <c r="DU162" s="226"/>
      <c r="DV162" s="226"/>
      <c r="DW162" s="226"/>
      <c r="DX162" s="226"/>
      <c r="DY162" s="226"/>
      <c r="DZ162" s="226"/>
      <c r="EA162" s="226"/>
      <c r="EB162" s="226"/>
      <c r="EC162" s="226"/>
      <c r="ED162" s="226"/>
      <c r="EE162" s="226"/>
      <c r="EF162" s="226"/>
      <c r="EG162" s="226"/>
      <c r="EH162" s="226"/>
      <c r="EI162" s="226"/>
      <c r="EJ162" s="226"/>
      <c r="EK162" s="226"/>
      <c r="EL162" s="226"/>
      <c r="EM162" s="226"/>
      <c r="EN162" s="226"/>
      <c r="EO162" s="226"/>
      <c r="EP162" s="226"/>
      <c r="EQ162" s="226"/>
      <c r="ER162" s="226"/>
      <c r="ES162" s="226"/>
      <c r="ET162" s="226"/>
      <c r="EU162" s="226"/>
      <c r="EV162" s="226"/>
      <c r="EW162" s="226"/>
      <c r="EX162" s="226"/>
      <c r="EY162" s="226"/>
      <c r="EZ162" s="226"/>
      <c r="FA162" s="226"/>
      <c r="FB162" s="226"/>
      <c r="FC162" s="226"/>
      <c r="FD162" s="226"/>
      <c r="FE162" s="226"/>
      <c r="FF162" s="226"/>
      <c r="FG162" s="226"/>
      <c r="FH162" s="226"/>
      <c r="FI162" s="226"/>
      <c r="FJ162" s="226"/>
      <c r="FK162" s="226"/>
      <c r="FL162" s="226"/>
      <c r="FM162" s="226"/>
      <c r="FN162" s="226"/>
      <c r="FO162" s="226"/>
      <c r="FP162" s="226"/>
      <c r="FQ162" s="226"/>
      <c r="FR162" s="226"/>
      <c r="FS162" s="226"/>
      <c r="FT162" s="226"/>
      <c r="FU162" s="226"/>
      <c r="FV162" s="226"/>
      <c r="FW162" s="226"/>
      <c r="FX162" s="226"/>
      <c r="FY162" s="226"/>
      <c r="FZ162" s="226"/>
      <c r="GA162" s="226"/>
      <c r="GB162" s="226"/>
      <c r="GC162" s="226"/>
      <c r="GD162" s="226"/>
      <c r="GE162" s="226"/>
      <c r="GF162" s="226"/>
      <c r="GG162" s="226"/>
      <c r="GH162" s="226"/>
    </row>
    <row r="163" spans="1:190" s="225" customFormat="1" ht="18" customHeight="1">
      <c r="A163" s="17"/>
      <c r="B163" s="229"/>
      <c r="C163" s="230"/>
      <c r="D163" s="228"/>
      <c r="E163" s="138"/>
      <c r="F163" s="108"/>
      <c r="G163" s="65"/>
      <c r="I163" s="259"/>
      <c r="J163" s="265"/>
      <c r="K163" s="259"/>
      <c r="L163" s="226"/>
      <c r="M163" s="226"/>
      <c r="N163" s="226"/>
      <c r="O163" s="226"/>
      <c r="P163" s="226"/>
      <c r="Q163" s="226"/>
      <c r="R163" s="226"/>
      <c r="S163" s="226"/>
      <c r="T163" s="226"/>
      <c r="U163" s="226"/>
      <c r="V163" s="226"/>
      <c r="W163" s="226"/>
      <c r="X163" s="226"/>
      <c r="Y163" s="226"/>
      <c r="Z163" s="226"/>
      <c r="AA163" s="226"/>
      <c r="AB163" s="226"/>
      <c r="AC163" s="226"/>
      <c r="AD163" s="226"/>
      <c r="AE163" s="226"/>
      <c r="AF163" s="226"/>
      <c r="AG163" s="226"/>
      <c r="AH163" s="226"/>
      <c r="AI163" s="226"/>
      <c r="AJ163" s="226"/>
      <c r="AK163" s="226"/>
      <c r="AL163" s="226"/>
      <c r="AM163" s="226"/>
      <c r="AN163" s="226"/>
      <c r="AO163" s="226"/>
      <c r="AP163" s="226"/>
      <c r="AQ163" s="226"/>
      <c r="AR163" s="226"/>
      <c r="AS163" s="226"/>
      <c r="AT163" s="226"/>
      <c r="AU163" s="226"/>
      <c r="AV163" s="226"/>
      <c r="AW163" s="226"/>
      <c r="AX163" s="226"/>
      <c r="AY163" s="226"/>
      <c r="AZ163" s="226"/>
      <c r="BA163" s="226"/>
      <c r="BB163" s="226"/>
      <c r="BC163" s="226"/>
      <c r="BD163" s="226"/>
      <c r="BE163" s="226"/>
      <c r="BF163" s="226"/>
      <c r="BG163" s="226"/>
      <c r="BH163" s="226"/>
      <c r="BI163" s="226"/>
      <c r="BJ163" s="226"/>
      <c r="BK163" s="226"/>
      <c r="BL163" s="226"/>
      <c r="BM163" s="226"/>
      <c r="BN163" s="226"/>
      <c r="BO163" s="226"/>
      <c r="BP163" s="226"/>
      <c r="BQ163" s="226"/>
      <c r="BR163" s="226"/>
      <c r="BS163" s="226"/>
      <c r="BT163" s="226"/>
      <c r="BU163" s="226"/>
      <c r="BV163" s="226"/>
      <c r="BW163" s="226"/>
      <c r="BX163" s="226"/>
      <c r="BY163" s="226"/>
      <c r="BZ163" s="226"/>
      <c r="CA163" s="226"/>
      <c r="CB163" s="226"/>
      <c r="CC163" s="226"/>
      <c r="CD163" s="226"/>
      <c r="CE163" s="226"/>
      <c r="CF163" s="226"/>
      <c r="CG163" s="226"/>
      <c r="CH163" s="226"/>
      <c r="CI163" s="226"/>
      <c r="CJ163" s="226"/>
      <c r="CK163" s="226"/>
      <c r="CL163" s="226"/>
      <c r="CM163" s="226"/>
      <c r="CN163" s="226"/>
      <c r="CO163" s="226"/>
      <c r="CP163" s="226"/>
      <c r="CQ163" s="226"/>
      <c r="CR163" s="226"/>
      <c r="CS163" s="226"/>
      <c r="CT163" s="226"/>
      <c r="CU163" s="226"/>
      <c r="CV163" s="226"/>
      <c r="CW163" s="226"/>
      <c r="CX163" s="226"/>
      <c r="CY163" s="226"/>
      <c r="CZ163" s="226"/>
      <c r="DA163" s="226"/>
      <c r="DB163" s="226"/>
      <c r="DC163" s="226"/>
      <c r="DD163" s="226"/>
      <c r="DE163" s="226"/>
      <c r="DF163" s="226"/>
      <c r="DG163" s="226"/>
      <c r="DH163" s="226"/>
      <c r="DI163" s="226"/>
      <c r="DJ163" s="226"/>
      <c r="DK163" s="226"/>
      <c r="DL163" s="226"/>
      <c r="DM163" s="226"/>
      <c r="DN163" s="226"/>
      <c r="DO163" s="226"/>
      <c r="DP163" s="226"/>
      <c r="DQ163" s="226"/>
      <c r="DR163" s="226"/>
      <c r="DS163" s="226"/>
      <c r="DT163" s="226"/>
      <c r="DU163" s="226"/>
      <c r="DV163" s="226"/>
      <c r="DW163" s="226"/>
      <c r="DX163" s="226"/>
      <c r="DY163" s="226"/>
      <c r="DZ163" s="226"/>
      <c r="EA163" s="226"/>
      <c r="EB163" s="226"/>
      <c r="EC163" s="226"/>
      <c r="ED163" s="226"/>
      <c r="EE163" s="226"/>
      <c r="EF163" s="226"/>
      <c r="EG163" s="226"/>
      <c r="EH163" s="226"/>
      <c r="EI163" s="226"/>
      <c r="EJ163" s="226"/>
      <c r="EK163" s="226"/>
      <c r="EL163" s="226"/>
      <c r="EM163" s="226"/>
      <c r="EN163" s="226"/>
      <c r="EO163" s="226"/>
      <c r="EP163" s="226"/>
      <c r="EQ163" s="226"/>
      <c r="ER163" s="226"/>
      <c r="ES163" s="226"/>
      <c r="ET163" s="226"/>
      <c r="EU163" s="226"/>
      <c r="EV163" s="226"/>
      <c r="EW163" s="226"/>
      <c r="EX163" s="226"/>
      <c r="EY163" s="226"/>
      <c r="EZ163" s="226"/>
      <c r="FA163" s="226"/>
      <c r="FB163" s="226"/>
      <c r="FC163" s="226"/>
      <c r="FD163" s="226"/>
      <c r="FE163" s="226"/>
      <c r="FF163" s="226"/>
      <c r="FG163" s="226"/>
      <c r="FH163" s="226"/>
      <c r="FI163" s="226"/>
      <c r="FJ163" s="226"/>
      <c r="FK163" s="226"/>
      <c r="FL163" s="226"/>
      <c r="FM163" s="226"/>
      <c r="FN163" s="226"/>
      <c r="FO163" s="226"/>
      <c r="FP163" s="226"/>
      <c r="FQ163" s="226"/>
      <c r="FR163" s="226"/>
      <c r="FS163" s="226"/>
      <c r="FT163" s="226"/>
      <c r="FU163" s="226"/>
      <c r="FV163" s="226"/>
      <c r="FW163" s="226"/>
      <c r="FX163" s="226"/>
      <c r="FY163" s="226"/>
      <c r="FZ163" s="226"/>
      <c r="GA163" s="226"/>
      <c r="GB163" s="226"/>
      <c r="GC163" s="226"/>
      <c r="GD163" s="226"/>
      <c r="GE163" s="226"/>
      <c r="GF163" s="226"/>
      <c r="GG163" s="226"/>
      <c r="GH163" s="226"/>
    </row>
    <row r="164" spans="1:190" s="225" customFormat="1" ht="16.5" customHeight="1">
      <c r="A164" s="141">
        <v>514</v>
      </c>
      <c r="B164" s="222"/>
      <c r="C164" s="43" t="s">
        <v>146</v>
      </c>
      <c r="D164" s="248"/>
      <c r="E164" s="249"/>
      <c r="F164" s="109"/>
      <c r="G164" s="63"/>
      <c r="I164" s="259"/>
      <c r="J164" s="265"/>
      <c r="K164" s="259"/>
      <c r="L164" s="226"/>
      <c r="M164" s="226"/>
      <c r="N164" s="226"/>
      <c r="O164" s="226"/>
      <c r="P164" s="226"/>
      <c r="Q164" s="226"/>
      <c r="R164" s="226"/>
      <c r="S164" s="226"/>
      <c r="T164" s="226"/>
      <c r="U164" s="226"/>
      <c r="V164" s="226"/>
      <c r="W164" s="226"/>
      <c r="X164" s="226"/>
      <c r="Y164" s="226"/>
      <c r="Z164" s="226"/>
      <c r="AA164" s="226"/>
      <c r="AB164" s="226"/>
      <c r="AC164" s="226"/>
      <c r="AD164" s="226"/>
      <c r="AE164" s="226"/>
      <c r="AF164" s="226"/>
      <c r="AG164" s="226"/>
      <c r="AH164" s="226"/>
      <c r="AI164" s="226"/>
      <c r="AJ164" s="226"/>
      <c r="AK164" s="226"/>
      <c r="AL164" s="226"/>
      <c r="AM164" s="226"/>
      <c r="AN164" s="226"/>
      <c r="AO164" s="226"/>
      <c r="AP164" s="226"/>
      <c r="AQ164" s="226"/>
      <c r="AR164" s="226"/>
      <c r="AS164" s="226"/>
      <c r="AT164" s="226"/>
      <c r="AU164" s="226"/>
      <c r="AV164" s="226"/>
      <c r="AW164" s="226"/>
      <c r="AX164" s="226"/>
      <c r="AY164" s="226"/>
      <c r="AZ164" s="226"/>
      <c r="BA164" s="226"/>
      <c r="BB164" s="226"/>
      <c r="BC164" s="226"/>
      <c r="BD164" s="226"/>
      <c r="BE164" s="226"/>
      <c r="BF164" s="226"/>
      <c r="BG164" s="226"/>
      <c r="BH164" s="226"/>
      <c r="BI164" s="226"/>
      <c r="BJ164" s="226"/>
      <c r="BK164" s="226"/>
      <c r="BL164" s="226"/>
      <c r="BM164" s="226"/>
      <c r="BN164" s="226"/>
      <c r="BO164" s="226"/>
      <c r="BP164" s="226"/>
      <c r="BQ164" s="226"/>
      <c r="BR164" s="226"/>
      <c r="BS164" s="226"/>
      <c r="BT164" s="226"/>
      <c r="BU164" s="226"/>
      <c r="BV164" s="226"/>
      <c r="BW164" s="226"/>
      <c r="BX164" s="226"/>
      <c r="BY164" s="226"/>
      <c r="BZ164" s="226"/>
      <c r="CA164" s="226"/>
      <c r="CB164" s="226"/>
      <c r="CC164" s="226"/>
      <c r="CD164" s="226"/>
      <c r="CE164" s="226"/>
      <c r="CF164" s="226"/>
      <c r="CG164" s="226"/>
      <c r="CH164" s="226"/>
      <c r="CI164" s="226"/>
      <c r="CJ164" s="226"/>
      <c r="CK164" s="226"/>
      <c r="CL164" s="226"/>
      <c r="CM164" s="226"/>
      <c r="CN164" s="226"/>
      <c r="CO164" s="226"/>
      <c r="CP164" s="226"/>
      <c r="CQ164" s="226"/>
      <c r="CR164" s="226"/>
      <c r="CS164" s="226"/>
      <c r="CT164" s="226"/>
      <c r="CU164" s="226"/>
      <c r="CV164" s="226"/>
      <c r="CW164" s="226"/>
      <c r="CX164" s="226"/>
      <c r="CY164" s="226"/>
      <c r="CZ164" s="226"/>
      <c r="DA164" s="226"/>
      <c r="DB164" s="226"/>
      <c r="DC164" s="226"/>
      <c r="DD164" s="226"/>
      <c r="DE164" s="226"/>
      <c r="DF164" s="226"/>
      <c r="DG164" s="226"/>
      <c r="DH164" s="226"/>
      <c r="DI164" s="226"/>
      <c r="DJ164" s="226"/>
      <c r="DK164" s="226"/>
      <c r="DL164" s="226"/>
      <c r="DM164" s="226"/>
      <c r="DN164" s="226"/>
      <c r="DO164" s="226"/>
      <c r="DP164" s="226"/>
      <c r="DQ164" s="226"/>
      <c r="DR164" s="226"/>
      <c r="DS164" s="226"/>
      <c r="DT164" s="226"/>
      <c r="DU164" s="226"/>
      <c r="DV164" s="226"/>
      <c r="DW164" s="226"/>
      <c r="DX164" s="226"/>
      <c r="DY164" s="226"/>
      <c r="DZ164" s="226"/>
      <c r="EA164" s="226"/>
      <c r="EB164" s="226"/>
      <c r="EC164" s="226"/>
      <c r="ED164" s="226"/>
      <c r="EE164" s="226"/>
      <c r="EF164" s="226"/>
      <c r="EG164" s="226"/>
      <c r="EH164" s="226"/>
      <c r="EI164" s="226"/>
      <c r="EJ164" s="226"/>
      <c r="EK164" s="226"/>
      <c r="EL164" s="226"/>
      <c r="EM164" s="226"/>
      <c r="EN164" s="226"/>
      <c r="EO164" s="226"/>
      <c r="EP164" s="226"/>
      <c r="EQ164" s="226"/>
      <c r="ER164" s="226"/>
      <c r="ES164" s="226"/>
      <c r="ET164" s="226"/>
      <c r="EU164" s="226"/>
      <c r="EV164" s="226"/>
      <c r="EW164" s="226"/>
      <c r="EX164" s="226"/>
      <c r="EY164" s="226"/>
      <c r="EZ164" s="226"/>
      <c r="FA164" s="226"/>
      <c r="FB164" s="226"/>
      <c r="FC164" s="226"/>
      <c r="FD164" s="226"/>
      <c r="FE164" s="226"/>
      <c r="FF164" s="226"/>
      <c r="FG164" s="226"/>
      <c r="FH164" s="226"/>
      <c r="FI164" s="226"/>
      <c r="FJ164" s="226"/>
      <c r="FK164" s="226"/>
      <c r="FL164" s="226"/>
      <c r="FM164" s="226"/>
      <c r="FN164" s="226"/>
      <c r="FO164" s="226"/>
      <c r="FP164" s="226"/>
      <c r="FQ164" s="226"/>
      <c r="FR164" s="226"/>
      <c r="FS164" s="226"/>
      <c r="FT164" s="226"/>
      <c r="FU164" s="226"/>
      <c r="FV164" s="226"/>
      <c r="FW164" s="226"/>
      <c r="FX164" s="226"/>
      <c r="FY164" s="226"/>
      <c r="FZ164" s="226"/>
      <c r="GA164" s="226"/>
      <c r="GB164" s="226"/>
      <c r="GC164" s="226"/>
      <c r="GD164" s="226"/>
      <c r="GE164" s="226"/>
      <c r="GF164" s="226"/>
      <c r="GG164" s="226"/>
      <c r="GH164" s="226"/>
    </row>
    <row r="165" spans="1:190" s="225" customFormat="1" ht="15.95" customHeight="1">
      <c r="A165" s="143" t="s">
        <v>147</v>
      </c>
      <c r="B165" s="250"/>
      <c r="C165" s="242" t="s">
        <v>253</v>
      </c>
      <c r="D165" s="251" t="s">
        <v>1</v>
      </c>
      <c r="E165" s="82">
        <f>K165</f>
        <v>0</v>
      </c>
      <c r="F165" s="107" t="e">
        <f>#REF!</f>
        <v>#REF!</v>
      </c>
      <c r="G165" s="64" t="e">
        <f>+E165*F165</f>
        <v>#REF!</v>
      </c>
      <c r="I165" s="259">
        <v>0</v>
      </c>
      <c r="J165" s="265">
        <v>1.05</v>
      </c>
      <c r="K165" s="259">
        <f>I165*J165</f>
        <v>0</v>
      </c>
      <c r="L165" s="226"/>
      <c r="M165" s="226"/>
      <c r="N165" s="226"/>
      <c r="O165" s="226"/>
      <c r="P165" s="226"/>
      <c r="Q165" s="226"/>
      <c r="R165" s="226"/>
      <c r="S165" s="226"/>
      <c r="T165" s="226"/>
      <c r="U165" s="226"/>
      <c r="V165" s="226"/>
      <c r="W165" s="226"/>
      <c r="X165" s="226"/>
      <c r="Y165" s="226"/>
      <c r="Z165" s="226"/>
      <c r="AA165" s="226"/>
      <c r="AB165" s="226"/>
      <c r="AC165" s="226"/>
      <c r="AD165" s="226"/>
      <c r="AE165" s="226"/>
      <c r="AF165" s="226"/>
      <c r="AG165" s="226"/>
      <c r="AH165" s="226"/>
      <c r="AI165" s="226"/>
      <c r="AJ165" s="226"/>
      <c r="AK165" s="226"/>
      <c r="AL165" s="226"/>
      <c r="AM165" s="226"/>
      <c r="AN165" s="226"/>
      <c r="AO165" s="226"/>
      <c r="AP165" s="226"/>
      <c r="AQ165" s="226"/>
      <c r="AR165" s="226"/>
      <c r="AS165" s="226"/>
      <c r="AT165" s="226"/>
      <c r="AU165" s="226"/>
      <c r="AV165" s="226"/>
      <c r="AW165" s="226"/>
      <c r="AX165" s="226"/>
      <c r="AY165" s="226"/>
      <c r="AZ165" s="226"/>
      <c r="BA165" s="226"/>
      <c r="BB165" s="226"/>
      <c r="BC165" s="226"/>
      <c r="BD165" s="226"/>
      <c r="BE165" s="226"/>
      <c r="BF165" s="226"/>
      <c r="BG165" s="226"/>
      <c r="BH165" s="226"/>
      <c r="BI165" s="226"/>
      <c r="BJ165" s="226"/>
      <c r="BK165" s="226"/>
      <c r="BL165" s="226"/>
      <c r="BM165" s="226"/>
      <c r="BN165" s="226"/>
      <c r="BO165" s="226"/>
      <c r="BP165" s="226"/>
      <c r="BQ165" s="226"/>
      <c r="BR165" s="226"/>
      <c r="BS165" s="226"/>
      <c r="BT165" s="226"/>
      <c r="BU165" s="226"/>
      <c r="BV165" s="226"/>
      <c r="BW165" s="226"/>
      <c r="BX165" s="226"/>
      <c r="BY165" s="226"/>
      <c r="BZ165" s="226"/>
      <c r="CA165" s="226"/>
      <c r="CB165" s="226"/>
      <c r="CC165" s="226"/>
      <c r="CD165" s="226"/>
      <c r="CE165" s="226"/>
      <c r="CF165" s="226"/>
      <c r="CG165" s="226"/>
      <c r="CH165" s="226"/>
      <c r="CI165" s="226"/>
      <c r="CJ165" s="226"/>
      <c r="CK165" s="226"/>
      <c r="CL165" s="226"/>
      <c r="CM165" s="226"/>
      <c r="CN165" s="226"/>
      <c r="CO165" s="226"/>
      <c r="CP165" s="226"/>
      <c r="CQ165" s="226"/>
      <c r="CR165" s="226"/>
      <c r="CS165" s="226"/>
      <c r="CT165" s="226"/>
      <c r="CU165" s="226"/>
      <c r="CV165" s="226"/>
      <c r="CW165" s="226"/>
      <c r="CX165" s="226"/>
      <c r="CY165" s="226"/>
      <c r="CZ165" s="226"/>
      <c r="DA165" s="226"/>
      <c r="DB165" s="226"/>
      <c r="DC165" s="226"/>
      <c r="DD165" s="226"/>
      <c r="DE165" s="226"/>
      <c r="DF165" s="226"/>
      <c r="DG165" s="226"/>
      <c r="DH165" s="226"/>
      <c r="DI165" s="226"/>
      <c r="DJ165" s="226"/>
      <c r="DK165" s="226"/>
      <c r="DL165" s="226"/>
      <c r="DM165" s="226"/>
      <c r="DN165" s="226"/>
      <c r="DO165" s="226"/>
      <c r="DP165" s="226"/>
      <c r="DQ165" s="226"/>
      <c r="DR165" s="226"/>
      <c r="DS165" s="226"/>
      <c r="DT165" s="226"/>
      <c r="DU165" s="226"/>
      <c r="DV165" s="226"/>
      <c r="DW165" s="226"/>
      <c r="DX165" s="226"/>
      <c r="DY165" s="226"/>
      <c r="DZ165" s="226"/>
      <c r="EA165" s="226"/>
      <c r="EB165" s="226"/>
      <c r="EC165" s="226"/>
      <c r="ED165" s="226"/>
      <c r="EE165" s="226"/>
      <c r="EF165" s="226"/>
      <c r="EG165" s="226"/>
      <c r="EH165" s="226"/>
      <c r="EI165" s="226"/>
      <c r="EJ165" s="226"/>
      <c r="EK165" s="226"/>
      <c r="EL165" s="226"/>
      <c r="EM165" s="226"/>
      <c r="EN165" s="226"/>
      <c r="EO165" s="226"/>
      <c r="EP165" s="226"/>
      <c r="EQ165" s="226"/>
      <c r="ER165" s="226"/>
      <c r="ES165" s="226"/>
      <c r="ET165" s="226"/>
      <c r="EU165" s="226"/>
      <c r="EV165" s="226"/>
      <c r="EW165" s="226"/>
      <c r="EX165" s="226"/>
      <c r="EY165" s="226"/>
      <c r="EZ165" s="226"/>
      <c r="FA165" s="226"/>
      <c r="FB165" s="226"/>
      <c r="FC165" s="226"/>
      <c r="FD165" s="226"/>
      <c r="FE165" s="226"/>
      <c r="FF165" s="226"/>
      <c r="FG165" s="226"/>
      <c r="FH165" s="226"/>
      <c r="FI165" s="226"/>
      <c r="FJ165" s="226"/>
      <c r="FK165" s="226"/>
      <c r="FL165" s="226"/>
      <c r="FM165" s="226"/>
      <c r="FN165" s="226"/>
      <c r="FO165" s="226"/>
      <c r="FP165" s="226"/>
      <c r="FQ165" s="226"/>
      <c r="FR165" s="226"/>
      <c r="FS165" s="226"/>
      <c r="FT165" s="226"/>
      <c r="FU165" s="226"/>
      <c r="FV165" s="226"/>
      <c r="FW165" s="226"/>
      <c r="FX165" s="226"/>
      <c r="FY165" s="226"/>
      <c r="FZ165" s="226"/>
      <c r="GA165" s="226"/>
      <c r="GB165" s="226"/>
      <c r="GC165" s="226"/>
      <c r="GD165" s="226"/>
      <c r="GE165" s="226"/>
      <c r="GF165" s="226"/>
      <c r="GG165" s="226"/>
      <c r="GH165" s="226"/>
    </row>
    <row r="166" spans="1:190" s="225" customFormat="1" ht="16.5" customHeight="1">
      <c r="A166" s="141">
        <v>515</v>
      </c>
      <c r="B166" s="222"/>
      <c r="C166" s="43" t="s">
        <v>148</v>
      </c>
      <c r="D166" s="248"/>
      <c r="E166" s="249"/>
      <c r="F166" s="109"/>
      <c r="G166" s="63"/>
      <c r="I166" s="259"/>
      <c r="J166" s="265"/>
      <c r="K166" s="259"/>
      <c r="L166" s="226"/>
      <c r="M166" s="226"/>
      <c r="N166" s="226"/>
      <c r="O166" s="226"/>
      <c r="P166" s="226"/>
      <c r="Q166" s="226"/>
      <c r="R166" s="226"/>
      <c r="S166" s="226"/>
      <c r="T166" s="226"/>
      <c r="U166" s="226"/>
      <c r="V166" s="226"/>
      <c r="W166" s="226"/>
      <c r="X166" s="226"/>
      <c r="Y166" s="226"/>
      <c r="Z166" s="226"/>
      <c r="AA166" s="226"/>
      <c r="AB166" s="226"/>
      <c r="AC166" s="226"/>
      <c r="AD166" s="226"/>
      <c r="AE166" s="226"/>
      <c r="AF166" s="226"/>
      <c r="AG166" s="226"/>
      <c r="AH166" s="226"/>
      <c r="AI166" s="226"/>
      <c r="AJ166" s="226"/>
      <c r="AK166" s="226"/>
      <c r="AL166" s="226"/>
      <c r="AM166" s="226"/>
      <c r="AN166" s="226"/>
      <c r="AO166" s="226"/>
      <c r="AP166" s="226"/>
      <c r="AQ166" s="226"/>
      <c r="AR166" s="226"/>
      <c r="AS166" s="226"/>
      <c r="AT166" s="226"/>
      <c r="AU166" s="226"/>
      <c r="AV166" s="226"/>
      <c r="AW166" s="226"/>
      <c r="AX166" s="226"/>
      <c r="AY166" s="226"/>
      <c r="AZ166" s="226"/>
      <c r="BA166" s="226"/>
      <c r="BB166" s="226"/>
      <c r="BC166" s="226"/>
      <c r="BD166" s="226"/>
      <c r="BE166" s="226"/>
      <c r="BF166" s="226"/>
      <c r="BG166" s="226"/>
      <c r="BH166" s="226"/>
      <c r="BI166" s="226"/>
      <c r="BJ166" s="226"/>
      <c r="BK166" s="226"/>
      <c r="BL166" s="226"/>
      <c r="BM166" s="226"/>
      <c r="BN166" s="226"/>
      <c r="BO166" s="226"/>
      <c r="BP166" s="226"/>
      <c r="BQ166" s="226"/>
      <c r="BR166" s="226"/>
      <c r="BS166" s="226"/>
      <c r="BT166" s="226"/>
      <c r="BU166" s="226"/>
      <c r="BV166" s="226"/>
      <c r="BW166" s="226"/>
      <c r="BX166" s="226"/>
      <c r="BY166" s="226"/>
      <c r="BZ166" s="226"/>
      <c r="CA166" s="226"/>
      <c r="CB166" s="226"/>
      <c r="CC166" s="226"/>
      <c r="CD166" s="226"/>
      <c r="CE166" s="226"/>
      <c r="CF166" s="226"/>
      <c r="CG166" s="226"/>
      <c r="CH166" s="226"/>
      <c r="CI166" s="226"/>
      <c r="CJ166" s="226"/>
      <c r="CK166" s="226"/>
      <c r="CL166" s="226"/>
      <c r="CM166" s="226"/>
      <c r="CN166" s="226"/>
      <c r="CO166" s="226"/>
      <c r="CP166" s="226"/>
      <c r="CQ166" s="226"/>
      <c r="CR166" s="226"/>
      <c r="CS166" s="226"/>
      <c r="CT166" s="226"/>
      <c r="CU166" s="226"/>
      <c r="CV166" s="226"/>
      <c r="CW166" s="226"/>
      <c r="CX166" s="226"/>
      <c r="CY166" s="226"/>
      <c r="CZ166" s="226"/>
      <c r="DA166" s="226"/>
      <c r="DB166" s="226"/>
      <c r="DC166" s="226"/>
      <c r="DD166" s="226"/>
      <c r="DE166" s="226"/>
      <c r="DF166" s="226"/>
      <c r="DG166" s="226"/>
      <c r="DH166" s="226"/>
      <c r="DI166" s="226"/>
      <c r="DJ166" s="226"/>
      <c r="DK166" s="226"/>
      <c r="DL166" s="226"/>
      <c r="DM166" s="226"/>
      <c r="DN166" s="226"/>
      <c r="DO166" s="226"/>
      <c r="DP166" s="226"/>
      <c r="DQ166" s="226"/>
      <c r="DR166" s="226"/>
      <c r="DS166" s="226"/>
      <c r="DT166" s="226"/>
      <c r="DU166" s="226"/>
      <c r="DV166" s="226"/>
      <c r="DW166" s="226"/>
      <c r="DX166" s="226"/>
      <c r="DY166" s="226"/>
      <c r="DZ166" s="226"/>
      <c r="EA166" s="226"/>
      <c r="EB166" s="226"/>
      <c r="EC166" s="226"/>
      <c r="ED166" s="226"/>
      <c r="EE166" s="226"/>
      <c r="EF166" s="226"/>
      <c r="EG166" s="226"/>
      <c r="EH166" s="226"/>
      <c r="EI166" s="226"/>
      <c r="EJ166" s="226"/>
      <c r="EK166" s="226"/>
      <c r="EL166" s="226"/>
      <c r="EM166" s="226"/>
      <c r="EN166" s="226"/>
      <c r="EO166" s="226"/>
      <c r="EP166" s="226"/>
      <c r="EQ166" s="226"/>
      <c r="ER166" s="226"/>
      <c r="ES166" s="226"/>
      <c r="ET166" s="226"/>
      <c r="EU166" s="226"/>
      <c r="EV166" s="226"/>
      <c r="EW166" s="226"/>
      <c r="EX166" s="226"/>
      <c r="EY166" s="226"/>
      <c r="EZ166" s="226"/>
      <c r="FA166" s="226"/>
      <c r="FB166" s="226"/>
      <c r="FC166" s="226"/>
      <c r="FD166" s="226"/>
      <c r="FE166" s="226"/>
      <c r="FF166" s="226"/>
      <c r="FG166" s="226"/>
      <c r="FH166" s="226"/>
      <c r="FI166" s="226"/>
      <c r="FJ166" s="226"/>
      <c r="FK166" s="226"/>
      <c r="FL166" s="226"/>
      <c r="FM166" s="226"/>
      <c r="FN166" s="226"/>
      <c r="FO166" s="226"/>
      <c r="FP166" s="226"/>
      <c r="FQ166" s="226"/>
      <c r="FR166" s="226"/>
      <c r="FS166" s="226"/>
      <c r="FT166" s="226"/>
      <c r="FU166" s="226"/>
      <c r="FV166" s="226"/>
      <c r="FW166" s="226"/>
      <c r="FX166" s="226"/>
      <c r="FY166" s="226"/>
      <c r="FZ166" s="226"/>
      <c r="GA166" s="226"/>
      <c r="GB166" s="226"/>
      <c r="GC166" s="226"/>
      <c r="GD166" s="226"/>
      <c r="GE166" s="226"/>
      <c r="GF166" s="226"/>
      <c r="GG166" s="226"/>
      <c r="GH166" s="226"/>
    </row>
    <row r="167" spans="1:190" s="225" customFormat="1" ht="15.95" customHeight="1">
      <c r="A167" s="126" t="s">
        <v>149</v>
      </c>
      <c r="B167" s="48"/>
      <c r="C167" s="128" t="s">
        <v>222</v>
      </c>
      <c r="D167" s="251" t="s">
        <v>27</v>
      </c>
      <c r="E167" s="82">
        <f>K167</f>
        <v>71.19</v>
      </c>
      <c r="F167" s="107" t="e">
        <f>#REF!</f>
        <v>#REF!</v>
      </c>
      <c r="G167" s="64" t="e">
        <f>+E167*F167</f>
        <v>#REF!</v>
      </c>
      <c r="I167" s="259">
        <f>2*(G19)/100</f>
        <v>67.8</v>
      </c>
      <c r="J167" s="265">
        <v>1.05</v>
      </c>
      <c r="K167" s="259">
        <f>I167*J167</f>
        <v>71.19</v>
      </c>
      <c r="L167" s="226"/>
      <c r="M167" s="226"/>
      <c r="N167" s="226"/>
      <c r="O167" s="226"/>
      <c r="P167" s="226"/>
      <c r="Q167" s="226"/>
      <c r="R167" s="226"/>
      <c r="S167" s="226"/>
      <c r="T167" s="226"/>
      <c r="U167" s="226"/>
      <c r="V167" s="226"/>
      <c r="W167" s="226"/>
      <c r="X167" s="226"/>
      <c r="Y167" s="226"/>
      <c r="Z167" s="226"/>
      <c r="AA167" s="226"/>
      <c r="AB167" s="226"/>
      <c r="AC167" s="226"/>
      <c r="AD167" s="226"/>
      <c r="AE167" s="226"/>
      <c r="AF167" s="226"/>
      <c r="AG167" s="226"/>
      <c r="AH167" s="226"/>
      <c r="AI167" s="226"/>
      <c r="AJ167" s="226"/>
      <c r="AK167" s="226"/>
      <c r="AL167" s="226"/>
      <c r="AM167" s="226"/>
      <c r="AN167" s="226"/>
      <c r="AO167" s="226"/>
      <c r="AP167" s="226"/>
      <c r="AQ167" s="226"/>
      <c r="AR167" s="226"/>
      <c r="AS167" s="226"/>
      <c r="AT167" s="226"/>
      <c r="AU167" s="226"/>
      <c r="AV167" s="226"/>
      <c r="AW167" s="226"/>
      <c r="AX167" s="226"/>
      <c r="AY167" s="226"/>
      <c r="AZ167" s="226"/>
      <c r="BA167" s="226"/>
      <c r="BB167" s="226"/>
      <c r="BC167" s="226"/>
      <c r="BD167" s="226"/>
      <c r="BE167" s="226"/>
      <c r="BF167" s="226"/>
      <c r="BG167" s="226"/>
      <c r="BH167" s="226"/>
      <c r="BI167" s="226"/>
      <c r="BJ167" s="226"/>
      <c r="BK167" s="226"/>
      <c r="BL167" s="226"/>
      <c r="BM167" s="226"/>
      <c r="BN167" s="226"/>
      <c r="BO167" s="226"/>
      <c r="BP167" s="226"/>
      <c r="BQ167" s="226"/>
      <c r="BR167" s="226"/>
      <c r="BS167" s="226"/>
      <c r="BT167" s="226"/>
      <c r="BU167" s="226"/>
      <c r="BV167" s="226"/>
      <c r="BW167" s="226"/>
      <c r="BX167" s="226"/>
      <c r="BY167" s="226"/>
      <c r="BZ167" s="226"/>
      <c r="CA167" s="226"/>
      <c r="CB167" s="226"/>
      <c r="CC167" s="226"/>
      <c r="CD167" s="226"/>
      <c r="CE167" s="226"/>
      <c r="CF167" s="226"/>
      <c r="CG167" s="226"/>
      <c r="CH167" s="226"/>
      <c r="CI167" s="226"/>
      <c r="CJ167" s="226"/>
      <c r="CK167" s="226"/>
      <c r="CL167" s="226"/>
      <c r="CM167" s="226"/>
      <c r="CN167" s="226"/>
      <c r="CO167" s="226"/>
      <c r="CP167" s="226"/>
      <c r="CQ167" s="226"/>
      <c r="CR167" s="226"/>
      <c r="CS167" s="226"/>
      <c r="CT167" s="226"/>
      <c r="CU167" s="226"/>
      <c r="CV167" s="226"/>
      <c r="CW167" s="226"/>
      <c r="CX167" s="226"/>
      <c r="CY167" s="226"/>
      <c r="CZ167" s="226"/>
      <c r="DA167" s="226"/>
      <c r="DB167" s="226"/>
      <c r="DC167" s="226"/>
      <c r="DD167" s="226"/>
      <c r="DE167" s="226"/>
      <c r="DF167" s="226"/>
      <c r="DG167" s="226"/>
      <c r="DH167" s="226"/>
      <c r="DI167" s="226"/>
      <c r="DJ167" s="226"/>
      <c r="DK167" s="226"/>
      <c r="DL167" s="226"/>
      <c r="DM167" s="226"/>
      <c r="DN167" s="226"/>
      <c r="DO167" s="226"/>
      <c r="DP167" s="226"/>
      <c r="DQ167" s="226"/>
      <c r="DR167" s="226"/>
      <c r="DS167" s="226"/>
      <c r="DT167" s="226"/>
      <c r="DU167" s="226"/>
      <c r="DV167" s="226"/>
      <c r="DW167" s="226"/>
      <c r="DX167" s="226"/>
      <c r="DY167" s="226"/>
      <c r="DZ167" s="226"/>
      <c r="EA167" s="226"/>
      <c r="EB167" s="226"/>
      <c r="EC167" s="226"/>
      <c r="ED167" s="226"/>
      <c r="EE167" s="226"/>
      <c r="EF167" s="226"/>
      <c r="EG167" s="226"/>
      <c r="EH167" s="226"/>
      <c r="EI167" s="226"/>
      <c r="EJ167" s="226"/>
      <c r="EK167" s="226"/>
      <c r="EL167" s="226"/>
      <c r="EM167" s="226"/>
      <c r="EN167" s="226"/>
      <c r="EO167" s="226"/>
      <c r="EP167" s="226"/>
      <c r="EQ167" s="226"/>
      <c r="ER167" s="226"/>
      <c r="ES167" s="226"/>
      <c r="ET167" s="226"/>
      <c r="EU167" s="226"/>
      <c r="EV167" s="226"/>
      <c r="EW167" s="226"/>
      <c r="EX167" s="226"/>
      <c r="EY167" s="226"/>
      <c r="EZ167" s="226"/>
      <c r="FA167" s="226"/>
      <c r="FB167" s="226"/>
      <c r="FC167" s="226"/>
      <c r="FD167" s="226"/>
      <c r="FE167" s="226"/>
      <c r="FF167" s="226"/>
      <c r="FG167" s="226"/>
      <c r="FH167" s="226"/>
      <c r="FI167" s="226"/>
      <c r="FJ167" s="226"/>
      <c r="FK167" s="226"/>
      <c r="FL167" s="226"/>
      <c r="FM167" s="226"/>
      <c r="FN167" s="226"/>
      <c r="FO167" s="226"/>
      <c r="FP167" s="226"/>
      <c r="FQ167" s="226"/>
      <c r="FR167" s="226"/>
      <c r="FS167" s="226"/>
      <c r="FT167" s="226"/>
      <c r="FU167" s="226"/>
      <c r="FV167" s="226"/>
      <c r="FW167" s="226"/>
      <c r="FX167" s="226"/>
      <c r="FY167" s="226"/>
      <c r="FZ167" s="226"/>
      <c r="GA167" s="226"/>
      <c r="GB167" s="226"/>
      <c r="GC167" s="226"/>
      <c r="GD167" s="226"/>
      <c r="GE167" s="226"/>
      <c r="GF167" s="226"/>
      <c r="GG167" s="226"/>
      <c r="GH167" s="226"/>
    </row>
    <row r="168" spans="1:190" s="225" customFormat="1" ht="15.95" customHeight="1">
      <c r="A168" s="126" t="s">
        <v>150</v>
      </c>
      <c r="B168" s="48"/>
      <c r="C168" s="242" t="s">
        <v>221</v>
      </c>
      <c r="D168" s="251" t="s">
        <v>27</v>
      </c>
      <c r="E168" s="82">
        <f>K168</f>
        <v>65.73</v>
      </c>
      <c r="F168" s="107" t="e">
        <f>#REF!</f>
        <v>#REF!</v>
      </c>
      <c r="G168" s="64" t="e">
        <f>+E168*F168</f>
        <v>#REF!</v>
      </c>
      <c r="I168" s="259">
        <f>2*(G18+G17)/100</f>
        <v>62.6</v>
      </c>
      <c r="J168" s="265">
        <v>1.05</v>
      </c>
      <c r="K168" s="259">
        <f>I168*J168</f>
        <v>65.73</v>
      </c>
      <c r="L168" s="226"/>
      <c r="M168" s="226"/>
      <c r="N168" s="226"/>
      <c r="O168" s="226"/>
      <c r="P168" s="226"/>
      <c r="Q168" s="226"/>
      <c r="R168" s="226"/>
      <c r="S168" s="226"/>
      <c r="T168" s="226"/>
      <c r="U168" s="226"/>
      <c r="V168" s="226"/>
      <c r="W168" s="226"/>
      <c r="X168" s="226"/>
      <c r="Y168" s="226"/>
      <c r="Z168" s="226"/>
      <c r="AA168" s="226"/>
      <c r="AB168" s="226"/>
      <c r="AC168" s="226"/>
      <c r="AD168" s="226"/>
      <c r="AE168" s="226"/>
      <c r="AF168" s="226"/>
      <c r="AG168" s="226"/>
      <c r="AH168" s="226"/>
      <c r="AI168" s="226"/>
      <c r="AJ168" s="226"/>
      <c r="AK168" s="226"/>
      <c r="AL168" s="226"/>
      <c r="AM168" s="226"/>
      <c r="AN168" s="226"/>
      <c r="AO168" s="226"/>
      <c r="AP168" s="226"/>
      <c r="AQ168" s="226"/>
      <c r="AR168" s="226"/>
      <c r="AS168" s="226"/>
      <c r="AT168" s="226"/>
      <c r="AU168" s="226"/>
      <c r="AV168" s="226"/>
      <c r="AW168" s="226"/>
      <c r="AX168" s="226"/>
      <c r="AY168" s="226"/>
      <c r="AZ168" s="226"/>
      <c r="BA168" s="226"/>
      <c r="BB168" s="226"/>
      <c r="BC168" s="226"/>
      <c r="BD168" s="226"/>
      <c r="BE168" s="226"/>
      <c r="BF168" s="226"/>
      <c r="BG168" s="226"/>
      <c r="BH168" s="226"/>
      <c r="BI168" s="226"/>
      <c r="BJ168" s="226"/>
      <c r="BK168" s="226"/>
      <c r="BL168" s="226"/>
      <c r="BM168" s="226"/>
      <c r="BN168" s="226"/>
      <c r="BO168" s="226"/>
      <c r="BP168" s="226"/>
      <c r="BQ168" s="226"/>
      <c r="BR168" s="226"/>
      <c r="BS168" s="226"/>
      <c r="BT168" s="226"/>
      <c r="BU168" s="226"/>
      <c r="BV168" s="226"/>
      <c r="BW168" s="226"/>
      <c r="BX168" s="226"/>
      <c r="BY168" s="226"/>
      <c r="BZ168" s="226"/>
      <c r="CA168" s="226"/>
      <c r="CB168" s="226"/>
      <c r="CC168" s="226"/>
      <c r="CD168" s="226"/>
      <c r="CE168" s="226"/>
      <c r="CF168" s="226"/>
      <c r="CG168" s="226"/>
      <c r="CH168" s="226"/>
      <c r="CI168" s="226"/>
      <c r="CJ168" s="226"/>
      <c r="CK168" s="226"/>
      <c r="CL168" s="226"/>
      <c r="CM168" s="226"/>
      <c r="CN168" s="226"/>
      <c r="CO168" s="226"/>
      <c r="CP168" s="226"/>
      <c r="CQ168" s="226"/>
      <c r="CR168" s="226"/>
      <c r="CS168" s="226"/>
      <c r="CT168" s="226"/>
      <c r="CU168" s="226"/>
      <c r="CV168" s="226"/>
      <c r="CW168" s="226"/>
      <c r="CX168" s="226"/>
      <c r="CY168" s="226"/>
      <c r="CZ168" s="226"/>
      <c r="DA168" s="226"/>
      <c r="DB168" s="226"/>
      <c r="DC168" s="226"/>
      <c r="DD168" s="226"/>
      <c r="DE168" s="226"/>
      <c r="DF168" s="226"/>
      <c r="DG168" s="226"/>
      <c r="DH168" s="226"/>
      <c r="DI168" s="226"/>
      <c r="DJ168" s="226"/>
      <c r="DK168" s="226"/>
      <c r="DL168" s="226"/>
      <c r="DM168" s="226"/>
      <c r="DN168" s="226"/>
      <c r="DO168" s="226"/>
      <c r="DP168" s="226"/>
      <c r="DQ168" s="226"/>
      <c r="DR168" s="226"/>
      <c r="DS168" s="226"/>
      <c r="DT168" s="226"/>
      <c r="DU168" s="226"/>
      <c r="DV168" s="226"/>
      <c r="DW168" s="226"/>
      <c r="DX168" s="226"/>
      <c r="DY168" s="226"/>
      <c r="DZ168" s="226"/>
      <c r="EA168" s="226"/>
      <c r="EB168" s="226"/>
      <c r="EC168" s="226"/>
      <c r="ED168" s="226"/>
      <c r="EE168" s="226"/>
      <c r="EF168" s="226"/>
      <c r="EG168" s="226"/>
      <c r="EH168" s="226"/>
      <c r="EI168" s="226"/>
      <c r="EJ168" s="226"/>
      <c r="EK168" s="226"/>
      <c r="EL168" s="226"/>
      <c r="EM168" s="226"/>
      <c r="EN168" s="226"/>
      <c r="EO168" s="226"/>
      <c r="EP168" s="226"/>
      <c r="EQ168" s="226"/>
      <c r="ER168" s="226"/>
      <c r="ES168" s="226"/>
      <c r="ET168" s="226"/>
      <c r="EU168" s="226"/>
      <c r="EV168" s="226"/>
      <c r="EW168" s="226"/>
      <c r="EX168" s="226"/>
      <c r="EY168" s="226"/>
      <c r="EZ168" s="226"/>
      <c r="FA168" s="226"/>
      <c r="FB168" s="226"/>
      <c r="FC168" s="226"/>
      <c r="FD168" s="226"/>
      <c r="FE168" s="226"/>
      <c r="FF168" s="226"/>
      <c r="FG168" s="226"/>
      <c r="FH168" s="226"/>
      <c r="FI168" s="226"/>
      <c r="FJ168" s="226"/>
      <c r="FK168" s="226"/>
      <c r="FL168" s="226"/>
      <c r="FM168" s="226"/>
      <c r="FN168" s="226"/>
      <c r="FO168" s="226"/>
      <c r="FP168" s="226"/>
      <c r="FQ168" s="226"/>
      <c r="FR168" s="226"/>
      <c r="FS168" s="226"/>
      <c r="FT168" s="226"/>
      <c r="FU168" s="226"/>
      <c r="FV168" s="226"/>
      <c r="FW168" s="226"/>
      <c r="FX168" s="226"/>
      <c r="FY168" s="226"/>
      <c r="FZ168" s="226"/>
      <c r="GA168" s="226"/>
      <c r="GB168" s="226"/>
      <c r="GC168" s="226"/>
      <c r="GD168" s="226"/>
      <c r="GE168" s="226"/>
      <c r="GF168" s="226"/>
      <c r="GG168" s="226"/>
      <c r="GH168" s="226"/>
    </row>
    <row r="169" spans="1:190" s="225" customFormat="1" ht="16.5" customHeight="1">
      <c r="A169" s="141">
        <v>516</v>
      </c>
      <c r="B169" s="222"/>
      <c r="C169" s="43" t="s">
        <v>151</v>
      </c>
      <c r="D169" s="248"/>
      <c r="E169" s="249"/>
      <c r="F169" s="109"/>
      <c r="G169" s="63"/>
      <c r="I169" s="259"/>
      <c r="J169" s="265"/>
      <c r="K169" s="259"/>
      <c r="L169" s="226"/>
      <c r="M169" s="226"/>
      <c r="N169" s="226"/>
      <c r="O169" s="226"/>
      <c r="P169" s="226"/>
      <c r="Q169" s="226"/>
      <c r="R169" s="226"/>
      <c r="S169" s="226"/>
      <c r="T169" s="226"/>
      <c r="U169" s="226"/>
      <c r="V169" s="226"/>
      <c r="W169" s="226"/>
      <c r="X169" s="226"/>
      <c r="Y169" s="226"/>
      <c r="Z169" s="226"/>
      <c r="AA169" s="226"/>
      <c r="AB169" s="226"/>
      <c r="AC169" s="226"/>
      <c r="AD169" s="226"/>
      <c r="AE169" s="226"/>
      <c r="AF169" s="226"/>
      <c r="AG169" s="226"/>
      <c r="AH169" s="226"/>
      <c r="AI169" s="226"/>
      <c r="AJ169" s="226"/>
      <c r="AK169" s="226"/>
      <c r="AL169" s="226"/>
      <c r="AM169" s="226"/>
      <c r="AN169" s="226"/>
      <c r="AO169" s="226"/>
      <c r="AP169" s="226"/>
      <c r="AQ169" s="226"/>
      <c r="AR169" s="226"/>
      <c r="AS169" s="226"/>
      <c r="AT169" s="226"/>
      <c r="AU169" s="226"/>
      <c r="AV169" s="226"/>
      <c r="AW169" s="226"/>
      <c r="AX169" s="226"/>
      <c r="AY169" s="226"/>
      <c r="AZ169" s="226"/>
      <c r="BA169" s="226"/>
      <c r="BB169" s="226"/>
      <c r="BC169" s="226"/>
      <c r="BD169" s="226"/>
      <c r="BE169" s="226"/>
      <c r="BF169" s="226"/>
      <c r="BG169" s="226"/>
      <c r="BH169" s="226"/>
      <c r="BI169" s="226"/>
      <c r="BJ169" s="226"/>
      <c r="BK169" s="226"/>
      <c r="BL169" s="226"/>
      <c r="BM169" s="226"/>
      <c r="BN169" s="226"/>
      <c r="BO169" s="226"/>
      <c r="BP169" s="226"/>
      <c r="BQ169" s="226"/>
      <c r="BR169" s="226"/>
      <c r="BS169" s="226"/>
      <c r="BT169" s="226"/>
      <c r="BU169" s="226"/>
      <c r="BV169" s="226"/>
      <c r="BW169" s="226"/>
      <c r="BX169" s="226"/>
      <c r="BY169" s="226"/>
      <c r="BZ169" s="226"/>
      <c r="CA169" s="226"/>
      <c r="CB169" s="226"/>
      <c r="CC169" s="226"/>
      <c r="CD169" s="226"/>
      <c r="CE169" s="226"/>
      <c r="CF169" s="226"/>
      <c r="CG169" s="226"/>
      <c r="CH169" s="226"/>
      <c r="CI169" s="226"/>
      <c r="CJ169" s="226"/>
      <c r="CK169" s="226"/>
      <c r="CL169" s="226"/>
      <c r="CM169" s="226"/>
      <c r="CN169" s="226"/>
      <c r="CO169" s="226"/>
      <c r="CP169" s="226"/>
      <c r="CQ169" s="226"/>
      <c r="CR169" s="226"/>
      <c r="CS169" s="226"/>
      <c r="CT169" s="226"/>
      <c r="CU169" s="226"/>
      <c r="CV169" s="226"/>
      <c r="CW169" s="226"/>
      <c r="CX169" s="226"/>
      <c r="CY169" s="226"/>
      <c r="CZ169" s="226"/>
      <c r="DA169" s="226"/>
      <c r="DB169" s="226"/>
      <c r="DC169" s="226"/>
      <c r="DD169" s="226"/>
      <c r="DE169" s="226"/>
      <c r="DF169" s="226"/>
      <c r="DG169" s="226"/>
      <c r="DH169" s="226"/>
      <c r="DI169" s="226"/>
      <c r="DJ169" s="226"/>
      <c r="DK169" s="226"/>
      <c r="DL169" s="226"/>
      <c r="DM169" s="226"/>
      <c r="DN169" s="226"/>
      <c r="DO169" s="226"/>
      <c r="DP169" s="226"/>
      <c r="DQ169" s="226"/>
      <c r="DR169" s="226"/>
      <c r="DS169" s="226"/>
      <c r="DT169" s="226"/>
      <c r="DU169" s="226"/>
      <c r="DV169" s="226"/>
      <c r="DW169" s="226"/>
      <c r="DX169" s="226"/>
      <c r="DY169" s="226"/>
      <c r="DZ169" s="226"/>
      <c r="EA169" s="226"/>
      <c r="EB169" s="226"/>
      <c r="EC169" s="226"/>
      <c r="ED169" s="226"/>
      <c r="EE169" s="226"/>
      <c r="EF169" s="226"/>
      <c r="EG169" s="226"/>
      <c r="EH169" s="226"/>
      <c r="EI169" s="226"/>
      <c r="EJ169" s="226"/>
      <c r="EK169" s="226"/>
      <c r="EL169" s="226"/>
      <c r="EM169" s="226"/>
      <c r="EN169" s="226"/>
      <c r="EO169" s="226"/>
      <c r="EP169" s="226"/>
      <c r="EQ169" s="226"/>
      <c r="ER169" s="226"/>
      <c r="ES169" s="226"/>
      <c r="ET169" s="226"/>
      <c r="EU169" s="226"/>
      <c r="EV169" s="226"/>
      <c r="EW169" s="226"/>
      <c r="EX169" s="226"/>
      <c r="EY169" s="226"/>
      <c r="EZ169" s="226"/>
      <c r="FA169" s="226"/>
      <c r="FB169" s="226"/>
      <c r="FC169" s="226"/>
      <c r="FD169" s="226"/>
      <c r="FE169" s="226"/>
      <c r="FF169" s="226"/>
      <c r="FG169" s="226"/>
      <c r="FH169" s="226"/>
      <c r="FI169" s="226"/>
      <c r="FJ169" s="226"/>
      <c r="FK169" s="226"/>
      <c r="FL169" s="226"/>
      <c r="FM169" s="226"/>
      <c r="FN169" s="226"/>
      <c r="FO169" s="226"/>
      <c r="FP169" s="226"/>
      <c r="FQ169" s="226"/>
      <c r="FR169" s="226"/>
      <c r="FS169" s="226"/>
      <c r="FT169" s="226"/>
      <c r="FU169" s="226"/>
      <c r="FV169" s="226"/>
      <c r="FW169" s="226"/>
      <c r="FX169" s="226"/>
      <c r="FY169" s="226"/>
      <c r="FZ169" s="226"/>
      <c r="GA169" s="226"/>
      <c r="GB169" s="226"/>
      <c r="GC169" s="226"/>
      <c r="GD169" s="226"/>
      <c r="GE169" s="226"/>
      <c r="GF169" s="226"/>
      <c r="GG169" s="226"/>
      <c r="GH169" s="226"/>
    </row>
    <row r="170" spans="1:190" s="225" customFormat="1" ht="15.95" customHeight="1">
      <c r="A170" s="143"/>
      <c r="B170" s="250"/>
      <c r="C170" s="196"/>
      <c r="D170" s="251" t="s">
        <v>1</v>
      </c>
      <c r="E170" s="82">
        <f>K170</f>
        <v>11739</v>
      </c>
      <c r="F170" s="107" t="e">
        <f>#REF!</f>
        <v>#REF!</v>
      </c>
      <c r="G170" s="64" t="e">
        <f>+E170*F170</f>
        <v>#REF!</v>
      </c>
      <c r="I170" s="259">
        <f>G3+G16+G18+G19+G17</f>
        <v>11180</v>
      </c>
      <c r="J170" s="265">
        <v>1.05</v>
      </c>
      <c r="K170" s="259">
        <f>I170*J170</f>
        <v>11739</v>
      </c>
      <c r="L170" s="226"/>
      <c r="M170" s="226"/>
      <c r="N170" s="226"/>
      <c r="O170" s="226"/>
      <c r="P170" s="226"/>
      <c r="Q170" s="226"/>
      <c r="R170" s="226"/>
      <c r="S170" s="226"/>
      <c r="T170" s="226"/>
      <c r="U170" s="226"/>
      <c r="V170" s="226"/>
      <c r="W170" s="226"/>
      <c r="X170" s="226"/>
      <c r="Y170" s="226"/>
      <c r="Z170" s="226"/>
      <c r="AA170" s="226"/>
      <c r="AB170" s="226"/>
      <c r="AC170" s="226"/>
      <c r="AD170" s="226"/>
      <c r="AE170" s="226"/>
      <c r="AF170" s="226"/>
      <c r="AG170" s="226"/>
      <c r="AH170" s="226"/>
      <c r="AI170" s="226"/>
      <c r="AJ170" s="226"/>
      <c r="AK170" s="226"/>
      <c r="AL170" s="226"/>
      <c r="AM170" s="226"/>
      <c r="AN170" s="226"/>
      <c r="AO170" s="226"/>
      <c r="AP170" s="226"/>
      <c r="AQ170" s="226"/>
      <c r="AR170" s="226"/>
      <c r="AS170" s="226"/>
      <c r="AT170" s="226"/>
      <c r="AU170" s="226"/>
      <c r="AV170" s="226"/>
      <c r="AW170" s="226"/>
      <c r="AX170" s="226"/>
      <c r="AY170" s="226"/>
      <c r="AZ170" s="226"/>
      <c r="BA170" s="226"/>
      <c r="BB170" s="226"/>
      <c r="BC170" s="226"/>
      <c r="BD170" s="226"/>
      <c r="BE170" s="226"/>
      <c r="BF170" s="226"/>
      <c r="BG170" s="226"/>
      <c r="BH170" s="226"/>
      <c r="BI170" s="226"/>
      <c r="BJ170" s="226"/>
      <c r="BK170" s="226"/>
      <c r="BL170" s="226"/>
      <c r="BM170" s="226"/>
      <c r="BN170" s="226"/>
      <c r="BO170" s="226"/>
      <c r="BP170" s="226"/>
      <c r="BQ170" s="226"/>
      <c r="BR170" s="226"/>
      <c r="BS170" s="226"/>
      <c r="BT170" s="226"/>
      <c r="BU170" s="226"/>
      <c r="BV170" s="226"/>
      <c r="BW170" s="226"/>
      <c r="BX170" s="226"/>
      <c r="BY170" s="226"/>
      <c r="BZ170" s="226"/>
      <c r="CA170" s="226"/>
      <c r="CB170" s="226"/>
      <c r="CC170" s="226"/>
      <c r="CD170" s="226"/>
      <c r="CE170" s="226"/>
      <c r="CF170" s="226"/>
      <c r="CG170" s="226"/>
      <c r="CH170" s="226"/>
      <c r="CI170" s="226"/>
      <c r="CJ170" s="226"/>
      <c r="CK170" s="226"/>
      <c r="CL170" s="226"/>
      <c r="CM170" s="226"/>
      <c r="CN170" s="226"/>
      <c r="CO170" s="226"/>
      <c r="CP170" s="226"/>
      <c r="CQ170" s="226"/>
      <c r="CR170" s="226"/>
      <c r="CS170" s="226"/>
      <c r="CT170" s="226"/>
      <c r="CU170" s="226"/>
      <c r="CV170" s="226"/>
      <c r="CW170" s="226"/>
      <c r="CX170" s="226"/>
      <c r="CY170" s="226"/>
      <c r="CZ170" s="226"/>
      <c r="DA170" s="226"/>
      <c r="DB170" s="226"/>
      <c r="DC170" s="226"/>
      <c r="DD170" s="226"/>
      <c r="DE170" s="226"/>
      <c r="DF170" s="226"/>
      <c r="DG170" s="226"/>
      <c r="DH170" s="226"/>
      <c r="DI170" s="226"/>
      <c r="DJ170" s="226"/>
      <c r="DK170" s="226"/>
      <c r="DL170" s="226"/>
      <c r="DM170" s="226"/>
      <c r="DN170" s="226"/>
      <c r="DO170" s="226"/>
      <c r="DP170" s="226"/>
      <c r="DQ170" s="226"/>
      <c r="DR170" s="226"/>
      <c r="DS170" s="226"/>
      <c r="DT170" s="226"/>
      <c r="DU170" s="226"/>
      <c r="DV170" s="226"/>
      <c r="DW170" s="226"/>
      <c r="DX170" s="226"/>
      <c r="DY170" s="226"/>
      <c r="DZ170" s="226"/>
      <c r="EA170" s="226"/>
      <c r="EB170" s="226"/>
      <c r="EC170" s="226"/>
      <c r="ED170" s="226"/>
      <c r="EE170" s="226"/>
      <c r="EF170" s="226"/>
      <c r="EG170" s="226"/>
      <c r="EH170" s="226"/>
      <c r="EI170" s="226"/>
      <c r="EJ170" s="226"/>
      <c r="EK170" s="226"/>
      <c r="EL170" s="226"/>
      <c r="EM170" s="226"/>
      <c r="EN170" s="226"/>
      <c r="EO170" s="226"/>
      <c r="EP170" s="226"/>
      <c r="EQ170" s="226"/>
      <c r="ER170" s="226"/>
      <c r="ES170" s="226"/>
      <c r="ET170" s="226"/>
      <c r="EU170" s="226"/>
      <c r="EV170" s="226"/>
      <c r="EW170" s="226"/>
      <c r="EX170" s="226"/>
      <c r="EY170" s="226"/>
      <c r="EZ170" s="226"/>
      <c r="FA170" s="226"/>
      <c r="FB170" s="226"/>
      <c r="FC170" s="226"/>
      <c r="FD170" s="226"/>
      <c r="FE170" s="226"/>
      <c r="FF170" s="226"/>
      <c r="FG170" s="226"/>
      <c r="FH170" s="226"/>
      <c r="FI170" s="226"/>
      <c r="FJ170" s="226"/>
      <c r="FK170" s="226"/>
      <c r="FL170" s="226"/>
      <c r="FM170" s="226"/>
      <c r="FN170" s="226"/>
      <c r="FO170" s="226"/>
      <c r="FP170" s="226"/>
      <c r="FQ170" s="226"/>
      <c r="FR170" s="226"/>
      <c r="FS170" s="226"/>
      <c r="FT170" s="226"/>
      <c r="FU170" s="226"/>
      <c r="FV170" s="226"/>
      <c r="FW170" s="226"/>
      <c r="FX170" s="226"/>
      <c r="FY170" s="226"/>
      <c r="FZ170" s="226"/>
      <c r="GA170" s="226"/>
      <c r="GB170" s="226"/>
      <c r="GC170" s="226"/>
      <c r="GD170" s="226"/>
      <c r="GE170" s="226"/>
      <c r="GF170" s="226"/>
      <c r="GG170" s="226"/>
      <c r="GH170" s="226"/>
    </row>
    <row r="171" spans="1:190" s="225" customFormat="1" ht="15.95" customHeight="1">
      <c r="A171" s="139">
        <v>517</v>
      </c>
      <c r="B171" s="202"/>
      <c r="C171" s="197" t="s">
        <v>152</v>
      </c>
      <c r="D171" s="252"/>
      <c r="E171" s="78"/>
      <c r="F171" s="108"/>
      <c r="G171" s="65"/>
      <c r="I171" s="259"/>
      <c r="J171" s="265"/>
      <c r="K171" s="259"/>
      <c r="L171" s="226"/>
      <c r="M171" s="226"/>
      <c r="N171" s="226"/>
      <c r="O171" s="226"/>
      <c r="P171" s="226"/>
      <c r="Q171" s="226"/>
      <c r="R171" s="226"/>
      <c r="S171" s="226"/>
      <c r="T171" s="226"/>
      <c r="U171" s="226"/>
      <c r="V171" s="226"/>
      <c r="W171" s="226"/>
      <c r="X171" s="226"/>
      <c r="Y171" s="226"/>
      <c r="Z171" s="226"/>
      <c r="AA171" s="226"/>
      <c r="AB171" s="226"/>
      <c r="AC171" s="226"/>
      <c r="AD171" s="226"/>
      <c r="AE171" s="226"/>
      <c r="AF171" s="226"/>
      <c r="AG171" s="226"/>
      <c r="AH171" s="226"/>
      <c r="AI171" s="226"/>
      <c r="AJ171" s="226"/>
      <c r="AK171" s="226"/>
      <c r="AL171" s="226"/>
      <c r="AM171" s="226"/>
      <c r="AN171" s="226"/>
      <c r="AO171" s="226"/>
      <c r="AP171" s="226"/>
      <c r="AQ171" s="226"/>
      <c r="AR171" s="226"/>
      <c r="AS171" s="226"/>
      <c r="AT171" s="226"/>
      <c r="AU171" s="226"/>
      <c r="AV171" s="226"/>
      <c r="AW171" s="226"/>
      <c r="AX171" s="226"/>
      <c r="AY171" s="226"/>
      <c r="AZ171" s="226"/>
      <c r="BA171" s="226"/>
      <c r="BB171" s="226"/>
      <c r="BC171" s="226"/>
      <c r="BD171" s="226"/>
      <c r="BE171" s="226"/>
      <c r="BF171" s="226"/>
      <c r="BG171" s="226"/>
      <c r="BH171" s="226"/>
      <c r="BI171" s="226"/>
      <c r="BJ171" s="226"/>
      <c r="BK171" s="226"/>
      <c r="BL171" s="226"/>
      <c r="BM171" s="226"/>
      <c r="BN171" s="226"/>
      <c r="BO171" s="226"/>
      <c r="BP171" s="226"/>
      <c r="BQ171" s="226"/>
      <c r="BR171" s="226"/>
      <c r="BS171" s="226"/>
      <c r="BT171" s="226"/>
      <c r="BU171" s="226"/>
      <c r="BV171" s="226"/>
      <c r="BW171" s="226"/>
      <c r="BX171" s="226"/>
      <c r="BY171" s="226"/>
      <c r="BZ171" s="226"/>
      <c r="CA171" s="226"/>
      <c r="CB171" s="226"/>
      <c r="CC171" s="226"/>
      <c r="CD171" s="226"/>
      <c r="CE171" s="226"/>
      <c r="CF171" s="226"/>
      <c r="CG171" s="226"/>
      <c r="CH171" s="226"/>
      <c r="CI171" s="226"/>
      <c r="CJ171" s="226"/>
      <c r="CK171" s="226"/>
      <c r="CL171" s="226"/>
      <c r="CM171" s="226"/>
      <c r="CN171" s="226"/>
      <c r="CO171" s="226"/>
      <c r="CP171" s="226"/>
      <c r="CQ171" s="226"/>
      <c r="CR171" s="226"/>
      <c r="CS171" s="226"/>
      <c r="CT171" s="226"/>
      <c r="CU171" s="226"/>
      <c r="CV171" s="226"/>
      <c r="CW171" s="226"/>
      <c r="CX171" s="226"/>
      <c r="CY171" s="226"/>
      <c r="CZ171" s="226"/>
      <c r="DA171" s="226"/>
      <c r="DB171" s="226"/>
      <c r="DC171" s="226"/>
      <c r="DD171" s="226"/>
      <c r="DE171" s="226"/>
      <c r="DF171" s="226"/>
      <c r="DG171" s="226"/>
      <c r="DH171" s="226"/>
      <c r="DI171" s="226"/>
      <c r="DJ171" s="226"/>
      <c r="DK171" s="226"/>
      <c r="DL171" s="226"/>
      <c r="DM171" s="226"/>
      <c r="DN171" s="226"/>
      <c r="DO171" s="226"/>
      <c r="DP171" s="226"/>
      <c r="DQ171" s="226"/>
      <c r="DR171" s="226"/>
      <c r="DS171" s="226"/>
      <c r="DT171" s="226"/>
      <c r="DU171" s="226"/>
      <c r="DV171" s="226"/>
      <c r="DW171" s="226"/>
      <c r="DX171" s="226"/>
      <c r="DY171" s="226"/>
      <c r="DZ171" s="226"/>
      <c r="EA171" s="226"/>
      <c r="EB171" s="226"/>
      <c r="EC171" s="226"/>
      <c r="ED171" s="226"/>
      <c r="EE171" s="226"/>
      <c r="EF171" s="226"/>
      <c r="EG171" s="226"/>
      <c r="EH171" s="226"/>
      <c r="EI171" s="226"/>
      <c r="EJ171" s="226"/>
      <c r="EK171" s="226"/>
      <c r="EL171" s="226"/>
      <c r="EM171" s="226"/>
      <c r="EN171" s="226"/>
      <c r="EO171" s="226"/>
      <c r="EP171" s="226"/>
      <c r="EQ171" s="226"/>
      <c r="ER171" s="226"/>
      <c r="ES171" s="226"/>
      <c r="ET171" s="226"/>
      <c r="EU171" s="226"/>
      <c r="EV171" s="226"/>
      <c r="EW171" s="226"/>
      <c r="EX171" s="226"/>
      <c r="EY171" s="226"/>
      <c r="EZ171" s="226"/>
      <c r="FA171" s="226"/>
      <c r="FB171" s="226"/>
      <c r="FC171" s="226"/>
      <c r="FD171" s="226"/>
      <c r="FE171" s="226"/>
      <c r="FF171" s="226"/>
      <c r="FG171" s="226"/>
      <c r="FH171" s="226"/>
      <c r="FI171" s="226"/>
      <c r="FJ171" s="226"/>
      <c r="FK171" s="226"/>
      <c r="FL171" s="226"/>
      <c r="FM171" s="226"/>
      <c r="FN171" s="226"/>
      <c r="FO171" s="226"/>
      <c r="FP171" s="226"/>
      <c r="FQ171" s="226"/>
      <c r="FR171" s="226"/>
      <c r="FS171" s="226"/>
      <c r="FT171" s="226"/>
      <c r="FU171" s="226"/>
      <c r="FV171" s="226"/>
      <c r="FW171" s="226"/>
      <c r="FX171" s="226"/>
      <c r="FY171" s="226"/>
      <c r="FZ171" s="226"/>
      <c r="GA171" s="226"/>
      <c r="GB171" s="226"/>
      <c r="GC171" s="226"/>
      <c r="GD171" s="226"/>
      <c r="GE171" s="226"/>
      <c r="GF171" s="226"/>
      <c r="GG171" s="226"/>
      <c r="GH171" s="226"/>
    </row>
    <row r="172" spans="1:190" s="225" customFormat="1" ht="15.95" customHeight="1">
      <c r="A172" s="143" t="s">
        <v>178</v>
      </c>
      <c r="B172" s="250"/>
      <c r="C172" s="196" t="s">
        <v>409</v>
      </c>
      <c r="D172" s="251" t="s">
        <v>1</v>
      </c>
      <c r="E172" s="82">
        <f>K172</f>
        <v>441</v>
      </c>
      <c r="F172" s="107" t="e">
        <f>#REF!</f>
        <v>#REF!</v>
      </c>
      <c r="G172" s="64" t="e">
        <f>+E172*F172</f>
        <v>#REF!</v>
      </c>
      <c r="I172" s="259">
        <f>G18</f>
        <v>420</v>
      </c>
      <c r="J172" s="265">
        <v>1.05</v>
      </c>
      <c r="K172" s="259">
        <f>I172*J172</f>
        <v>441</v>
      </c>
      <c r="L172" s="226"/>
      <c r="M172" s="226"/>
      <c r="N172" s="226"/>
      <c r="O172" s="226"/>
      <c r="P172" s="226"/>
      <c r="Q172" s="226"/>
      <c r="R172" s="226"/>
      <c r="S172" s="226"/>
      <c r="T172" s="226"/>
      <c r="U172" s="226"/>
      <c r="V172" s="226"/>
      <c r="W172" s="226"/>
      <c r="X172" s="226"/>
      <c r="Y172" s="226"/>
      <c r="Z172" s="226"/>
      <c r="AA172" s="226"/>
      <c r="AB172" s="226"/>
      <c r="AC172" s="226"/>
      <c r="AD172" s="226"/>
      <c r="AE172" s="226"/>
      <c r="AF172" s="226"/>
      <c r="AG172" s="226"/>
      <c r="AH172" s="226"/>
      <c r="AI172" s="226"/>
      <c r="AJ172" s="226"/>
      <c r="AK172" s="226"/>
      <c r="AL172" s="226"/>
      <c r="AM172" s="226"/>
      <c r="AN172" s="226"/>
      <c r="AO172" s="226"/>
      <c r="AP172" s="226"/>
      <c r="AQ172" s="226"/>
      <c r="AR172" s="226"/>
      <c r="AS172" s="226"/>
      <c r="AT172" s="226"/>
      <c r="AU172" s="226"/>
      <c r="AV172" s="226"/>
      <c r="AW172" s="226"/>
      <c r="AX172" s="226"/>
      <c r="AY172" s="226"/>
      <c r="AZ172" s="226"/>
      <c r="BA172" s="226"/>
      <c r="BB172" s="226"/>
      <c r="BC172" s="226"/>
      <c r="BD172" s="226"/>
      <c r="BE172" s="226"/>
      <c r="BF172" s="226"/>
      <c r="BG172" s="226"/>
      <c r="BH172" s="226"/>
      <c r="BI172" s="226"/>
      <c r="BJ172" s="226"/>
      <c r="BK172" s="226"/>
      <c r="BL172" s="226"/>
      <c r="BM172" s="226"/>
      <c r="BN172" s="226"/>
      <c r="BO172" s="226"/>
      <c r="BP172" s="226"/>
      <c r="BQ172" s="226"/>
      <c r="BR172" s="226"/>
      <c r="BS172" s="226"/>
      <c r="BT172" s="226"/>
      <c r="BU172" s="226"/>
      <c r="BV172" s="226"/>
      <c r="BW172" s="226"/>
      <c r="BX172" s="226"/>
      <c r="BY172" s="226"/>
      <c r="BZ172" s="226"/>
      <c r="CA172" s="226"/>
      <c r="CB172" s="226"/>
      <c r="CC172" s="226"/>
      <c r="CD172" s="226"/>
      <c r="CE172" s="226"/>
      <c r="CF172" s="226"/>
      <c r="CG172" s="226"/>
      <c r="CH172" s="226"/>
      <c r="CI172" s="226"/>
      <c r="CJ172" s="226"/>
      <c r="CK172" s="226"/>
      <c r="CL172" s="226"/>
      <c r="CM172" s="226"/>
      <c r="CN172" s="226"/>
      <c r="CO172" s="226"/>
      <c r="CP172" s="226"/>
      <c r="CQ172" s="226"/>
      <c r="CR172" s="226"/>
      <c r="CS172" s="226"/>
      <c r="CT172" s="226"/>
      <c r="CU172" s="226"/>
      <c r="CV172" s="226"/>
      <c r="CW172" s="226"/>
      <c r="CX172" s="226"/>
      <c r="CY172" s="226"/>
      <c r="CZ172" s="226"/>
      <c r="DA172" s="226"/>
      <c r="DB172" s="226"/>
      <c r="DC172" s="226"/>
      <c r="DD172" s="226"/>
      <c r="DE172" s="226"/>
      <c r="DF172" s="226"/>
      <c r="DG172" s="226"/>
      <c r="DH172" s="226"/>
      <c r="DI172" s="226"/>
      <c r="DJ172" s="226"/>
      <c r="DK172" s="226"/>
      <c r="DL172" s="226"/>
      <c r="DM172" s="226"/>
      <c r="DN172" s="226"/>
      <c r="DO172" s="226"/>
      <c r="DP172" s="226"/>
      <c r="DQ172" s="226"/>
      <c r="DR172" s="226"/>
      <c r="DS172" s="226"/>
      <c r="DT172" s="226"/>
      <c r="DU172" s="226"/>
      <c r="DV172" s="226"/>
      <c r="DW172" s="226"/>
      <c r="DX172" s="226"/>
      <c r="DY172" s="226"/>
      <c r="DZ172" s="226"/>
      <c r="EA172" s="226"/>
      <c r="EB172" s="226"/>
      <c r="EC172" s="226"/>
      <c r="ED172" s="226"/>
      <c r="EE172" s="226"/>
      <c r="EF172" s="226"/>
      <c r="EG172" s="226"/>
      <c r="EH172" s="226"/>
      <c r="EI172" s="226"/>
      <c r="EJ172" s="226"/>
      <c r="EK172" s="226"/>
      <c r="EL172" s="226"/>
      <c r="EM172" s="226"/>
      <c r="EN172" s="226"/>
      <c r="EO172" s="226"/>
      <c r="EP172" s="226"/>
      <c r="EQ172" s="226"/>
      <c r="ER172" s="226"/>
      <c r="ES172" s="226"/>
      <c r="ET172" s="226"/>
      <c r="EU172" s="226"/>
      <c r="EV172" s="226"/>
      <c r="EW172" s="226"/>
      <c r="EX172" s="226"/>
      <c r="EY172" s="226"/>
      <c r="EZ172" s="226"/>
      <c r="FA172" s="226"/>
      <c r="FB172" s="226"/>
      <c r="FC172" s="226"/>
      <c r="FD172" s="226"/>
      <c r="FE172" s="226"/>
      <c r="FF172" s="226"/>
      <c r="FG172" s="226"/>
      <c r="FH172" s="226"/>
      <c r="FI172" s="226"/>
      <c r="FJ172" s="226"/>
      <c r="FK172" s="226"/>
      <c r="FL172" s="226"/>
      <c r="FM172" s="226"/>
      <c r="FN172" s="226"/>
      <c r="FO172" s="226"/>
      <c r="FP172" s="226"/>
      <c r="FQ172" s="226"/>
      <c r="FR172" s="226"/>
      <c r="FS172" s="226"/>
      <c r="FT172" s="226"/>
      <c r="FU172" s="226"/>
      <c r="FV172" s="226"/>
      <c r="FW172" s="226"/>
      <c r="FX172" s="226"/>
      <c r="FY172" s="226"/>
      <c r="FZ172" s="226"/>
      <c r="GA172" s="226"/>
      <c r="GB172" s="226"/>
      <c r="GC172" s="226"/>
      <c r="GD172" s="226"/>
      <c r="GE172" s="226"/>
      <c r="GF172" s="226"/>
      <c r="GG172" s="226"/>
      <c r="GH172" s="226"/>
    </row>
    <row r="173" spans="1:190" s="225" customFormat="1" ht="15.95" customHeight="1">
      <c r="A173" s="143" t="s">
        <v>178</v>
      </c>
      <c r="B173" s="250"/>
      <c r="C173" s="196" t="s">
        <v>408</v>
      </c>
      <c r="D173" s="251" t="s">
        <v>1</v>
      </c>
      <c r="E173" s="82">
        <f>K173</f>
        <v>1207.5</v>
      </c>
      <c r="F173" s="107" t="e">
        <f>#REF!</f>
        <v>#REF!</v>
      </c>
      <c r="G173" s="64" t="e">
        <f>+E173*F173</f>
        <v>#REF!</v>
      </c>
      <c r="I173" s="259">
        <f>(1650-500)</f>
        <v>1150</v>
      </c>
      <c r="J173" s="265">
        <v>1.05</v>
      </c>
      <c r="K173" s="259">
        <f>I173*J173</f>
        <v>1207.5</v>
      </c>
      <c r="L173" s="226"/>
      <c r="M173" s="226"/>
      <c r="N173" s="226"/>
      <c r="O173" s="226"/>
      <c r="P173" s="226"/>
      <c r="Q173" s="226"/>
      <c r="R173" s="226"/>
      <c r="S173" s="226"/>
      <c r="T173" s="226"/>
      <c r="U173" s="226"/>
      <c r="V173" s="226"/>
      <c r="W173" s="226"/>
      <c r="X173" s="226"/>
      <c r="Y173" s="226"/>
      <c r="Z173" s="226"/>
      <c r="AA173" s="226"/>
      <c r="AB173" s="226"/>
      <c r="AC173" s="226"/>
      <c r="AD173" s="226"/>
      <c r="AE173" s="226"/>
      <c r="AF173" s="226"/>
      <c r="AG173" s="226"/>
      <c r="AH173" s="226"/>
      <c r="AI173" s="226"/>
      <c r="AJ173" s="226"/>
      <c r="AK173" s="226"/>
      <c r="AL173" s="226"/>
      <c r="AM173" s="226"/>
      <c r="AN173" s="226"/>
      <c r="AO173" s="226"/>
      <c r="AP173" s="226"/>
      <c r="AQ173" s="226"/>
      <c r="AR173" s="226"/>
      <c r="AS173" s="226"/>
      <c r="AT173" s="226"/>
      <c r="AU173" s="226"/>
      <c r="AV173" s="226"/>
      <c r="AW173" s="226"/>
      <c r="AX173" s="226"/>
      <c r="AY173" s="226"/>
      <c r="AZ173" s="226"/>
      <c r="BA173" s="226"/>
      <c r="BB173" s="226"/>
      <c r="BC173" s="226"/>
      <c r="BD173" s="226"/>
      <c r="BE173" s="226"/>
      <c r="BF173" s="226"/>
      <c r="BG173" s="226"/>
      <c r="BH173" s="226"/>
      <c r="BI173" s="226"/>
      <c r="BJ173" s="226"/>
      <c r="BK173" s="226"/>
      <c r="BL173" s="226"/>
      <c r="BM173" s="226"/>
      <c r="BN173" s="226"/>
      <c r="BO173" s="226"/>
      <c r="BP173" s="226"/>
      <c r="BQ173" s="226"/>
      <c r="BR173" s="226"/>
      <c r="BS173" s="226"/>
      <c r="BT173" s="226"/>
      <c r="BU173" s="226"/>
      <c r="BV173" s="226"/>
      <c r="BW173" s="226"/>
      <c r="BX173" s="226"/>
      <c r="BY173" s="226"/>
      <c r="BZ173" s="226"/>
      <c r="CA173" s="226"/>
      <c r="CB173" s="226"/>
      <c r="CC173" s="226"/>
      <c r="CD173" s="226"/>
      <c r="CE173" s="226"/>
      <c r="CF173" s="226"/>
      <c r="CG173" s="226"/>
      <c r="CH173" s="226"/>
      <c r="CI173" s="226"/>
      <c r="CJ173" s="226"/>
      <c r="CK173" s="226"/>
      <c r="CL173" s="226"/>
      <c r="CM173" s="226"/>
      <c r="CN173" s="226"/>
      <c r="CO173" s="226"/>
      <c r="CP173" s="226"/>
      <c r="CQ173" s="226"/>
      <c r="CR173" s="226"/>
      <c r="CS173" s="226"/>
      <c r="CT173" s="226"/>
      <c r="CU173" s="226"/>
      <c r="CV173" s="226"/>
      <c r="CW173" s="226"/>
      <c r="CX173" s="226"/>
      <c r="CY173" s="226"/>
      <c r="CZ173" s="226"/>
      <c r="DA173" s="226"/>
      <c r="DB173" s="226"/>
      <c r="DC173" s="226"/>
      <c r="DD173" s="226"/>
      <c r="DE173" s="226"/>
      <c r="DF173" s="226"/>
      <c r="DG173" s="226"/>
      <c r="DH173" s="226"/>
      <c r="DI173" s="226"/>
      <c r="DJ173" s="226"/>
      <c r="DK173" s="226"/>
      <c r="DL173" s="226"/>
      <c r="DM173" s="226"/>
      <c r="DN173" s="226"/>
      <c r="DO173" s="226"/>
      <c r="DP173" s="226"/>
      <c r="DQ173" s="226"/>
      <c r="DR173" s="226"/>
      <c r="DS173" s="226"/>
      <c r="DT173" s="226"/>
      <c r="DU173" s="226"/>
      <c r="DV173" s="226"/>
      <c r="DW173" s="226"/>
      <c r="DX173" s="226"/>
      <c r="DY173" s="226"/>
      <c r="DZ173" s="226"/>
      <c r="EA173" s="226"/>
      <c r="EB173" s="226"/>
      <c r="EC173" s="226"/>
      <c r="ED173" s="226"/>
      <c r="EE173" s="226"/>
      <c r="EF173" s="226"/>
      <c r="EG173" s="226"/>
      <c r="EH173" s="226"/>
      <c r="EI173" s="226"/>
      <c r="EJ173" s="226"/>
      <c r="EK173" s="226"/>
      <c r="EL173" s="226"/>
      <c r="EM173" s="226"/>
      <c r="EN173" s="226"/>
      <c r="EO173" s="226"/>
      <c r="EP173" s="226"/>
      <c r="EQ173" s="226"/>
      <c r="ER173" s="226"/>
      <c r="ES173" s="226"/>
      <c r="ET173" s="226"/>
      <c r="EU173" s="226"/>
      <c r="EV173" s="226"/>
      <c r="EW173" s="226"/>
      <c r="EX173" s="226"/>
      <c r="EY173" s="226"/>
      <c r="EZ173" s="226"/>
      <c r="FA173" s="226"/>
      <c r="FB173" s="226"/>
      <c r="FC173" s="226"/>
      <c r="FD173" s="226"/>
      <c r="FE173" s="226"/>
      <c r="FF173" s="226"/>
      <c r="FG173" s="226"/>
      <c r="FH173" s="226"/>
      <c r="FI173" s="226"/>
      <c r="FJ173" s="226"/>
      <c r="FK173" s="226"/>
      <c r="FL173" s="226"/>
      <c r="FM173" s="226"/>
      <c r="FN173" s="226"/>
      <c r="FO173" s="226"/>
      <c r="FP173" s="226"/>
      <c r="FQ173" s="226"/>
      <c r="FR173" s="226"/>
      <c r="FS173" s="226"/>
      <c r="FT173" s="226"/>
      <c r="FU173" s="226"/>
      <c r="FV173" s="226"/>
      <c r="FW173" s="226"/>
      <c r="FX173" s="226"/>
      <c r="FY173" s="226"/>
      <c r="FZ173" s="226"/>
      <c r="GA173" s="226"/>
      <c r="GB173" s="226"/>
      <c r="GC173" s="226"/>
      <c r="GD173" s="226"/>
      <c r="GE173" s="226"/>
      <c r="GF173" s="226"/>
      <c r="GG173" s="226"/>
      <c r="GH173" s="226"/>
    </row>
    <row r="174" spans="1:190" s="225" customFormat="1" ht="15.95" customHeight="1">
      <c r="A174" s="143" t="s">
        <v>178</v>
      </c>
      <c r="B174" s="250"/>
      <c r="C174" s="196" t="s">
        <v>411</v>
      </c>
      <c r="D174" s="251" t="s">
        <v>1</v>
      </c>
      <c r="E174" s="82">
        <f>K174</f>
        <v>682.5</v>
      </c>
      <c r="F174" s="107" t="e">
        <f>#REF!</f>
        <v>#REF!</v>
      </c>
      <c r="G174" s="64" t="e">
        <f>+E174*F174</f>
        <v>#REF!</v>
      </c>
      <c r="I174" s="259">
        <f>2300-1650</f>
        <v>650</v>
      </c>
      <c r="J174" s="265">
        <v>1.05</v>
      </c>
      <c r="K174" s="259">
        <f>I174*J174</f>
        <v>682.5</v>
      </c>
      <c r="L174" s="226"/>
      <c r="M174" s="226"/>
      <c r="N174" s="226"/>
      <c r="O174" s="226"/>
      <c r="P174" s="226"/>
      <c r="Q174" s="226"/>
      <c r="R174" s="226"/>
      <c r="S174" s="226"/>
      <c r="T174" s="226"/>
      <c r="U174" s="226"/>
      <c r="V174" s="226"/>
      <c r="W174" s="226"/>
      <c r="X174" s="226"/>
      <c r="Y174" s="226"/>
      <c r="Z174" s="226"/>
      <c r="AA174" s="226"/>
      <c r="AB174" s="226"/>
      <c r="AC174" s="226"/>
      <c r="AD174" s="226"/>
      <c r="AE174" s="226"/>
      <c r="AF174" s="226"/>
      <c r="AG174" s="226"/>
      <c r="AH174" s="226"/>
      <c r="AI174" s="226"/>
      <c r="AJ174" s="226"/>
      <c r="AK174" s="226"/>
      <c r="AL174" s="226"/>
      <c r="AM174" s="226"/>
      <c r="AN174" s="226"/>
      <c r="AO174" s="226"/>
      <c r="AP174" s="226"/>
      <c r="AQ174" s="226"/>
      <c r="AR174" s="226"/>
      <c r="AS174" s="226"/>
      <c r="AT174" s="226"/>
      <c r="AU174" s="226"/>
      <c r="AV174" s="226"/>
      <c r="AW174" s="226"/>
      <c r="AX174" s="226"/>
      <c r="AY174" s="226"/>
      <c r="AZ174" s="226"/>
      <c r="BA174" s="226"/>
      <c r="BB174" s="226"/>
      <c r="BC174" s="226"/>
      <c r="BD174" s="226"/>
      <c r="BE174" s="226"/>
      <c r="BF174" s="226"/>
      <c r="BG174" s="226"/>
      <c r="BH174" s="226"/>
      <c r="BI174" s="226"/>
      <c r="BJ174" s="226"/>
      <c r="BK174" s="226"/>
      <c r="BL174" s="226"/>
      <c r="BM174" s="226"/>
      <c r="BN174" s="226"/>
      <c r="BO174" s="226"/>
      <c r="BP174" s="226"/>
      <c r="BQ174" s="226"/>
      <c r="BR174" s="226"/>
      <c r="BS174" s="226"/>
      <c r="BT174" s="226"/>
      <c r="BU174" s="226"/>
      <c r="BV174" s="226"/>
      <c r="BW174" s="226"/>
      <c r="BX174" s="226"/>
      <c r="BY174" s="226"/>
      <c r="BZ174" s="226"/>
      <c r="CA174" s="226"/>
      <c r="CB174" s="226"/>
      <c r="CC174" s="226"/>
      <c r="CD174" s="226"/>
      <c r="CE174" s="226"/>
      <c r="CF174" s="226"/>
      <c r="CG174" s="226"/>
      <c r="CH174" s="226"/>
      <c r="CI174" s="226"/>
      <c r="CJ174" s="226"/>
      <c r="CK174" s="226"/>
      <c r="CL174" s="226"/>
      <c r="CM174" s="226"/>
      <c r="CN174" s="226"/>
      <c r="CO174" s="226"/>
      <c r="CP174" s="226"/>
      <c r="CQ174" s="226"/>
      <c r="CR174" s="226"/>
      <c r="CS174" s="226"/>
      <c r="CT174" s="226"/>
      <c r="CU174" s="226"/>
      <c r="CV174" s="226"/>
      <c r="CW174" s="226"/>
      <c r="CX174" s="226"/>
      <c r="CY174" s="226"/>
      <c r="CZ174" s="226"/>
      <c r="DA174" s="226"/>
      <c r="DB174" s="226"/>
      <c r="DC174" s="226"/>
      <c r="DD174" s="226"/>
      <c r="DE174" s="226"/>
      <c r="DF174" s="226"/>
      <c r="DG174" s="226"/>
      <c r="DH174" s="226"/>
      <c r="DI174" s="226"/>
      <c r="DJ174" s="226"/>
      <c r="DK174" s="226"/>
      <c r="DL174" s="226"/>
      <c r="DM174" s="226"/>
      <c r="DN174" s="226"/>
      <c r="DO174" s="226"/>
      <c r="DP174" s="226"/>
      <c r="DQ174" s="226"/>
      <c r="DR174" s="226"/>
      <c r="DS174" s="226"/>
      <c r="DT174" s="226"/>
      <c r="DU174" s="226"/>
      <c r="DV174" s="226"/>
      <c r="DW174" s="226"/>
      <c r="DX174" s="226"/>
      <c r="DY174" s="226"/>
      <c r="DZ174" s="226"/>
      <c r="EA174" s="226"/>
      <c r="EB174" s="226"/>
      <c r="EC174" s="226"/>
      <c r="ED174" s="226"/>
      <c r="EE174" s="226"/>
      <c r="EF174" s="226"/>
      <c r="EG174" s="226"/>
      <c r="EH174" s="226"/>
      <c r="EI174" s="226"/>
      <c r="EJ174" s="226"/>
      <c r="EK174" s="226"/>
      <c r="EL174" s="226"/>
      <c r="EM174" s="226"/>
      <c r="EN174" s="226"/>
      <c r="EO174" s="226"/>
      <c r="EP174" s="226"/>
      <c r="EQ174" s="226"/>
      <c r="ER174" s="226"/>
      <c r="ES174" s="226"/>
      <c r="ET174" s="226"/>
      <c r="EU174" s="226"/>
      <c r="EV174" s="226"/>
      <c r="EW174" s="226"/>
      <c r="EX174" s="226"/>
      <c r="EY174" s="226"/>
      <c r="EZ174" s="226"/>
      <c r="FA174" s="226"/>
      <c r="FB174" s="226"/>
      <c r="FC174" s="226"/>
      <c r="FD174" s="226"/>
      <c r="FE174" s="226"/>
      <c r="FF174" s="226"/>
      <c r="FG174" s="226"/>
      <c r="FH174" s="226"/>
      <c r="FI174" s="226"/>
      <c r="FJ174" s="226"/>
      <c r="FK174" s="226"/>
      <c r="FL174" s="226"/>
      <c r="FM174" s="226"/>
      <c r="FN174" s="226"/>
      <c r="FO174" s="226"/>
      <c r="FP174" s="226"/>
      <c r="FQ174" s="226"/>
      <c r="FR174" s="226"/>
      <c r="FS174" s="226"/>
      <c r="FT174" s="226"/>
      <c r="FU174" s="226"/>
      <c r="FV174" s="226"/>
      <c r="FW174" s="226"/>
      <c r="FX174" s="226"/>
      <c r="FY174" s="226"/>
      <c r="FZ174" s="226"/>
      <c r="GA174" s="226"/>
      <c r="GB174" s="226"/>
      <c r="GC174" s="226"/>
      <c r="GD174" s="226"/>
      <c r="GE174" s="226"/>
      <c r="GF174" s="226"/>
      <c r="GG174" s="226"/>
      <c r="GH174" s="226"/>
    </row>
    <row r="175" spans="1:190" s="225" customFormat="1" ht="15.95" customHeight="1">
      <c r="A175" s="143" t="s">
        <v>178</v>
      </c>
      <c r="B175" s="250"/>
      <c r="C175" s="196" t="s">
        <v>412</v>
      </c>
      <c r="D175" s="251" t="s">
        <v>1</v>
      </c>
      <c r="E175" s="82">
        <f>K175</f>
        <v>955.5</v>
      </c>
      <c r="F175" s="107" t="e">
        <f>#REF!</f>
        <v>#REF!</v>
      </c>
      <c r="G175" s="64" t="e">
        <f>+E175*F175</f>
        <v>#REF!</v>
      </c>
      <c r="I175" s="259">
        <f>3210-2300</f>
        <v>910</v>
      </c>
      <c r="J175" s="265">
        <v>1.05</v>
      </c>
      <c r="K175" s="259">
        <f>I175*J175</f>
        <v>955.5</v>
      </c>
      <c r="L175" s="226"/>
      <c r="M175" s="226"/>
      <c r="N175" s="226"/>
      <c r="O175" s="226"/>
      <c r="P175" s="226"/>
      <c r="Q175" s="226"/>
      <c r="R175" s="226"/>
      <c r="S175" s="226"/>
      <c r="T175" s="226"/>
      <c r="U175" s="226"/>
      <c r="V175" s="226"/>
      <c r="W175" s="226"/>
      <c r="X175" s="226"/>
      <c r="Y175" s="226"/>
      <c r="Z175" s="226"/>
      <c r="AA175" s="226"/>
      <c r="AB175" s="226"/>
      <c r="AC175" s="226"/>
      <c r="AD175" s="226"/>
      <c r="AE175" s="226"/>
      <c r="AF175" s="226"/>
      <c r="AG175" s="226"/>
      <c r="AH175" s="226"/>
      <c r="AI175" s="226"/>
      <c r="AJ175" s="226"/>
      <c r="AK175" s="226"/>
      <c r="AL175" s="226"/>
      <c r="AM175" s="226"/>
      <c r="AN175" s="226"/>
      <c r="AO175" s="226"/>
      <c r="AP175" s="226"/>
      <c r="AQ175" s="226"/>
      <c r="AR175" s="226"/>
      <c r="AS175" s="226"/>
      <c r="AT175" s="226"/>
      <c r="AU175" s="226"/>
      <c r="AV175" s="226"/>
      <c r="AW175" s="226"/>
      <c r="AX175" s="226"/>
      <c r="AY175" s="226"/>
      <c r="AZ175" s="226"/>
      <c r="BA175" s="226"/>
      <c r="BB175" s="226"/>
      <c r="BC175" s="226"/>
      <c r="BD175" s="226"/>
      <c r="BE175" s="226"/>
      <c r="BF175" s="226"/>
      <c r="BG175" s="226"/>
      <c r="BH175" s="226"/>
      <c r="BI175" s="226"/>
      <c r="BJ175" s="226"/>
      <c r="BK175" s="226"/>
      <c r="BL175" s="226"/>
      <c r="BM175" s="226"/>
      <c r="BN175" s="226"/>
      <c r="BO175" s="226"/>
      <c r="BP175" s="226"/>
      <c r="BQ175" s="226"/>
      <c r="BR175" s="226"/>
      <c r="BS175" s="226"/>
      <c r="BT175" s="226"/>
      <c r="BU175" s="226"/>
      <c r="BV175" s="226"/>
      <c r="BW175" s="226"/>
      <c r="BX175" s="226"/>
      <c r="BY175" s="226"/>
      <c r="BZ175" s="226"/>
      <c r="CA175" s="226"/>
      <c r="CB175" s="226"/>
      <c r="CC175" s="226"/>
      <c r="CD175" s="226"/>
      <c r="CE175" s="226"/>
      <c r="CF175" s="226"/>
      <c r="CG175" s="226"/>
      <c r="CH175" s="226"/>
      <c r="CI175" s="226"/>
      <c r="CJ175" s="226"/>
      <c r="CK175" s="226"/>
      <c r="CL175" s="226"/>
      <c r="CM175" s="226"/>
      <c r="CN175" s="226"/>
      <c r="CO175" s="226"/>
      <c r="CP175" s="226"/>
      <c r="CQ175" s="226"/>
      <c r="CR175" s="226"/>
      <c r="CS175" s="226"/>
      <c r="CT175" s="226"/>
      <c r="CU175" s="226"/>
      <c r="CV175" s="226"/>
      <c r="CW175" s="226"/>
      <c r="CX175" s="226"/>
      <c r="CY175" s="226"/>
      <c r="CZ175" s="226"/>
      <c r="DA175" s="226"/>
      <c r="DB175" s="226"/>
      <c r="DC175" s="226"/>
      <c r="DD175" s="226"/>
      <c r="DE175" s="226"/>
      <c r="DF175" s="226"/>
      <c r="DG175" s="226"/>
      <c r="DH175" s="226"/>
      <c r="DI175" s="226"/>
      <c r="DJ175" s="226"/>
      <c r="DK175" s="226"/>
      <c r="DL175" s="226"/>
      <c r="DM175" s="226"/>
      <c r="DN175" s="226"/>
      <c r="DO175" s="226"/>
      <c r="DP175" s="226"/>
      <c r="DQ175" s="226"/>
      <c r="DR175" s="226"/>
      <c r="DS175" s="226"/>
      <c r="DT175" s="226"/>
      <c r="DU175" s="226"/>
      <c r="DV175" s="226"/>
      <c r="DW175" s="226"/>
      <c r="DX175" s="226"/>
      <c r="DY175" s="226"/>
      <c r="DZ175" s="226"/>
      <c r="EA175" s="226"/>
      <c r="EB175" s="226"/>
      <c r="EC175" s="226"/>
      <c r="ED175" s="226"/>
      <c r="EE175" s="226"/>
      <c r="EF175" s="226"/>
      <c r="EG175" s="226"/>
      <c r="EH175" s="226"/>
      <c r="EI175" s="226"/>
      <c r="EJ175" s="226"/>
      <c r="EK175" s="226"/>
      <c r="EL175" s="226"/>
      <c r="EM175" s="226"/>
      <c r="EN175" s="226"/>
      <c r="EO175" s="226"/>
      <c r="EP175" s="226"/>
      <c r="EQ175" s="226"/>
      <c r="ER175" s="226"/>
      <c r="ES175" s="226"/>
      <c r="ET175" s="226"/>
      <c r="EU175" s="226"/>
      <c r="EV175" s="226"/>
      <c r="EW175" s="226"/>
      <c r="EX175" s="226"/>
      <c r="EY175" s="226"/>
      <c r="EZ175" s="226"/>
      <c r="FA175" s="226"/>
      <c r="FB175" s="226"/>
      <c r="FC175" s="226"/>
      <c r="FD175" s="226"/>
      <c r="FE175" s="226"/>
      <c r="FF175" s="226"/>
      <c r="FG175" s="226"/>
      <c r="FH175" s="226"/>
      <c r="FI175" s="226"/>
      <c r="FJ175" s="226"/>
      <c r="FK175" s="226"/>
      <c r="FL175" s="226"/>
      <c r="FM175" s="226"/>
      <c r="FN175" s="226"/>
      <c r="FO175" s="226"/>
      <c r="FP175" s="226"/>
      <c r="FQ175" s="226"/>
      <c r="FR175" s="226"/>
      <c r="FS175" s="226"/>
      <c r="FT175" s="226"/>
      <c r="FU175" s="226"/>
      <c r="FV175" s="226"/>
      <c r="FW175" s="226"/>
      <c r="FX175" s="226"/>
      <c r="FY175" s="226"/>
      <c r="FZ175" s="226"/>
      <c r="GA175" s="226"/>
      <c r="GB175" s="226"/>
      <c r="GC175" s="226"/>
      <c r="GD175" s="226"/>
      <c r="GE175" s="226"/>
      <c r="GF175" s="226"/>
      <c r="GG175" s="226"/>
      <c r="GH175" s="226"/>
    </row>
    <row r="176" spans="1:190" s="225" customFormat="1" ht="15.95" customHeight="1">
      <c r="A176" s="139">
        <v>518</v>
      </c>
      <c r="B176" s="202"/>
      <c r="C176" s="43" t="s">
        <v>180</v>
      </c>
      <c r="D176" s="252"/>
      <c r="E176" s="78"/>
      <c r="F176" s="108"/>
      <c r="G176" s="65"/>
      <c r="I176" s="259"/>
      <c r="J176" s="265"/>
      <c r="K176" s="259"/>
      <c r="L176" s="226"/>
      <c r="M176" s="226"/>
      <c r="N176" s="226"/>
      <c r="O176" s="226"/>
      <c r="P176" s="226"/>
      <c r="Q176" s="226"/>
      <c r="R176" s="226"/>
      <c r="S176" s="226"/>
      <c r="T176" s="226"/>
      <c r="U176" s="226"/>
      <c r="V176" s="226"/>
      <c r="W176" s="226"/>
      <c r="X176" s="226"/>
      <c r="Y176" s="226"/>
      <c r="Z176" s="226"/>
      <c r="AA176" s="226"/>
      <c r="AB176" s="226"/>
      <c r="AC176" s="226"/>
      <c r="AD176" s="226"/>
      <c r="AE176" s="226"/>
      <c r="AF176" s="226"/>
      <c r="AG176" s="226"/>
      <c r="AH176" s="226"/>
      <c r="AI176" s="226"/>
      <c r="AJ176" s="226"/>
      <c r="AK176" s="226"/>
      <c r="AL176" s="226"/>
      <c r="AM176" s="226"/>
      <c r="AN176" s="226"/>
      <c r="AO176" s="226"/>
      <c r="AP176" s="226"/>
      <c r="AQ176" s="226"/>
      <c r="AR176" s="226"/>
      <c r="AS176" s="226"/>
      <c r="AT176" s="226"/>
      <c r="AU176" s="226"/>
      <c r="AV176" s="226"/>
      <c r="AW176" s="226"/>
      <c r="AX176" s="226"/>
      <c r="AY176" s="226"/>
      <c r="AZ176" s="226"/>
      <c r="BA176" s="226"/>
      <c r="BB176" s="226"/>
      <c r="BC176" s="226"/>
      <c r="BD176" s="226"/>
      <c r="BE176" s="226"/>
      <c r="BF176" s="226"/>
      <c r="BG176" s="226"/>
      <c r="BH176" s="226"/>
      <c r="BI176" s="226"/>
      <c r="BJ176" s="226"/>
      <c r="BK176" s="226"/>
      <c r="BL176" s="226"/>
      <c r="BM176" s="226"/>
      <c r="BN176" s="226"/>
      <c r="BO176" s="226"/>
      <c r="BP176" s="226"/>
      <c r="BQ176" s="226"/>
      <c r="BR176" s="226"/>
      <c r="BS176" s="226"/>
      <c r="BT176" s="226"/>
      <c r="BU176" s="226"/>
      <c r="BV176" s="226"/>
      <c r="BW176" s="226"/>
      <c r="BX176" s="226"/>
      <c r="BY176" s="226"/>
      <c r="BZ176" s="226"/>
      <c r="CA176" s="226"/>
      <c r="CB176" s="226"/>
      <c r="CC176" s="226"/>
      <c r="CD176" s="226"/>
      <c r="CE176" s="226"/>
      <c r="CF176" s="226"/>
      <c r="CG176" s="226"/>
      <c r="CH176" s="226"/>
      <c r="CI176" s="226"/>
      <c r="CJ176" s="226"/>
      <c r="CK176" s="226"/>
      <c r="CL176" s="226"/>
      <c r="CM176" s="226"/>
      <c r="CN176" s="226"/>
      <c r="CO176" s="226"/>
      <c r="CP176" s="226"/>
      <c r="CQ176" s="226"/>
      <c r="CR176" s="226"/>
      <c r="CS176" s="226"/>
      <c r="CT176" s="226"/>
      <c r="CU176" s="226"/>
      <c r="CV176" s="226"/>
      <c r="CW176" s="226"/>
      <c r="CX176" s="226"/>
      <c r="CY176" s="226"/>
      <c r="CZ176" s="226"/>
      <c r="DA176" s="226"/>
      <c r="DB176" s="226"/>
      <c r="DC176" s="226"/>
      <c r="DD176" s="226"/>
      <c r="DE176" s="226"/>
      <c r="DF176" s="226"/>
      <c r="DG176" s="226"/>
      <c r="DH176" s="226"/>
      <c r="DI176" s="226"/>
      <c r="DJ176" s="226"/>
      <c r="DK176" s="226"/>
      <c r="DL176" s="226"/>
      <c r="DM176" s="226"/>
      <c r="DN176" s="226"/>
      <c r="DO176" s="226"/>
      <c r="DP176" s="226"/>
      <c r="DQ176" s="226"/>
      <c r="DR176" s="226"/>
      <c r="DS176" s="226"/>
      <c r="DT176" s="226"/>
      <c r="DU176" s="226"/>
      <c r="DV176" s="226"/>
      <c r="DW176" s="226"/>
      <c r="DX176" s="226"/>
      <c r="DY176" s="226"/>
      <c r="DZ176" s="226"/>
      <c r="EA176" s="226"/>
      <c r="EB176" s="226"/>
      <c r="EC176" s="226"/>
      <c r="ED176" s="226"/>
      <c r="EE176" s="226"/>
      <c r="EF176" s="226"/>
      <c r="EG176" s="226"/>
      <c r="EH176" s="226"/>
      <c r="EI176" s="226"/>
      <c r="EJ176" s="226"/>
      <c r="EK176" s="226"/>
      <c r="EL176" s="226"/>
      <c r="EM176" s="226"/>
      <c r="EN176" s="226"/>
      <c r="EO176" s="226"/>
      <c r="EP176" s="226"/>
      <c r="EQ176" s="226"/>
      <c r="ER176" s="226"/>
      <c r="ES176" s="226"/>
      <c r="ET176" s="226"/>
      <c r="EU176" s="226"/>
      <c r="EV176" s="226"/>
      <c r="EW176" s="226"/>
      <c r="EX176" s="226"/>
      <c r="EY176" s="226"/>
      <c r="EZ176" s="226"/>
      <c r="FA176" s="226"/>
      <c r="FB176" s="226"/>
      <c r="FC176" s="226"/>
      <c r="FD176" s="226"/>
      <c r="FE176" s="226"/>
      <c r="FF176" s="226"/>
      <c r="FG176" s="226"/>
      <c r="FH176" s="226"/>
      <c r="FI176" s="226"/>
      <c r="FJ176" s="226"/>
      <c r="FK176" s="226"/>
      <c r="FL176" s="226"/>
      <c r="FM176" s="226"/>
      <c r="FN176" s="226"/>
      <c r="FO176" s="226"/>
      <c r="FP176" s="226"/>
      <c r="FQ176" s="226"/>
      <c r="FR176" s="226"/>
      <c r="FS176" s="226"/>
      <c r="FT176" s="226"/>
      <c r="FU176" s="226"/>
      <c r="FV176" s="226"/>
      <c r="FW176" s="226"/>
      <c r="FX176" s="226"/>
      <c r="FY176" s="226"/>
      <c r="FZ176" s="226"/>
      <c r="GA176" s="226"/>
      <c r="GB176" s="226"/>
      <c r="GC176" s="226"/>
      <c r="GD176" s="226"/>
      <c r="GE176" s="226"/>
      <c r="GF176" s="226"/>
      <c r="GG176" s="226"/>
      <c r="GH176" s="226"/>
    </row>
    <row r="177" spans="1:190" s="403" customFormat="1" ht="15.95" customHeight="1">
      <c r="A177" s="425" t="s">
        <v>179</v>
      </c>
      <c r="B177" s="426"/>
      <c r="C177" s="427" t="s">
        <v>181</v>
      </c>
      <c r="D177" s="428" t="s">
        <v>1</v>
      </c>
      <c r="E177" s="323">
        <v>0</v>
      </c>
      <c r="F177" s="324" t="e">
        <f>#REF!</f>
        <v>#REF!</v>
      </c>
      <c r="G177" s="325" t="e">
        <f>+E177*F177</f>
        <v>#REF!</v>
      </c>
      <c r="I177" s="357">
        <f>7*20</f>
        <v>140</v>
      </c>
      <c r="J177" s="382">
        <v>1.05</v>
      </c>
      <c r="K177" s="357">
        <f>I177*J177</f>
        <v>147</v>
      </c>
    </row>
    <row r="178" spans="1:190" s="225" customFormat="1" ht="15.95" customHeight="1">
      <c r="A178" s="36" t="s">
        <v>183</v>
      </c>
      <c r="B178" s="253"/>
      <c r="C178" s="196" t="s">
        <v>182</v>
      </c>
      <c r="D178" s="254" t="s">
        <v>1</v>
      </c>
      <c r="E178" s="82">
        <v>0</v>
      </c>
      <c r="F178" s="107" t="e">
        <f>#REF!</f>
        <v>#REF!</v>
      </c>
      <c r="G178" s="64" t="e">
        <f>+E178*F178</f>
        <v>#REF!</v>
      </c>
      <c r="I178" s="259">
        <f>G8</f>
        <v>1500</v>
      </c>
      <c r="J178" s="265">
        <v>1.05</v>
      </c>
      <c r="K178" s="259">
        <f>I178*J178</f>
        <v>1575</v>
      </c>
      <c r="L178" s="226"/>
      <c r="M178" s="226">
        <f>17500*657</f>
        <v>11497500</v>
      </c>
      <c r="N178" s="226"/>
      <c r="O178" s="226"/>
      <c r="P178" s="226"/>
      <c r="Q178" s="226"/>
      <c r="R178" s="226"/>
      <c r="S178" s="226"/>
      <c r="T178" s="226"/>
      <c r="U178" s="226"/>
      <c r="V178" s="226"/>
      <c r="W178" s="226"/>
      <c r="X178" s="226"/>
      <c r="Y178" s="226"/>
      <c r="Z178" s="226"/>
      <c r="AA178" s="226"/>
      <c r="AB178" s="226"/>
      <c r="AC178" s="226"/>
      <c r="AD178" s="226"/>
      <c r="AE178" s="226"/>
      <c r="AF178" s="226"/>
      <c r="AG178" s="226"/>
      <c r="AH178" s="226"/>
      <c r="AI178" s="226"/>
      <c r="AJ178" s="226"/>
      <c r="AK178" s="226"/>
      <c r="AL178" s="226"/>
      <c r="AM178" s="226"/>
      <c r="AN178" s="226"/>
      <c r="AO178" s="226"/>
      <c r="AP178" s="226"/>
      <c r="AQ178" s="226"/>
      <c r="AR178" s="226"/>
      <c r="AS178" s="226"/>
      <c r="AT178" s="226"/>
      <c r="AU178" s="226"/>
      <c r="AV178" s="226"/>
      <c r="AW178" s="226"/>
      <c r="AX178" s="226"/>
      <c r="AY178" s="226"/>
      <c r="AZ178" s="226"/>
      <c r="BA178" s="226"/>
      <c r="BB178" s="226"/>
      <c r="BC178" s="226"/>
      <c r="BD178" s="226"/>
      <c r="BE178" s="226"/>
      <c r="BF178" s="226"/>
      <c r="BG178" s="226"/>
      <c r="BH178" s="226"/>
      <c r="BI178" s="226"/>
      <c r="BJ178" s="226"/>
      <c r="BK178" s="226"/>
      <c r="BL178" s="226"/>
      <c r="BM178" s="226"/>
      <c r="BN178" s="226"/>
      <c r="BO178" s="226"/>
      <c r="BP178" s="226"/>
      <c r="BQ178" s="226"/>
      <c r="BR178" s="226"/>
      <c r="BS178" s="226"/>
      <c r="BT178" s="226"/>
      <c r="BU178" s="226"/>
      <c r="BV178" s="226"/>
      <c r="BW178" s="226"/>
      <c r="BX178" s="226"/>
      <c r="BY178" s="226"/>
      <c r="BZ178" s="226"/>
      <c r="CA178" s="226"/>
      <c r="CB178" s="226"/>
      <c r="CC178" s="226"/>
      <c r="CD178" s="226"/>
      <c r="CE178" s="226"/>
      <c r="CF178" s="226"/>
      <c r="CG178" s="226"/>
      <c r="CH178" s="226"/>
      <c r="CI178" s="226"/>
      <c r="CJ178" s="226"/>
      <c r="CK178" s="226"/>
      <c r="CL178" s="226"/>
      <c r="CM178" s="226"/>
      <c r="CN178" s="226"/>
      <c r="CO178" s="226"/>
      <c r="CP178" s="226"/>
      <c r="CQ178" s="226"/>
      <c r="CR178" s="226"/>
      <c r="CS178" s="226"/>
      <c r="CT178" s="226"/>
      <c r="CU178" s="226"/>
      <c r="CV178" s="226"/>
      <c r="CW178" s="226"/>
      <c r="CX178" s="226"/>
      <c r="CY178" s="226"/>
      <c r="CZ178" s="226"/>
      <c r="DA178" s="226"/>
      <c r="DB178" s="226"/>
      <c r="DC178" s="226"/>
      <c r="DD178" s="226"/>
      <c r="DE178" s="226"/>
      <c r="DF178" s="226"/>
      <c r="DG178" s="226"/>
      <c r="DH178" s="226"/>
      <c r="DI178" s="226"/>
      <c r="DJ178" s="226"/>
      <c r="DK178" s="226"/>
      <c r="DL178" s="226"/>
      <c r="DM178" s="226"/>
      <c r="DN178" s="226"/>
      <c r="DO178" s="226"/>
      <c r="DP178" s="226"/>
      <c r="DQ178" s="226"/>
      <c r="DR178" s="226"/>
      <c r="DS178" s="226"/>
      <c r="DT178" s="226"/>
      <c r="DU178" s="226"/>
      <c r="DV178" s="226"/>
      <c r="DW178" s="226"/>
      <c r="DX178" s="226"/>
      <c r="DY178" s="226"/>
      <c r="DZ178" s="226"/>
      <c r="EA178" s="226"/>
      <c r="EB178" s="226"/>
      <c r="EC178" s="226"/>
      <c r="ED178" s="226"/>
      <c r="EE178" s="226"/>
      <c r="EF178" s="226"/>
      <c r="EG178" s="226"/>
      <c r="EH178" s="226"/>
      <c r="EI178" s="226"/>
      <c r="EJ178" s="226"/>
      <c r="EK178" s="226"/>
      <c r="EL178" s="226"/>
      <c r="EM178" s="226"/>
      <c r="EN178" s="226"/>
      <c r="EO178" s="226"/>
      <c r="EP178" s="226"/>
      <c r="EQ178" s="226"/>
      <c r="ER178" s="226"/>
      <c r="ES178" s="226"/>
      <c r="ET178" s="226"/>
      <c r="EU178" s="226"/>
      <c r="EV178" s="226"/>
      <c r="EW178" s="226"/>
      <c r="EX178" s="226"/>
      <c r="EY178" s="226"/>
      <c r="EZ178" s="226"/>
      <c r="FA178" s="226"/>
      <c r="FB178" s="226"/>
      <c r="FC178" s="226"/>
      <c r="FD178" s="226"/>
      <c r="FE178" s="226"/>
      <c r="FF178" s="226"/>
      <c r="FG178" s="226"/>
      <c r="FH178" s="226"/>
      <c r="FI178" s="226"/>
      <c r="FJ178" s="226"/>
      <c r="FK178" s="226"/>
      <c r="FL178" s="226"/>
      <c r="FM178" s="226"/>
      <c r="FN178" s="226"/>
      <c r="FO178" s="226"/>
      <c r="FP178" s="226"/>
      <c r="FQ178" s="226"/>
      <c r="FR178" s="226"/>
      <c r="FS178" s="226"/>
      <c r="FT178" s="226"/>
      <c r="FU178" s="226"/>
      <c r="FV178" s="226"/>
      <c r="FW178" s="226"/>
      <c r="FX178" s="226"/>
      <c r="FY178" s="226"/>
      <c r="FZ178" s="226"/>
      <c r="GA178" s="226"/>
      <c r="GB178" s="226"/>
      <c r="GC178" s="226"/>
      <c r="GD178" s="226"/>
      <c r="GE178" s="226"/>
      <c r="GF178" s="226"/>
      <c r="GG178" s="226"/>
      <c r="GH178" s="226"/>
    </row>
    <row r="179" spans="1:190" s="225" customFormat="1" ht="15.95" customHeight="1">
      <c r="A179" s="139">
        <v>523</v>
      </c>
      <c r="B179" s="202"/>
      <c r="C179" s="43" t="s">
        <v>240</v>
      </c>
      <c r="D179" s="252"/>
      <c r="E179" s="78"/>
      <c r="F179" s="108"/>
      <c r="G179" s="65"/>
      <c r="I179" s="259"/>
      <c r="J179" s="265"/>
      <c r="K179" s="259"/>
      <c r="L179" s="226"/>
      <c r="M179" s="226"/>
      <c r="N179" s="226"/>
      <c r="O179" s="226"/>
      <c r="P179" s="226"/>
      <c r="Q179" s="226"/>
      <c r="R179" s="226"/>
      <c r="S179" s="226"/>
      <c r="T179" s="226"/>
      <c r="U179" s="226"/>
      <c r="V179" s="226"/>
      <c r="W179" s="226"/>
      <c r="X179" s="226"/>
      <c r="Y179" s="226"/>
      <c r="Z179" s="226"/>
      <c r="AA179" s="226"/>
      <c r="AB179" s="226"/>
      <c r="AC179" s="226"/>
      <c r="AD179" s="226"/>
      <c r="AE179" s="226"/>
      <c r="AF179" s="226"/>
      <c r="AG179" s="226"/>
      <c r="AH179" s="226"/>
      <c r="AI179" s="226"/>
      <c r="AJ179" s="226"/>
      <c r="AK179" s="226"/>
      <c r="AL179" s="226"/>
      <c r="AM179" s="226"/>
      <c r="AN179" s="226"/>
      <c r="AO179" s="226"/>
      <c r="AP179" s="226"/>
      <c r="AQ179" s="226"/>
      <c r="AR179" s="226"/>
      <c r="AS179" s="226"/>
      <c r="AT179" s="226"/>
      <c r="AU179" s="226"/>
      <c r="AV179" s="226"/>
      <c r="AW179" s="226"/>
      <c r="AX179" s="226"/>
      <c r="AY179" s="226"/>
      <c r="AZ179" s="226"/>
      <c r="BA179" s="226"/>
      <c r="BB179" s="226"/>
      <c r="BC179" s="226"/>
      <c r="BD179" s="226"/>
      <c r="BE179" s="226"/>
      <c r="BF179" s="226"/>
      <c r="BG179" s="226"/>
      <c r="BH179" s="226"/>
      <c r="BI179" s="226"/>
      <c r="BJ179" s="226"/>
      <c r="BK179" s="226"/>
      <c r="BL179" s="226"/>
      <c r="BM179" s="226"/>
      <c r="BN179" s="226"/>
      <c r="BO179" s="226"/>
      <c r="BP179" s="226"/>
      <c r="BQ179" s="226"/>
      <c r="BR179" s="226"/>
      <c r="BS179" s="226"/>
      <c r="BT179" s="226"/>
      <c r="BU179" s="226"/>
      <c r="BV179" s="226"/>
      <c r="BW179" s="226"/>
      <c r="BX179" s="226"/>
      <c r="BY179" s="226"/>
      <c r="BZ179" s="226"/>
      <c r="CA179" s="226"/>
      <c r="CB179" s="226"/>
      <c r="CC179" s="226"/>
      <c r="CD179" s="226"/>
      <c r="CE179" s="226"/>
      <c r="CF179" s="226"/>
      <c r="CG179" s="226"/>
      <c r="CH179" s="226"/>
      <c r="CI179" s="226"/>
      <c r="CJ179" s="226"/>
      <c r="CK179" s="226"/>
      <c r="CL179" s="226"/>
      <c r="CM179" s="226"/>
      <c r="CN179" s="226"/>
      <c r="CO179" s="226"/>
      <c r="CP179" s="226"/>
      <c r="CQ179" s="226"/>
      <c r="CR179" s="226"/>
      <c r="CS179" s="226"/>
      <c r="CT179" s="226"/>
      <c r="CU179" s="226"/>
      <c r="CV179" s="226"/>
      <c r="CW179" s="226"/>
      <c r="CX179" s="226"/>
      <c r="CY179" s="226"/>
      <c r="CZ179" s="226"/>
      <c r="DA179" s="226"/>
      <c r="DB179" s="226"/>
      <c r="DC179" s="226"/>
      <c r="DD179" s="226"/>
      <c r="DE179" s="226"/>
      <c r="DF179" s="226"/>
      <c r="DG179" s="226"/>
      <c r="DH179" s="226"/>
      <c r="DI179" s="226"/>
      <c r="DJ179" s="226"/>
      <c r="DK179" s="226"/>
      <c r="DL179" s="226"/>
      <c r="DM179" s="226"/>
      <c r="DN179" s="226"/>
      <c r="DO179" s="226"/>
      <c r="DP179" s="226"/>
      <c r="DQ179" s="226"/>
      <c r="DR179" s="226"/>
      <c r="DS179" s="226"/>
      <c r="DT179" s="226"/>
      <c r="DU179" s="226"/>
      <c r="DV179" s="226"/>
      <c r="DW179" s="226"/>
      <c r="DX179" s="226"/>
      <c r="DY179" s="226"/>
      <c r="DZ179" s="226"/>
      <c r="EA179" s="226"/>
      <c r="EB179" s="226"/>
      <c r="EC179" s="226"/>
      <c r="ED179" s="226"/>
      <c r="EE179" s="226"/>
      <c r="EF179" s="226"/>
      <c r="EG179" s="226"/>
      <c r="EH179" s="226"/>
      <c r="EI179" s="226"/>
      <c r="EJ179" s="226"/>
      <c r="EK179" s="226"/>
      <c r="EL179" s="226"/>
      <c r="EM179" s="226"/>
      <c r="EN179" s="226"/>
      <c r="EO179" s="226"/>
      <c r="EP179" s="226"/>
      <c r="EQ179" s="226"/>
      <c r="ER179" s="226"/>
      <c r="ES179" s="226"/>
      <c r="ET179" s="226"/>
      <c r="EU179" s="226"/>
      <c r="EV179" s="226"/>
      <c r="EW179" s="226"/>
      <c r="EX179" s="226"/>
      <c r="EY179" s="226"/>
      <c r="EZ179" s="226"/>
      <c r="FA179" s="226"/>
      <c r="FB179" s="226"/>
      <c r="FC179" s="226"/>
      <c r="FD179" s="226"/>
      <c r="FE179" s="226"/>
      <c r="FF179" s="226"/>
      <c r="FG179" s="226"/>
      <c r="FH179" s="226"/>
      <c r="FI179" s="226"/>
      <c r="FJ179" s="226"/>
      <c r="FK179" s="226"/>
      <c r="FL179" s="226"/>
      <c r="FM179" s="226"/>
      <c r="FN179" s="226"/>
      <c r="FO179" s="226"/>
      <c r="FP179" s="226"/>
      <c r="FQ179" s="226"/>
      <c r="FR179" s="226"/>
      <c r="FS179" s="226"/>
      <c r="FT179" s="226"/>
      <c r="FU179" s="226"/>
      <c r="FV179" s="226"/>
      <c r="FW179" s="226"/>
      <c r="FX179" s="226"/>
      <c r="FY179" s="226"/>
      <c r="FZ179" s="226"/>
      <c r="GA179" s="226"/>
      <c r="GB179" s="226"/>
      <c r="GC179" s="226"/>
      <c r="GD179" s="226"/>
      <c r="GE179" s="226"/>
      <c r="GF179" s="226"/>
      <c r="GG179" s="226"/>
      <c r="GH179" s="226"/>
    </row>
    <row r="180" spans="1:190" s="225" customFormat="1" ht="15.95" customHeight="1">
      <c r="A180" s="139" t="s">
        <v>242</v>
      </c>
      <c r="B180" s="202"/>
      <c r="C180" s="271" t="s">
        <v>410</v>
      </c>
      <c r="D180" s="252" t="s">
        <v>27</v>
      </c>
      <c r="E180" s="138">
        <f>I180</f>
        <v>6</v>
      </c>
      <c r="F180" s="108" t="e">
        <f>#REF!</f>
        <v>#REF!</v>
      </c>
      <c r="G180" s="65" t="e">
        <f>+E180*F180</f>
        <v>#REF!</v>
      </c>
      <c r="I180" s="259">
        <f>6</f>
        <v>6</v>
      </c>
      <c r="J180" s="265"/>
      <c r="K180" s="259"/>
      <c r="L180" s="226"/>
      <c r="M180" s="226"/>
      <c r="N180" s="226"/>
      <c r="O180" s="226"/>
      <c r="P180" s="226"/>
      <c r="Q180" s="226"/>
      <c r="R180" s="226"/>
      <c r="S180" s="226"/>
      <c r="T180" s="226"/>
      <c r="U180" s="226"/>
      <c r="V180" s="226"/>
      <c r="W180" s="226"/>
      <c r="X180" s="226"/>
      <c r="Y180" s="226"/>
      <c r="Z180" s="226"/>
      <c r="AA180" s="226"/>
      <c r="AB180" s="226"/>
      <c r="AC180" s="226"/>
      <c r="AD180" s="226"/>
      <c r="AE180" s="226"/>
      <c r="AF180" s="226"/>
      <c r="AG180" s="226"/>
      <c r="AH180" s="226"/>
      <c r="AI180" s="226"/>
      <c r="AJ180" s="226"/>
      <c r="AK180" s="226"/>
      <c r="AL180" s="226"/>
      <c r="AM180" s="226"/>
      <c r="AN180" s="226"/>
      <c r="AO180" s="226"/>
      <c r="AP180" s="226"/>
      <c r="AQ180" s="226"/>
      <c r="AR180" s="226"/>
      <c r="AS180" s="226"/>
      <c r="AT180" s="226"/>
      <c r="AU180" s="226"/>
      <c r="AV180" s="226"/>
      <c r="AW180" s="226"/>
      <c r="AX180" s="226"/>
      <c r="AY180" s="226"/>
      <c r="AZ180" s="226"/>
      <c r="BA180" s="226"/>
      <c r="BB180" s="226"/>
      <c r="BC180" s="226"/>
      <c r="BD180" s="226"/>
      <c r="BE180" s="226"/>
      <c r="BF180" s="226"/>
      <c r="BG180" s="226"/>
      <c r="BH180" s="226"/>
      <c r="BI180" s="226"/>
      <c r="BJ180" s="226"/>
      <c r="BK180" s="226"/>
      <c r="BL180" s="226"/>
      <c r="BM180" s="226"/>
      <c r="BN180" s="226"/>
      <c r="BO180" s="226"/>
      <c r="BP180" s="226"/>
      <c r="BQ180" s="226"/>
      <c r="BR180" s="226"/>
      <c r="BS180" s="226"/>
      <c r="BT180" s="226"/>
      <c r="BU180" s="226"/>
      <c r="BV180" s="226"/>
      <c r="BW180" s="226"/>
      <c r="BX180" s="226"/>
      <c r="BY180" s="226"/>
      <c r="BZ180" s="226"/>
      <c r="CA180" s="226"/>
      <c r="CB180" s="226"/>
      <c r="CC180" s="226"/>
      <c r="CD180" s="226"/>
      <c r="CE180" s="226"/>
      <c r="CF180" s="226"/>
      <c r="CG180" s="226"/>
      <c r="CH180" s="226"/>
      <c r="CI180" s="226"/>
      <c r="CJ180" s="226"/>
      <c r="CK180" s="226"/>
      <c r="CL180" s="226"/>
      <c r="CM180" s="226"/>
      <c r="CN180" s="226"/>
      <c r="CO180" s="226"/>
      <c r="CP180" s="226"/>
      <c r="CQ180" s="226"/>
      <c r="CR180" s="226"/>
      <c r="CS180" s="226"/>
      <c r="CT180" s="226"/>
      <c r="CU180" s="226"/>
      <c r="CV180" s="226"/>
      <c r="CW180" s="226"/>
      <c r="CX180" s="226"/>
      <c r="CY180" s="226"/>
      <c r="CZ180" s="226"/>
      <c r="DA180" s="226"/>
      <c r="DB180" s="226"/>
      <c r="DC180" s="226"/>
      <c r="DD180" s="226"/>
      <c r="DE180" s="226"/>
      <c r="DF180" s="226"/>
      <c r="DG180" s="226"/>
      <c r="DH180" s="226"/>
      <c r="DI180" s="226"/>
      <c r="DJ180" s="226"/>
      <c r="DK180" s="226"/>
      <c r="DL180" s="226"/>
      <c r="DM180" s="226"/>
      <c r="DN180" s="226"/>
      <c r="DO180" s="226"/>
      <c r="DP180" s="226"/>
      <c r="DQ180" s="226"/>
      <c r="DR180" s="226"/>
      <c r="DS180" s="226"/>
      <c r="DT180" s="226"/>
      <c r="DU180" s="226"/>
      <c r="DV180" s="226"/>
      <c r="DW180" s="226"/>
      <c r="DX180" s="226"/>
      <c r="DY180" s="226"/>
      <c r="DZ180" s="226"/>
      <c r="EA180" s="226"/>
      <c r="EB180" s="226"/>
      <c r="EC180" s="226"/>
      <c r="ED180" s="226"/>
      <c r="EE180" s="226"/>
      <c r="EF180" s="226"/>
      <c r="EG180" s="226"/>
      <c r="EH180" s="226"/>
      <c r="EI180" s="226"/>
      <c r="EJ180" s="226"/>
      <c r="EK180" s="226"/>
      <c r="EL180" s="226"/>
      <c r="EM180" s="226"/>
      <c r="EN180" s="226"/>
      <c r="EO180" s="226"/>
      <c r="EP180" s="226"/>
      <c r="EQ180" s="226"/>
      <c r="ER180" s="226"/>
      <c r="ES180" s="226"/>
      <c r="ET180" s="226"/>
      <c r="EU180" s="226"/>
      <c r="EV180" s="226"/>
      <c r="EW180" s="226"/>
      <c r="EX180" s="226"/>
      <c r="EY180" s="226"/>
      <c r="EZ180" s="226"/>
      <c r="FA180" s="226"/>
      <c r="FB180" s="226"/>
      <c r="FC180" s="226"/>
      <c r="FD180" s="226"/>
      <c r="FE180" s="226"/>
      <c r="FF180" s="226"/>
      <c r="FG180" s="226"/>
      <c r="FH180" s="226"/>
      <c r="FI180" s="226"/>
      <c r="FJ180" s="226"/>
      <c r="FK180" s="226"/>
      <c r="FL180" s="226"/>
      <c r="FM180" s="226"/>
      <c r="FN180" s="226"/>
      <c r="FO180" s="226"/>
      <c r="FP180" s="226"/>
      <c r="FQ180" s="226"/>
      <c r="FR180" s="226"/>
      <c r="FS180" s="226"/>
      <c r="FT180" s="226"/>
      <c r="FU180" s="226"/>
      <c r="FV180" s="226"/>
      <c r="FW180" s="226"/>
      <c r="FX180" s="226"/>
      <c r="FY180" s="226"/>
      <c r="FZ180" s="226"/>
      <c r="GA180" s="226"/>
      <c r="GB180" s="226"/>
      <c r="GC180" s="226"/>
      <c r="GD180" s="226"/>
      <c r="GE180" s="226"/>
      <c r="GF180" s="226"/>
      <c r="GG180" s="226"/>
      <c r="GH180" s="226"/>
    </row>
    <row r="181" spans="1:190" s="225" customFormat="1" ht="15.95" customHeight="1">
      <c r="A181" s="36"/>
      <c r="B181" s="253"/>
      <c r="C181" s="196"/>
      <c r="D181" s="254"/>
      <c r="E181" s="82"/>
      <c r="F181" s="107"/>
      <c r="G181" s="64"/>
      <c r="I181" s="259"/>
      <c r="J181" s="271"/>
      <c r="K181" s="259"/>
      <c r="L181" s="226"/>
      <c r="M181" s="226"/>
      <c r="N181" s="226"/>
      <c r="O181" s="226"/>
      <c r="P181" s="226"/>
      <c r="Q181" s="226"/>
      <c r="R181" s="226"/>
      <c r="S181" s="226"/>
      <c r="T181" s="226"/>
      <c r="U181" s="226"/>
      <c r="V181" s="226"/>
      <c r="W181" s="226"/>
      <c r="X181" s="226"/>
      <c r="Y181" s="226"/>
      <c r="Z181" s="226"/>
      <c r="AA181" s="226"/>
      <c r="AB181" s="226"/>
      <c r="AC181" s="226"/>
      <c r="AD181" s="226"/>
      <c r="AE181" s="226"/>
      <c r="AF181" s="226"/>
      <c r="AG181" s="226"/>
      <c r="AH181" s="226"/>
      <c r="AI181" s="226"/>
      <c r="AJ181" s="226"/>
      <c r="AK181" s="226"/>
      <c r="AL181" s="226"/>
      <c r="AM181" s="226"/>
      <c r="AN181" s="226"/>
      <c r="AO181" s="226"/>
      <c r="AP181" s="226"/>
      <c r="AQ181" s="226"/>
      <c r="AR181" s="226"/>
      <c r="AS181" s="226"/>
      <c r="AT181" s="226"/>
      <c r="AU181" s="226"/>
      <c r="AV181" s="226"/>
      <c r="AW181" s="226"/>
      <c r="AX181" s="226"/>
      <c r="AY181" s="226"/>
      <c r="AZ181" s="226"/>
      <c r="BA181" s="226"/>
      <c r="BB181" s="226"/>
      <c r="BC181" s="226"/>
      <c r="BD181" s="226"/>
      <c r="BE181" s="226"/>
      <c r="BF181" s="226"/>
      <c r="BG181" s="226"/>
      <c r="BH181" s="226"/>
      <c r="BI181" s="226"/>
      <c r="BJ181" s="226"/>
      <c r="BK181" s="226"/>
      <c r="BL181" s="226"/>
      <c r="BM181" s="226"/>
      <c r="BN181" s="226"/>
      <c r="BO181" s="226"/>
      <c r="BP181" s="226"/>
      <c r="BQ181" s="226"/>
      <c r="BR181" s="226"/>
      <c r="BS181" s="226"/>
      <c r="BT181" s="226"/>
      <c r="BU181" s="226"/>
      <c r="BV181" s="226"/>
      <c r="BW181" s="226"/>
      <c r="BX181" s="226"/>
      <c r="BY181" s="226"/>
      <c r="BZ181" s="226"/>
      <c r="CA181" s="226"/>
      <c r="CB181" s="226"/>
      <c r="CC181" s="226"/>
      <c r="CD181" s="226"/>
      <c r="CE181" s="226"/>
      <c r="CF181" s="226"/>
      <c r="CG181" s="226"/>
      <c r="CH181" s="226"/>
      <c r="CI181" s="226"/>
      <c r="CJ181" s="226"/>
      <c r="CK181" s="226"/>
      <c r="CL181" s="226"/>
      <c r="CM181" s="226"/>
      <c r="CN181" s="226"/>
      <c r="CO181" s="226"/>
      <c r="CP181" s="226"/>
      <c r="CQ181" s="226"/>
      <c r="CR181" s="226"/>
      <c r="CS181" s="226"/>
      <c r="CT181" s="226"/>
      <c r="CU181" s="226"/>
      <c r="CV181" s="226"/>
      <c r="CW181" s="226"/>
      <c r="CX181" s="226"/>
      <c r="CY181" s="226"/>
      <c r="CZ181" s="226"/>
      <c r="DA181" s="226"/>
      <c r="DB181" s="226"/>
      <c r="DC181" s="226"/>
      <c r="DD181" s="226"/>
      <c r="DE181" s="226"/>
      <c r="DF181" s="226"/>
      <c r="DG181" s="226"/>
      <c r="DH181" s="226"/>
      <c r="DI181" s="226"/>
      <c r="DJ181" s="226"/>
      <c r="DK181" s="226"/>
      <c r="DL181" s="226"/>
      <c r="DM181" s="226"/>
      <c r="DN181" s="226"/>
      <c r="DO181" s="226"/>
      <c r="DP181" s="226"/>
      <c r="DQ181" s="226"/>
      <c r="DR181" s="226"/>
      <c r="DS181" s="226"/>
      <c r="DT181" s="226"/>
      <c r="DU181" s="226"/>
      <c r="DV181" s="226"/>
      <c r="DW181" s="226"/>
      <c r="DX181" s="226"/>
      <c r="DY181" s="226"/>
      <c r="DZ181" s="226"/>
      <c r="EA181" s="226"/>
      <c r="EB181" s="226"/>
      <c r="EC181" s="226"/>
      <c r="ED181" s="226"/>
      <c r="EE181" s="226"/>
      <c r="EF181" s="226"/>
      <c r="EG181" s="226"/>
      <c r="EH181" s="226"/>
      <c r="EI181" s="226"/>
      <c r="EJ181" s="226"/>
      <c r="EK181" s="226"/>
      <c r="EL181" s="226"/>
      <c r="EM181" s="226"/>
      <c r="EN181" s="226"/>
      <c r="EO181" s="226"/>
      <c r="EP181" s="226"/>
      <c r="EQ181" s="226"/>
      <c r="ER181" s="226"/>
      <c r="ES181" s="226"/>
      <c r="ET181" s="226"/>
      <c r="EU181" s="226"/>
      <c r="EV181" s="226"/>
      <c r="EW181" s="226"/>
      <c r="EX181" s="226"/>
      <c r="EY181" s="226"/>
      <c r="EZ181" s="226"/>
      <c r="FA181" s="226"/>
      <c r="FB181" s="226"/>
      <c r="FC181" s="226"/>
      <c r="FD181" s="226"/>
      <c r="FE181" s="226"/>
      <c r="FF181" s="226"/>
      <c r="FG181" s="226"/>
      <c r="FH181" s="226"/>
      <c r="FI181" s="226"/>
      <c r="FJ181" s="226"/>
      <c r="FK181" s="226"/>
      <c r="FL181" s="226"/>
      <c r="FM181" s="226"/>
      <c r="FN181" s="226"/>
      <c r="FO181" s="226"/>
      <c r="FP181" s="226"/>
      <c r="FQ181" s="226"/>
      <c r="FR181" s="226"/>
      <c r="FS181" s="226"/>
      <c r="FT181" s="226"/>
      <c r="FU181" s="226"/>
      <c r="FV181" s="226"/>
      <c r="FW181" s="226"/>
      <c r="FX181" s="226"/>
      <c r="FY181" s="226"/>
      <c r="FZ181" s="226"/>
      <c r="GA181" s="226"/>
      <c r="GB181" s="226"/>
      <c r="GC181" s="226"/>
      <c r="GD181" s="226"/>
      <c r="GE181" s="226"/>
      <c r="GF181" s="226"/>
      <c r="GG181" s="226"/>
      <c r="GH181" s="226"/>
    </row>
    <row r="182" spans="1:190" ht="24.75" customHeight="1">
      <c r="A182" s="194"/>
      <c r="B182" s="195"/>
      <c r="C182" s="239"/>
      <c r="D182" s="95"/>
      <c r="E182" s="92"/>
      <c r="F182" s="93" t="s">
        <v>113</v>
      </c>
      <c r="G182" s="94" t="e">
        <f>SUM(G117:G181)</f>
        <v>#REF!</v>
      </c>
    </row>
    <row r="183" spans="1:190" s="129" customFormat="1" ht="15.95" customHeight="1">
      <c r="A183" s="10"/>
      <c r="B183" s="21"/>
      <c r="C183" s="12"/>
      <c r="D183" s="13"/>
      <c r="E183" s="76"/>
      <c r="F183" s="142"/>
      <c r="G183" s="66"/>
      <c r="H183" s="142"/>
      <c r="I183" s="255"/>
      <c r="J183" s="262"/>
      <c r="K183" s="255"/>
      <c r="M183" s="129">
        <f>17500/22</f>
        <v>795.4545454545455</v>
      </c>
    </row>
    <row r="184" spans="1:190" s="129" customFormat="1" ht="24" customHeight="1">
      <c r="A184" s="1" t="s">
        <v>17</v>
      </c>
      <c r="B184" s="2"/>
      <c r="C184" s="3"/>
      <c r="D184" s="52" t="s">
        <v>98</v>
      </c>
      <c r="E184" s="86" t="s">
        <v>99</v>
      </c>
      <c r="F184" s="241" t="s">
        <v>100</v>
      </c>
      <c r="G184" s="241" t="s">
        <v>114</v>
      </c>
      <c r="H184" s="142"/>
      <c r="I184" s="255"/>
      <c r="J184" s="262"/>
      <c r="K184" s="255"/>
    </row>
    <row r="185" spans="1:190" s="129" customFormat="1" ht="15.95" customHeight="1">
      <c r="A185" s="152" t="s">
        <v>18</v>
      </c>
      <c r="B185" s="42"/>
      <c r="C185" s="125" t="s">
        <v>96</v>
      </c>
      <c r="D185" s="233"/>
      <c r="E185" s="234"/>
      <c r="F185" s="109"/>
      <c r="G185" s="63"/>
      <c r="H185" s="142"/>
      <c r="I185" s="255"/>
      <c r="J185" s="262"/>
      <c r="K185" s="255"/>
    </row>
    <row r="186" spans="1:190" s="129" customFormat="1" ht="15.95" customHeight="1">
      <c r="A186" s="4" t="s">
        <v>192</v>
      </c>
      <c r="B186" s="5"/>
      <c r="C186" s="39" t="s">
        <v>193</v>
      </c>
      <c r="D186" s="235" t="s">
        <v>27</v>
      </c>
      <c r="E186" s="235">
        <f>K186</f>
        <v>548</v>
      </c>
      <c r="F186" s="108" t="e">
        <f>#REF!</f>
        <v>#REF!</v>
      </c>
      <c r="G186" s="65" t="e">
        <f>+E186*F186</f>
        <v>#REF!</v>
      </c>
      <c r="H186" s="142"/>
      <c r="I186" s="255">
        <f>2*(G17+G18+G19)/25</f>
        <v>521.6</v>
      </c>
      <c r="J186" s="262">
        <v>1.05</v>
      </c>
      <c r="K186" s="255">
        <f>ROUND(I186*J186,0)</f>
        <v>548</v>
      </c>
    </row>
    <row r="187" spans="1:190" s="129" customFormat="1" ht="15.95" customHeight="1">
      <c r="A187" s="4" t="s">
        <v>194</v>
      </c>
      <c r="B187" s="5"/>
      <c r="C187" s="39" t="s">
        <v>196</v>
      </c>
      <c r="D187" s="153" t="s">
        <v>27</v>
      </c>
      <c r="E187" s="108">
        <f>E186</f>
        <v>548</v>
      </c>
      <c r="F187" s="108" t="e">
        <f>#REF!</f>
        <v>#REF!</v>
      </c>
      <c r="G187" s="65" t="e">
        <f>+E187*F187</f>
        <v>#REF!</v>
      </c>
      <c r="H187" s="142"/>
      <c r="I187" s="255"/>
      <c r="J187" s="262"/>
      <c r="K187" s="255"/>
    </row>
    <row r="188" spans="1:190" s="129" customFormat="1" ht="15.95" customHeight="1">
      <c r="A188" s="4" t="s">
        <v>195</v>
      </c>
      <c r="B188" s="5"/>
      <c r="C188" s="39" t="s">
        <v>238</v>
      </c>
      <c r="D188" s="153" t="s">
        <v>237</v>
      </c>
      <c r="E188" s="108">
        <f>K188</f>
        <v>0</v>
      </c>
      <c r="F188" s="108" t="e">
        <f>#REF!</f>
        <v>#REF!</v>
      </c>
      <c r="G188" s="65" t="e">
        <f>+E188*F188</f>
        <v>#REF!</v>
      </c>
      <c r="H188" s="142"/>
      <c r="I188" s="268">
        <v>0</v>
      </c>
      <c r="J188" s="269">
        <v>1.05</v>
      </c>
      <c r="K188" s="255">
        <f>ROUND(I188*J188,0)</f>
        <v>0</v>
      </c>
    </row>
    <row r="189" spans="1:190" s="129" customFormat="1" ht="15.95" customHeight="1">
      <c r="A189" s="4" t="s">
        <v>236</v>
      </c>
      <c r="B189" s="30"/>
      <c r="C189" s="49" t="s">
        <v>239</v>
      </c>
      <c r="D189" s="113" t="s">
        <v>266</v>
      </c>
      <c r="E189" s="107">
        <v>1</v>
      </c>
      <c r="F189" s="107" t="e">
        <f>50%*#REF!</f>
        <v>#REF!</v>
      </c>
      <c r="G189" s="64" t="e">
        <f>+E189*F189</f>
        <v>#REF!</v>
      </c>
      <c r="H189" s="142"/>
      <c r="I189" s="255"/>
      <c r="J189" s="262"/>
      <c r="K189" s="255"/>
    </row>
    <row r="190" spans="1:190" s="129" customFormat="1" ht="15.95" customHeight="1">
      <c r="A190" s="152" t="s">
        <v>208</v>
      </c>
      <c r="B190" s="42"/>
      <c r="C190" s="125" t="s">
        <v>154</v>
      </c>
      <c r="D190" s="233"/>
      <c r="E190" s="234"/>
      <c r="F190" s="109"/>
      <c r="G190" s="63"/>
      <c r="H190" s="142"/>
      <c r="I190" s="255"/>
      <c r="J190" s="262"/>
      <c r="K190" s="255"/>
    </row>
    <row r="191" spans="1:190" s="129" customFormat="1" ht="15" customHeight="1">
      <c r="A191" s="4"/>
      <c r="B191" s="5"/>
      <c r="C191" s="39"/>
      <c r="D191" s="235" t="s">
        <v>1</v>
      </c>
      <c r="E191" s="235">
        <f>K191</f>
        <v>6886</v>
      </c>
      <c r="F191" s="108" t="e">
        <f>#REF!</f>
        <v>#REF!</v>
      </c>
      <c r="G191" s="65" t="e">
        <f>+E191*F191</f>
        <v>#REF!</v>
      </c>
      <c r="H191" s="142"/>
      <c r="I191" s="255">
        <f>2*SUM(I172:I175)</f>
        <v>6260</v>
      </c>
      <c r="J191" s="262">
        <v>1.1000000000000001</v>
      </c>
      <c r="K191" s="255">
        <f>ROUND(I191*J191,0)</f>
        <v>6886</v>
      </c>
    </row>
    <row r="192" spans="1:190" ht="15.95" customHeight="1">
      <c r="A192" s="152" t="s">
        <v>339</v>
      </c>
      <c r="B192" s="42"/>
      <c r="C192" s="125" t="s">
        <v>465</v>
      </c>
      <c r="D192" s="233"/>
      <c r="E192" s="234"/>
      <c r="F192" s="109"/>
      <c r="G192" s="63"/>
    </row>
    <row r="193" spans="1:11" ht="15" customHeight="1">
      <c r="A193" s="4"/>
      <c r="B193" s="5"/>
      <c r="C193" s="39"/>
      <c r="D193" s="235" t="s">
        <v>1</v>
      </c>
      <c r="E193" s="235">
        <f>K193</f>
        <v>0</v>
      </c>
      <c r="F193" s="108" t="e">
        <f>#REF!</f>
        <v>#REF!</v>
      </c>
      <c r="G193" s="65" t="e">
        <f>+E193*F193</f>
        <v>#REF!</v>
      </c>
      <c r="I193" s="255">
        <f>2*G17+2*500</f>
        <v>6420</v>
      </c>
      <c r="J193" s="262">
        <v>0</v>
      </c>
      <c r="K193" s="255">
        <f>ROUND(I193*J193,0)</f>
        <v>0</v>
      </c>
    </row>
    <row r="194" spans="1:11" s="129" customFormat="1" ht="15.95" customHeight="1">
      <c r="A194" s="152" t="s">
        <v>209</v>
      </c>
      <c r="B194" s="42"/>
      <c r="C194" s="125" t="s">
        <v>155</v>
      </c>
      <c r="D194" s="233"/>
      <c r="E194" s="234"/>
      <c r="F194" s="109"/>
      <c r="G194" s="63"/>
      <c r="H194" s="142"/>
      <c r="I194" s="255"/>
      <c r="J194" s="262"/>
      <c r="K194" s="255"/>
    </row>
    <row r="195" spans="1:11" s="129" customFormat="1" ht="15.95" customHeight="1">
      <c r="A195" s="46"/>
      <c r="B195" s="5"/>
      <c r="C195" s="27"/>
      <c r="D195" s="160"/>
      <c r="E195" s="213"/>
      <c r="F195" s="108"/>
      <c r="G195" s="65"/>
      <c r="H195" s="142"/>
      <c r="I195" s="255"/>
      <c r="J195" s="262"/>
      <c r="K195" s="255"/>
    </row>
    <row r="196" spans="1:11" s="129" customFormat="1" ht="15" customHeight="1">
      <c r="A196" s="4" t="s">
        <v>268</v>
      </c>
      <c r="B196" s="5"/>
      <c r="C196" s="39" t="s">
        <v>267</v>
      </c>
      <c r="D196" s="235" t="s">
        <v>1</v>
      </c>
      <c r="E196" s="235">
        <f>K196</f>
        <v>6886</v>
      </c>
      <c r="F196" s="108" t="e">
        <f>#REF!</f>
        <v>#REF!</v>
      </c>
      <c r="G196" s="65" t="e">
        <f>+E196*F196</f>
        <v>#REF!</v>
      </c>
      <c r="H196" s="142"/>
      <c r="I196" s="255">
        <f>2*(G17+G18)</f>
        <v>6260</v>
      </c>
      <c r="J196" s="262">
        <v>1.1000000000000001</v>
      </c>
      <c r="K196" s="255">
        <f>ROUND(I196*J196,0)</f>
        <v>6886</v>
      </c>
    </row>
    <row r="197" spans="1:11" s="129" customFormat="1" ht="15" customHeight="1">
      <c r="A197" s="4" t="s">
        <v>270</v>
      </c>
      <c r="B197" s="5"/>
      <c r="C197" s="39" t="s">
        <v>269</v>
      </c>
      <c r="D197" s="281" t="s">
        <v>1</v>
      </c>
      <c r="E197" s="281">
        <f>K197</f>
        <v>0</v>
      </c>
      <c r="F197" s="151" t="e">
        <f>#REF!</f>
        <v>#REF!</v>
      </c>
      <c r="G197" s="65" t="e">
        <f>E197*F197</f>
        <v>#REF!</v>
      </c>
      <c r="H197" s="142"/>
      <c r="I197" s="255">
        <v>0</v>
      </c>
      <c r="J197" s="262">
        <v>1.05</v>
      </c>
      <c r="K197" s="255">
        <f>ROUND(I197*J197,0)</f>
        <v>0</v>
      </c>
    </row>
    <row r="198" spans="1:11" s="129" customFormat="1" ht="15" customHeight="1">
      <c r="A198" s="4" t="s">
        <v>388</v>
      </c>
      <c r="B198" s="5"/>
      <c r="C198" s="39" t="s">
        <v>387</v>
      </c>
      <c r="D198" s="281" t="s">
        <v>1</v>
      </c>
      <c r="E198" s="281">
        <f>K198</f>
        <v>0</v>
      </c>
      <c r="F198" s="151" t="e">
        <f>#REF!</f>
        <v>#REF!</v>
      </c>
      <c r="G198" s="65" t="e">
        <f>E198*F198</f>
        <v>#REF!</v>
      </c>
      <c r="H198" s="142"/>
      <c r="I198" s="255">
        <v>0</v>
      </c>
      <c r="J198" s="262">
        <v>1.1000000000000001</v>
      </c>
      <c r="K198" s="255">
        <f>ROUND(I198*J198,0)</f>
        <v>0</v>
      </c>
    </row>
    <row r="199" spans="1:11" s="129" customFormat="1" ht="15" customHeight="1">
      <c r="A199" s="4"/>
      <c r="B199" s="5"/>
      <c r="C199" s="39"/>
      <c r="D199" s="281"/>
      <c r="E199" s="281"/>
      <c r="F199" s="151"/>
      <c r="G199" s="65"/>
      <c r="H199" s="142"/>
      <c r="I199" s="255"/>
      <c r="J199" s="262"/>
      <c r="K199" s="255"/>
    </row>
    <row r="200" spans="1:11" s="129" customFormat="1" ht="15.95" customHeight="1">
      <c r="A200" s="232">
        <v>604</v>
      </c>
      <c r="B200" s="42"/>
      <c r="C200" s="43" t="s">
        <v>164</v>
      </c>
      <c r="D200" s="133"/>
      <c r="E200" s="133"/>
      <c r="F200" s="133"/>
      <c r="G200" s="109"/>
      <c r="H200" s="142"/>
      <c r="I200" s="255"/>
      <c r="J200" s="262"/>
      <c r="K200" s="255"/>
    </row>
    <row r="201" spans="1:11" s="129" customFormat="1" ht="15.95" customHeight="1">
      <c r="A201" s="47" t="s">
        <v>224</v>
      </c>
      <c r="B201" s="21"/>
      <c r="C201" s="123" t="s">
        <v>223</v>
      </c>
      <c r="D201" s="261" t="s">
        <v>27</v>
      </c>
      <c r="E201" s="151">
        <f>K201</f>
        <v>63</v>
      </c>
      <c r="F201" s="151" t="e">
        <f>#REF!</f>
        <v>#REF!</v>
      </c>
      <c r="G201" s="108" t="e">
        <f>+E201*F201</f>
        <v>#REF!</v>
      </c>
      <c r="H201" s="142"/>
      <c r="I201" s="255">
        <f>60</f>
        <v>60</v>
      </c>
      <c r="J201" s="262">
        <v>1.05</v>
      </c>
      <c r="K201" s="255">
        <f>ROUND(I201*J201,0)</f>
        <v>63</v>
      </c>
    </row>
    <row r="202" spans="1:11" s="129" customFormat="1" ht="15.95" customHeight="1">
      <c r="A202" s="260" t="s">
        <v>225</v>
      </c>
      <c r="B202" s="15"/>
      <c r="C202" s="24" t="s">
        <v>226</v>
      </c>
      <c r="D202" s="154" t="s">
        <v>27</v>
      </c>
      <c r="E202" s="134">
        <f>K202</f>
        <v>11</v>
      </c>
      <c r="F202" s="134" t="e">
        <f>#REF!</f>
        <v>#REF!</v>
      </c>
      <c r="G202" s="107" t="e">
        <f>+E202*F202</f>
        <v>#REF!</v>
      </c>
      <c r="H202" s="142"/>
      <c r="I202" s="255">
        <v>10</v>
      </c>
      <c r="J202" s="262">
        <v>1.05</v>
      </c>
      <c r="K202" s="255">
        <f>ROUND(I202*J202,0)</f>
        <v>11</v>
      </c>
    </row>
    <row r="203" spans="1:11" s="129" customFormat="1" ht="15.95" customHeight="1">
      <c r="A203" s="47">
        <v>605</v>
      </c>
      <c r="B203" s="5"/>
      <c r="C203" s="26" t="s">
        <v>156</v>
      </c>
      <c r="D203" s="151"/>
      <c r="E203" s="151"/>
      <c r="F203" s="151"/>
      <c r="G203" s="109"/>
      <c r="H203" s="142"/>
      <c r="I203" s="255"/>
      <c r="J203" s="262"/>
      <c r="K203" s="255"/>
    </row>
    <row r="204" spans="1:11" s="199" customFormat="1" ht="15.95" customHeight="1">
      <c r="A204" s="353"/>
      <c r="B204" s="343"/>
      <c r="C204" s="354"/>
      <c r="D204" s="355" t="s">
        <v>385</v>
      </c>
      <c r="E204" s="356">
        <f>K204</f>
        <v>0</v>
      </c>
      <c r="F204" s="356" t="e">
        <f>#REF!</f>
        <v>#REF!</v>
      </c>
      <c r="G204" s="322" t="e">
        <f>+E204*F204</f>
        <v>#REF!</v>
      </c>
      <c r="H204" s="198"/>
      <c r="I204" s="256">
        <v>0</v>
      </c>
      <c r="J204" s="330">
        <v>1.05</v>
      </c>
      <c r="K204" s="256">
        <f>ROUND(I204*J204,0)</f>
        <v>0</v>
      </c>
    </row>
    <row r="205" spans="1:11" s="129" customFormat="1" ht="27" customHeight="1">
      <c r="A205" s="47">
        <v>605</v>
      </c>
      <c r="B205" s="5"/>
      <c r="C205" s="27" t="s">
        <v>386</v>
      </c>
      <c r="D205" s="151"/>
      <c r="E205" s="151"/>
      <c r="F205" s="151"/>
      <c r="G205" s="109"/>
      <c r="H205" s="142"/>
      <c r="I205" s="255"/>
      <c r="J205" s="262"/>
      <c r="K205" s="255"/>
    </row>
    <row r="206" spans="1:11" s="129" customFormat="1" ht="15.95" customHeight="1">
      <c r="A206" s="61"/>
      <c r="B206" s="15"/>
      <c r="C206" s="24"/>
      <c r="D206" s="191" t="s">
        <v>292</v>
      </c>
      <c r="E206" s="134">
        <f>K206</f>
        <v>0</v>
      </c>
      <c r="F206" s="134" t="e">
        <f>#REF!</f>
        <v>#REF!</v>
      </c>
      <c r="G206" s="107" t="e">
        <f>+E206*F206</f>
        <v>#REF!</v>
      </c>
      <c r="H206" s="142"/>
      <c r="I206" s="262">
        <v>2</v>
      </c>
      <c r="J206" s="262">
        <v>1</v>
      </c>
      <c r="K206" s="255"/>
    </row>
    <row r="207" spans="1:11" s="129" customFormat="1" ht="24.75" customHeight="1">
      <c r="A207" s="142"/>
      <c r="B207" s="142"/>
      <c r="C207" s="142"/>
      <c r="D207" s="95"/>
      <c r="E207" s="92"/>
      <c r="F207" s="93" t="s">
        <v>112</v>
      </c>
      <c r="G207" s="94" t="e">
        <f>SUM(G185:G206)</f>
        <v>#REF!</v>
      </c>
      <c r="H207" s="142"/>
      <c r="I207" s="142"/>
      <c r="J207" s="262"/>
      <c r="K207" s="255"/>
    </row>
    <row r="208" spans="1:11" s="129" customFormat="1" ht="12" customHeight="1">
      <c r="A208" s="142"/>
      <c r="B208" s="142"/>
      <c r="C208" s="142"/>
      <c r="D208" s="142"/>
      <c r="E208" s="75"/>
      <c r="F208" s="62"/>
      <c r="G208" s="62"/>
      <c r="H208" s="142"/>
      <c r="I208" s="255"/>
      <c r="J208" s="262"/>
      <c r="K208" s="255"/>
    </row>
    <row r="209" spans="1:11" s="129" customFormat="1" ht="25.5" customHeight="1">
      <c r="A209" s="142"/>
      <c r="B209" s="142"/>
      <c r="C209" s="142"/>
      <c r="D209" s="95"/>
      <c r="E209" s="92"/>
      <c r="F209" s="93" t="s">
        <v>395</v>
      </c>
      <c r="G209" s="96" t="e">
        <f>+G76+G96+G114+G182+G207</f>
        <v>#REF!</v>
      </c>
      <c r="H209" s="142"/>
      <c r="I209" s="255"/>
      <c r="J209" s="142"/>
      <c r="K209" s="255"/>
    </row>
    <row r="211" spans="1:11" s="129" customFormat="1" ht="24.75" customHeight="1">
      <c r="A211" s="1" t="s">
        <v>115</v>
      </c>
      <c r="B211" s="2"/>
      <c r="C211" s="33"/>
      <c r="D211" s="52" t="s">
        <v>98</v>
      </c>
      <c r="E211" s="70" t="s">
        <v>99</v>
      </c>
      <c r="F211" s="241" t="s">
        <v>100</v>
      </c>
      <c r="G211" s="241" t="s">
        <v>116</v>
      </c>
      <c r="H211" s="142"/>
      <c r="I211" s="255"/>
      <c r="J211" s="262"/>
      <c r="K211" s="255"/>
    </row>
    <row r="212" spans="1:11" s="129" customFormat="1" ht="15.95" customHeight="1">
      <c r="A212" s="29" t="s">
        <v>117</v>
      </c>
      <c r="B212" s="5"/>
      <c r="C212" s="27" t="s">
        <v>118</v>
      </c>
      <c r="D212" s="34"/>
      <c r="E212" s="109"/>
      <c r="F212" s="109"/>
      <c r="G212" s="63"/>
      <c r="H212" s="142"/>
      <c r="I212" s="255"/>
      <c r="J212" s="262"/>
      <c r="K212" s="255"/>
    </row>
    <row r="213" spans="1:11" s="129" customFormat="1" ht="15.95" customHeight="1">
      <c r="A213" s="22"/>
      <c r="B213" s="30"/>
      <c r="C213" s="31"/>
      <c r="D213" s="32" t="s">
        <v>119</v>
      </c>
      <c r="E213" s="113">
        <v>0</v>
      </c>
      <c r="F213" s="113">
        <v>200000000</v>
      </c>
      <c r="G213" s="64">
        <f>+E213*F213</f>
        <v>0</v>
      </c>
      <c r="H213" s="142"/>
      <c r="I213" s="255"/>
      <c r="J213" s="262"/>
      <c r="K213" s="255"/>
    </row>
    <row r="214" spans="1:11" s="129" customFormat="1" ht="15.95" customHeight="1">
      <c r="A214" s="29" t="s">
        <v>120</v>
      </c>
      <c r="B214" s="5"/>
      <c r="C214" s="6" t="s">
        <v>121</v>
      </c>
      <c r="D214" s="7"/>
      <c r="E214" s="108"/>
      <c r="F214" s="108"/>
      <c r="G214" s="65"/>
      <c r="H214" s="142"/>
      <c r="I214" s="255"/>
      <c r="J214" s="262"/>
      <c r="K214" s="255"/>
    </row>
    <row r="215" spans="1:11" s="129" customFormat="1" ht="15.95" customHeight="1">
      <c r="A215" s="22"/>
      <c r="B215" s="30"/>
      <c r="C215" s="31"/>
      <c r="D215" s="32" t="s">
        <v>119</v>
      </c>
      <c r="E215" s="113">
        <v>0</v>
      </c>
      <c r="F215" s="113">
        <v>400000000</v>
      </c>
      <c r="G215" s="64">
        <f>+E215*F215</f>
        <v>0</v>
      </c>
      <c r="H215" s="142"/>
      <c r="I215" s="255"/>
      <c r="J215" s="262"/>
      <c r="K215" s="255"/>
    </row>
    <row r="216" spans="1:11" s="129" customFormat="1" ht="23.25" customHeight="1">
      <c r="A216" s="110"/>
      <c r="B216" s="5"/>
      <c r="C216" s="27"/>
      <c r="D216" s="95"/>
      <c r="E216" s="92"/>
      <c r="F216" s="93" t="s">
        <v>122</v>
      </c>
      <c r="G216" s="94">
        <f>SUM(G213:G215)</f>
        <v>0</v>
      </c>
      <c r="H216" s="142"/>
      <c r="I216" s="255"/>
      <c r="J216" s="262"/>
      <c r="K216" s="255"/>
    </row>
    <row r="218" spans="1:11" s="129" customFormat="1" ht="25.5" customHeight="1">
      <c r="A218" s="142"/>
      <c r="B218" s="142"/>
      <c r="C218" s="142"/>
      <c r="D218" s="95"/>
      <c r="E218" s="92"/>
      <c r="F218" s="93" t="s">
        <v>394</v>
      </c>
      <c r="G218" s="96" t="e">
        <f>G216+G209+G47</f>
        <v>#REF!</v>
      </c>
      <c r="H218" s="142"/>
      <c r="I218" s="255"/>
      <c r="J218" s="262"/>
      <c r="K218" s="255"/>
    </row>
    <row r="229" spans="1:7" ht="19.5">
      <c r="A229" s="90"/>
      <c r="E229" s="62"/>
      <c r="F229" s="62"/>
      <c r="G229" s="99"/>
    </row>
    <row r="230" spans="1:7" ht="26.25">
      <c r="B230" s="97"/>
      <c r="C230" s="1859"/>
      <c r="D230" s="1859"/>
      <c r="E230" s="1859"/>
      <c r="F230" s="1859"/>
      <c r="G230" s="1859"/>
    </row>
  </sheetData>
  <mergeCells count="3">
    <mergeCell ref="A2:G2"/>
    <mergeCell ref="C230:G230"/>
    <mergeCell ref="I12:I15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  <rowBreaks count="4" manualBreakCount="4">
    <brk id="48" min="6" max="6" man="1"/>
    <brk id="96" max="6" man="1"/>
    <brk id="141" max="6" man="1"/>
    <brk id="187" max="6" man="1"/>
  </rowBreaks>
  <colBreaks count="1" manualBreakCount="1">
    <brk id="7" max="1048575" man="1"/>
  </colBreaks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F00"/>
  </sheetPr>
  <dimension ref="A1:I40"/>
  <sheetViews>
    <sheetView workbookViewId="0"/>
  </sheetViews>
  <sheetFormatPr baseColWidth="10" defaultColWidth="9.140625" defaultRowHeight="15"/>
  <cols>
    <col min="1" max="1" width="8.42578125" style="142" customWidth="1"/>
    <col min="2" max="2" width="4.42578125" style="142" customWidth="1"/>
    <col min="3" max="3" width="68.42578125" style="142" customWidth="1"/>
    <col min="4" max="4" width="10.85546875" style="142" customWidth="1"/>
    <col min="5" max="5" width="15.42578125" style="142" customWidth="1"/>
    <col min="6" max="6" width="17.140625" style="142" customWidth="1"/>
    <col min="7" max="7" width="26.140625" style="142" customWidth="1"/>
    <col min="8" max="8" width="17.28515625" style="142" customWidth="1"/>
    <col min="9" max="9" width="25.7109375" style="142" customWidth="1"/>
    <col min="10" max="16384" width="9.140625" style="142"/>
  </cols>
  <sheetData>
    <row r="1" spans="1:9" ht="20.25" thickBot="1">
      <c r="A1" s="90" t="s">
        <v>105</v>
      </c>
      <c r="G1" s="62"/>
      <c r="H1" s="62"/>
      <c r="I1" s="99"/>
    </row>
    <row r="2" spans="1:9" ht="25.5" thickBot="1">
      <c r="A2" s="1860" t="s">
        <v>468</v>
      </c>
      <c r="B2" s="1861"/>
      <c r="C2" s="1861"/>
      <c r="D2" s="1861"/>
      <c r="E2" s="1861"/>
      <c r="F2" s="1861"/>
      <c r="G2" s="1862"/>
      <c r="H2" s="135"/>
      <c r="I2" s="135"/>
    </row>
    <row r="4" spans="1:9">
      <c r="F4" s="99" t="s">
        <v>177</v>
      </c>
      <c r="G4" s="136">
        <f>'AAn et AAc'!E108</f>
        <v>127810.32</v>
      </c>
    </row>
    <row r="5" spans="1:9">
      <c r="F5" s="99" t="s">
        <v>176</v>
      </c>
      <c r="G5" s="136">
        <f>'AAn et AAc'!E109</f>
        <v>68870.340000000011</v>
      </c>
    </row>
    <row r="6" spans="1:9">
      <c r="F6" s="99" t="s">
        <v>198</v>
      </c>
      <c r="G6" s="136">
        <f>'AAn et AAc'!E112</f>
        <v>5962.0000000000009</v>
      </c>
    </row>
    <row r="7" spans="1:9">
      <c r="F7" s="99" t="s">
        <v>197</v>
      </c>
      <c r="G7" s="136">
        <f>'AAn et AAc'!E111</f>
        <v>26360.400000000001</v>
      </c>
    </row>
    <row r="8" spans="1:9">
      <c r="F8" s="99" t="s">
        <v>277</v>
      </c>
      <c r="G8" s="136">
        <f>'AAn et AAc'!E113</f>
        <v>26360.400000000001</v>
      </c>
    </row>
    <row r="9" spans="1:9" ht="22.5" customHeight="1">
      <c r="A9" s="1" t="s">
        <v>166</v>
      </c>
      <c r="B9" s="2"/>
      <c r="C9" s="3"/>
      <c r="D9" s="52" t="s">
        <v>98</v>
      </c>
      <c r="E9" s="70" t="s">
        <v>99</v>
      </c>
      <c r="F9" s="71" t="s">
        <v>100</v>
      </c>
      <c r="G9" s="71" t="s">
        <v>114</v>
      </c>
    </row>
    <row r="10" spans="1:9" ht="15.75">
      <c r="A10" s="4" t="s">
        <v>0</v>
      </c>
      <c r="B10" s="5"/>
      <c r="C10" s="6" t="s">
        <v>168</v>
      </c>
      <c r="D10" s="158"/>
      <c r="E10" s="159"/>
      <c r="F10" s="160"/>
      <c r="G10" s="161"/>
    </row>
    <row r="11" spans="1:9" ht="15.75">
      <c r="A11" s="4" t="s">
        <v>167</v>
      </c>
      <c r="B11" s="5"/>
      <c r="C11" s="12" t="s">
        <v>171</v>
      </c>
      <c r="D11" s="162" t="s">
        <v>94</v>
      </c>
      <c r="E11" s="163">
        <f>G4</f>
        <v>127810.32</v>
      </c>
      <c r="F11" s="164">
        <f>'[3]BPU préf'!E8</f>
        <v>11000</v>
      </c>
      <c r="G11" s="164">
        <f>E11*F11</f>
        <v>1405913520</v>
      </c>
    </row>
    <row r="12" spans="1:9" ht="15.75">
      <c r="A12" s="22" t="s">
        <v>169</v>
      </c>
      <c r="B12" s="30"/>
      <c r="C12" s="24" t="s">
        <v>170</v>
      </c>
      <c r="D12" s="165" t="s">
        <v>94</v>
      </c>
      <c r="E12" s="166">
        <f>G5</f>
        <v>68870.340000000011</v>
      </c>
      <c r="F12" s="167">
        <f>'[3]BPU préf'!E9</f>
        <v>9300</v>
      </c>
      <c r="G12" s="167">
        <f>E12*F12</f>
        <v>640494162.00000012</v>
      </c>
    </row>
    <row r="13" spans="1:9" ht="18.75">
      <c r="A13" s="110"/>
      <c r="B13" s="5"/>
      <c r="C13" s="12"/>
      <c r="D13" s="95"/>
      <c r="E13" s="92"/>
      <c r="F13" s="93" t="s">
        <v>106</v>
      </c>
      <c r="G13" s="94">
        <f>SUM(G11:G12)</f>
        <v>2046407682</v>
      </c>
    </row>
    <row r="14" spans="1:9" ht="15.75">
      <c r="A14" s="10"/>
      <c r="B14" s="11"/>
      <c r="C14" s="12"/>
      <c r="D14" s="51"/>
      <c r="E14" s="12"/>
      <c r="F14" s="51"/>
      <c r="G14" s="121"/>
    </row>
    <row r="15" spans="1:9" ht="22.5" customHeight="1">
      <c r="A15" s="1" t="s">
        <v>175</v>
      </c>
      <c r="B15" s="2"/>
      <c r="C15" s="3"/>
      <c r="D15" s="52" t="s">
        <v>98</v>
      </c>
      <c r="E15" s="70" t="s">
        <v>99</v>
      </c>
      <c r="F15" s="71" t="s">
        <v>100</v>
      </c>
      <c r="G15" s="71" t="s">
        <v>114</v>
      </c>
    </row>
    <row r="16" spans="1:9" ht="15.75">
      <c r="A16" s="41">
        <v>201</v>
      </c>
      <c r="B16" s="42"/>
      <c r="C16" s="43" t="s">
        <v>199</v>
      </c>
      <c r="D16" s="170" t="s">
        <v>1</v>
      </c>
      <c r="E16" s="171">
        <f>G7</f>
        <v>26360.400000000001</v>
      </c>
      <c r="F16" s="172">
        <f>'[3]BPU préf'!E12</f>
        <v>7514</v>
      </c>
      <c r="G16" s="173">
        <f>E16*F16</f>
        <v>198072045.60000002</v>
      </c>
    </row>
    <row r="17" spans="1:7" ht="15.75">
      <c r="A17" s="17">
        <v>202</v>
      </c>
      <c r="B17" s="5"/>
      <c r="C17" s="26" t="s">
        <v>200</v>
      </c>
      <c r="D17" s="272" t="s">
        <v>1</v>
      </c>
      <c r="E17" s="273">
        <f>+G6</f>
        <v>5962.0000000000009</v>
      </c>
      <c r="F17" s="274">
        <f>'[3]BPU préf'!E13</f>
        <v>5700</v>
      </c>
      <c r="G17" s="164">
        <f>E17*F17</f>
        <v>33983400.000000007</v>
      </c>
    </row>
    <row r="18" spans="1:7" ht="15.75">
      <c r="A18" s="36">
        <v>203</v>
      </c>
      <c r="B18" s="30"/>
      <c r="C18" s="169" t="s">
        <v>246</v>
      </c>
      <c r="D18" s="168" t="s">
        <v>1</v>
      </c>
      <c r="E18" s="174">
        <f>G8</f>
        <v>26360.400000000001</v>
      </c>
      <c r="F18" s="147">
        <f>'BPU préf'!E16</f>
        <v>6315</v>
      </c>
      <c r="G18" s="167">
        <f>E18*F18</f>
        <v>166465926</v>
      </c>
    </row>
    <row r="19" spans="1:7" ht="18.75">
      <c r="A19" s="10"/>
      <c r="B19" s="21"/>
      <c r="C19" s="12"/>
      <c r="D19" s="157"/>
      <c r="E19" s="130"/>
      <c r="F19" s="131" t="s">
        <v>111</v>
      </c>
      <c r="G19" s="132">
        <f>SUM(G16:G18)</f>
        <v>398521371.60000002</v>
      </c>
    </row>
    <row r="21" spans="1:7" ht="25.5" customHeight="1">
      <c r="D21" s="95"/>
      <c r="E21" s="92"/>
      <c r="F21" s="93" t="s">
        <v>172</v>
      </c>
      <c r="G21" s="94">
        <f>+G13+G19</f>
        <v>2444929053.5999999</v>
      </c>
    </row>
    <row r="40" spans="3:3">
      <c r="C40" s="149"/>
    </row>
  </sheetData>
  <mergeCells count="1">
    <mergeCell ref="A2:G2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FF00"/>
  </sheetPr>
  <dimension ref="B1:F7"/>
  <sheetViews>
    <sheetView workbookViewId="0"/>
  </sheetViews>
  <sheetFormatPr baseColWidth="10" defaultColWidth="9.140625" defaultRowHeight="15"/>
  <cols>
    <col min="1" max="1" width="9.140625" style="142"/>
    <col min="2" max="2" width="5.42578125" style="142" customWidth="1"/>
    <col min="3" max="3" width="20.28515625" style="142" customWidth="1"/>
    <col min="4" max="4" width="30.7109375" style="142" customWidth="1"/>
    <col min="5" max="5" width="16.7109375" style="142" customWidth="1"/>
    <col min="6" max="10" width="9.140625" style="142"/>
    <col min="11" max="11" width="20.5703125" style="142" customWidth="1"/>
    <col min="12" max="16384" width="9.140625" style="142"/>
  </cols>
  <sheetData>
    <row r="1" spans="2:6" ht="19.5">
      <c r="B1" s="90" t="s">
        <v>469</v>
      </c>
    </row>
    <row r="2" spans="2:6" ht="15.75" thickBot="1"/>
    <row r="3" spans="2:6" ht="19.5" thickBot="1">
      <c r="C3" s="243" t="s">
        <v>217</v>
      </c>
      <c r="D3" s="326" t="s">
        <v>291</v>
      </c>
      <c r="E3" s="302" t="s">
        <v>232</v>
      </c>
      <c r="F3" s="100"/>
    </row>
    <row r="4" spans="2:6" ht="19.5" thickBot="1">
      <c r="C4" s="245"/>
      <c r="D4" s="327" t="s">
        <v>103</v>
      </c>
      <c r="E4" s="303" t="s">
        <v>231</v>
      </c>
    </row>
    <row r="5" spans="2:6">
      <c r="C5" s="246" t="s">
        <v>215</v>
      </c>
      <c r="D5" s="101" t="e">
        <f>'AAn et AAc'!G218</f>
        <v>#REF!</v>
      </c>
      <c r="E5" s="266" t="e">
        <f>D5/656</f>
        <v>#REF!</v>
      </c>
    </row>
    <row r="6" spans="2:6" ht="15.75" thickBot="1">
      <c r="C6" s="246" t="s">
        <v>216</v>
      </c>
      <c r="D6" s="101">
        <f>'Préf AAn et AAc'!G21</f>
        <v>2444929053.5999999</v>
      </c>
      <c r="E6" s="266">
        <f>D6/656</f>
        <v>3727025.9963414632</v>
      </c>
    </row>
    <row r="7" spans="2:6" ht="19.5" thickBot="1">
      <c r="C7" s="104" t="s">
        <v>218</v>
      </c>
      <c r="D7" s="105" t="e">
        <f>SUM(D5:D6)</f>
        <v>#REF!</v>
      </c>
      <c r="E7" s="267" t="e">
        <f>D7/656</f>
        <v>#REF!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1" tint="4.9989318521683403E-2"/>
  </sheetPr>
  <dimension ref="B1:F7"/>
  <sheetViews>
    <sheetView workbookViewId="0">
      <selection activeCell="C5" sqref="C5"/>
    </sheetView>
  </sheetViews>
  <sheetFormatPr baseColWidth="10" defaultColWidth="9.140625" defaultRowHeight="15"/>
  <cols>
    <col min="1" max="1" width="9.140625" style="142"/>
    <col min="2" max="2" width="5.42578125" style="142" customWidth="1"/>
    <col min="3" max="3" width="26.85546875" style="142" customWidth="1"/>
    <col min="4" max="4" width="30.7109375" style="142" customWidth="1"/>
    <col min="5" max="5" width="16.7109375" style="142" customWidth="1"/>
    <col min="6" max="10" width="9.140625" style="142"/>
    <col min="11" max="11" width="20.5703125" style="142" customWidth="1"/>
    <col min="12" max="16384" width="9.140625" style="142"/>
  </cols>
  <sheetData>
    <row r="1" spans="2:6" ht="19.5">
      <c r="B1" s="90" t="s">
        <v>396</v>
      </c>
    </row>
    <row r="3" spans="2:6" s="225" customFormat="1" ht="18.75">
      <c r="C3" s="1872" t="s">
        <v>217</v>
      </c>
      <c r="D3" s="509" t="s">
        <v>291</v>
      </c>
      <c r="E3" s="509" t="s">
        <v>232</v>
      </c>
      <c r="F3" s="521"/>
    </row>
    <row r="4" spans="2:6" s="225" customFormat="1" ht="18.75">
      <c r="C4" s="1873"/>
      <c r="D4" s="509" t="s">
        <v>607</v>
      </c>
      <c r="E4" s="509" t="s">
        <v>231</v>
      </c>
    </row>
    <row r="5" spans="2:6">
      <c r="C5" s="379" t="s">
        <v>737</v>
      </c>
      <c r="D5" s="101" t="e">
        <f>#REF!</f>
        <v>#REF!</v>
      </c>
      <c r="E5" s="101" t="e">
        <f>D5/656</f>
        <v>#REF!</v>
      </c>
    </row>
    <row r="6" spans="2:6">
      <c r="C6" s="379"/>
      <c r="D6" s="101"/>
      <c r="E6" s="101"/>
    </row>
    <row r="7" spans="2:6" ht="18.75">
      <c r="C7" s="380" t="s">
        <v>218</v>
      </c>
      <c r="D7" s="377" t="e">
        <f>SUM(D5:D6)</f>
        <v>#REF!</v>
      </c>
      <c r="E7" s="378" t="e">
        <f>D7/656</f>
        <v>#REF!</v>
      </c>
    </row>
  </sheetData>
  <mergeCells count="1">
    <mergeCell ref="C3:C4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7030A0"/>
  </sheetPr>
  <dimension ref="A1:GG193"/>
  <sheetViews>
    <sheetView workbookViewId="0">
      <selection activeCell="G12" sqref="G12"/>
    </sheetView>
  </sheetViews>
  <sheetFormatPr baseColWidth="10" defaultColWidth="9.140625" defaultRowHeight="15"/>
  <cols>
    <col min="1" max="1" width="14.7109375" style="421" customWidth="1"/>
    <col min="2" max="2" width="79.140625" style="142" customWidth="1"/>
    <col min="3" max="3" width="11" style="476" customWidth="1"/>
    <col min="4" max="4" width="14.85546875" style="142" customWidth="1"/>
    <col min="5" max="5" width="20" style="374" customWidth="1"/>
    <col min="6" max="6" width="32.85546875" style="142" customWidth="1"/>
    <col min="7" max="7" width="9.140625" style="142"/>
    <col min="8" max="8" width="16" style="255" bestFit="1" customWidth="1"/>
    <col min="9" max="9" width="10.7109375" style="262" customWidth="1"/>
    <col min="10" max="10" width="16" style="255" bestFit="1" customWidth="1"/>
    <col min="11" max="11" width="9.140625" style="129"/>
    <col min="12" max="12" width="9.28515625" style="129" bestFit="1" customWidth="1"/>
    <col min="13" max="189" width="9.140625" style="129"/>
    <col min="190" max="16384" width="9.140625" style="142"/>
  </cols>
  <sheetData>
    <row r="1" spans="1:189" ht="20.25" thickBot="1">
      <c r="A1" s="434" t="s">
        <v>184</v>
      </c>
      <c r="D1" s="62"/>
      <c r="E1" s="593"/>
      <c r="F1" s="99"/>
    </row>
    <row r="2" spans="1:189" ht="25.5" thickBot="1">
      <c r="A2" s="1856" t="s">
        <v>283</v>
      </c>
      <c r="B2" s="1857"/>
      <c r="C2" s="1857"/>
      <c r="D2" s="1857"/>
      <c r="E2" s="1857"/>
      <c r="F2" s="1858"/>
      <c r="G2" s="119"/>
    </row>
    <row r="3" spans="1:189" s="198" customFormat="1" ht="24.75">
      <c r="A3" s="446"/>
      <c r="B3" s="381"/>
      <c r="C3" s="381"/>
      <c r="D3" s="381"/>
      <c r="E3" s="610" t="s">
        <v>586</v>
      </c>
      <c r="F3" s="340">
        <v>450</v>
      </c>
      <c r="G3" s="119"/>
      <c r="H3" s="256"/>
      <c r="I3" s="330"/>
      <c r="J3" s="256"/>
      <c r="K3" s="199"/>
      <c r="L3" s="199"/>
      <c r="M3" s="199"/>
      <c r="N3" s="199"/>
      <c r="O3" s="199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199"/>
      <c r="AC3" s="199"/>
      <c r="AD3" s="199"/>
      <c r="AE3" s="199"/>
      <c r="AF3" s="199"/>
      <c r="AG3" s="199"/>
      <c r="AH3" s="199"/>
      <c r="AI3" s="199"/>
      <c r="AJ3" s="199"/>
      <c r="AK3" s="199"/>
      <c r="AL3" s="199"/>
      <c r="AM3" s="199"/>
      <c r="AN3" s="199"/>
      <c r="AO3" s="199"/>
      <c r="AP3" s="199"/>
      <c r="AQ3" s="199"/>
      <c r="AR3" s="199"/>
      <c r="AS3" s="199"/>
      <c r="AT3" s="199"/>
      <c r="AU3" s="199"/>
      <c r="AV3" s="199"/>
      <c r="AW3" s="199"/>
      <c r="AX3" s="199"/>
      <c r="AY3" s="199"/>
      <c r="AZ3" s="199"/>
      <c r="BA3" s="199"/>
      <c r="BB3" s="199"/>
      <c r="BC3" s="199"/>
      <c r="BD3" s="199"/>
      <c r="BE3" s="199"/>
      <c r="BF3" s="199"/>
      <c r="BG3" s="199"/>
      <c r="BH3" s="199"/>
      <c r="BI3" s="199"/>
      <c r="BJ3" s="199"/>
      <c r="BK3" s="199"/>
      <c r="BL3" s="199"/>
      <c r="BM3" s="199"/>
      <c r="BN3" s="199"/>
      <c r="BO3" s="199"/>
      <c r="BP3" s="199"/>
      <c r="BQ3" s="199"/>
      <c r="BR3" s="199"/>
      <c r="BS3" s="199"/>
      <c r="BT3" s="199"/>
      <c r="BU3" s="199"/>
      <c r="BV3" s="199"/>
      <c r="BW3" s="199"/>
      <c r="BX3" s="199"/>
      <c r="BY3" s="199"/>
      <c r="BZ3" s="199"/>
      <c r="CA3" s="199"/>
      <c r="CB3" s="199"/>
      <c r="CC3" s="199"/>
      <c r="CD3" s="199"/>
      <c r="CE3" s="199"/>
      <c r="CF3" s="199"/>
      <c r="CG3" s="199"/>
      <c r="CH3" s="199"/>
      <c r="CI3" s="199"/>
      <c r="CJ3" s="199"/>
      <c r="CK3" s="199"/>
      <c r="CL3" s="199"/>
      <c r="CM3" s="199"/>
      <c r="CN3" s="199"/>
      <c r="CO3" s="199"/>
      <c r="CP3" s="199"/>
      <c r="CQ3" s="199"/>
      <c r="CR3" s="199"/>
      <c r="CS3" s="199"/>
      <c r="CT3" s="199"/>
      <c r="CU3" s="199"/>
      <c r="CV3" s="199"/>
      <c r="CW3" s="199"/>
      <c r="CX3" s="199"/>
      <c r="CY3" s="199"/>
      <c r="CZ3" s="199"/>
      <c r="DA3" s="199"/>
      <c r="DB3" s="199"/>
      <c r="DC3" s="199"/>
      <c r="DD3" s="199"/>
      <c r="DE3" s="199"/>
      <c r="DF3" s="199"/>
      <c r="DG3" s="199"/>
      <c r="DH3" s="199"/>
      <c r="DI3" s="199"/>
      <c r="DJ3" s="199"/>
      <c r="DK3" s="199"/>
      <c r="DL3" s="199"/>
      <c r="DM3" s="199"/>
      <c r="DN3" s="199"/>
      <c r="DO3" s="199"/>
      <c r="DP3" s="199"/>
      <c r="DQ3" s="199"/>
      <c r="DR3" s="199"/>
      <c r="DS3" s="199"/>
      <c r="DT3" s="199"/>
      <c r="DU3" s="199"/>
      <c r="DV3" s="199"/>
      <c r="DW3" s="199"/>
      <c r="DX3" s="199"/>
      <c r="DY3" s="199"/>
      <c r="DZ3" s="199"/>
      <c r="EA3" s="199"/>
      <c r="EB3" s="199"/>
      <c r="EC3" s="199"/>
      <c r="ED3" s="199"/>
      <c r="EE3" s="199"/>
      <c r="EF3" s="199"/>
      <c r="EG3" s="199"/>
      <c r="EH3" s="199"/>
      <c r="EI3" s="199"/>
      <c r="EJ3" s="199"/>
      <c r="EK3" s="199"/>
      <c r="EL3" s="199"/>
      <c r="EM3" s="199"/>
      <c r="EN3" s="199"/>
      <c r="EO3" s="199"/>
      <c r="EP3" s="199"/>
      <c r="EQ3" s="199"/>
      <c r="ER3" s="199"/>
      <c r="ES3" s="199"/>
      <c r="ET3" s="199"/>
      <c r="EU3" s="199"/>
      <c r="EV3" s="199"/>
      <c r="EW3" s="199"/>
      <c r="EX3" s="199"/>
      <c r="EY3" s="199"/>
      <c r="EZ3" s="199"/>
      <c r="FA3" s="199"/>
      <c r="FB3" s="199"/>
      <c r="FC3" s="199"/>
      <c r="FD3" s="199"/>
      <c r="FE3" s="199"/>
      <c r="FF3" s="199"/>
      <c r="FG3" s="199"/>
      <c r="FH3" s="199"/>
      <c r="FI3" s="199"/>
      <c r="FJ3" s="199"/>
      <c r="FK3" s="199"/>
      <c r="FL3" s="199"/>
      <c r="FM3" s="199"/>
      <c r="FN3" s="199"/>
      <c r="FO3" s="199"/>
      <c r="FP3" s="199"/>
      <c r="FQ3" s="199"/>
      <c r="FR3" s="199"/>
      <c r="FS3" s="199"/>
      <c r="FT3" s="199"/>
      <c r="FU3" s="199"/>
      <c r="FV3" s="199"/>
      <c r="FW3" s="199"/>
      <c r="FX3" s="199"/>
      <c r="FY3" s="199"/>
      <c r="FZ3" s="199"/>
      <c r="GA3" s="199"/>
      <c r="GB3" s="199"/>
      <c r="GC3" s="199"/>
      <c r="GD3" s="199"/>
      <c r="GE3" s="199"/>
      <c r="GF3" s="199"/>
      <c r="GG3" s="199"/>
    </row>
    <row r="4" spans="1:189" s="198" customFormat="1" ht="24.75">
      <c r="A4" s="446"/>
      <c r="B4" s="381"/>
      <c r="C4" s="381"/>
      <c r="D4" s="381"/>
      <c r="E4" s="610" t="s">
        <v>587</v>
      </c>
      <c r="F4" s="340">
        <f>938-F3</f>
        <v>488</v>
      </c>
      <c r="G4" s="119"/>
      <c r="H4" s="256"/>
      <c r="I4" s="330"/>
      <c r="J4" s="256"/>
      <c r="K4" s="199"/>
      <c r="L4" s="199"/>
      <c r="M4" s="199"/>
      <c r="N4" s="199"/>
      <c r="O4" s="199"/>
      <c r="P4" s="199"/>
      <c r="Q4" s="199"/>
      <c r="R4" s="199"/>
      <c r="S4" s="199"/>
      <c r="T4" s="199"/>
      <c r="U4" s="199"/>
      <c r="V4" s="199"/>
      <c r="W4" s="199"/>
      <c r="X4" s="199"/>
      <c r="Y4" s="199"/>
      <c r="Z4" s="199"/>
      <c r="AA4" s="199"/>
      <c r="AB4" s="199"/>
      <c r="AC4" s="199"/>
      <c r="AD4" s="199"/>
      <c r="AE4" s="199"/>
      <c r="AF4" s="199"/>
      <c r="AG4" s="199"/>
      <c r="AH4" s="199"/>
      <c r="AI4" s="199"/>
      <c r="AJ4" s="199"/>
      <c r="AK4" s="199"/>
      <c r="AL4" s="199"/>
      <c r="AM4" s="199"/>
      <c r="AN4" s="199"/>
      <c r="AO4" s="199"/>
      <c r="AP4" s="199"/>
      <c r="AQ4" s="199"/>
      <c r="AR4" s="199"/>
      <c r="AS4" s="199"/>
      <c r="AT4" s="199"/>
      <c r="AU4" s="199"/>
      <c r="AV4" s="199"/>
      <c r="AW4" s="199"/>
      <c r="AX4" s="199"/>
      <c r="AY4" s="199"/>
      <c r="AZ4" s="199"/>
      <c r="BA4" s="199"/>
      <c r="BB4" s="199"/>
      <c r="BC4" s="199"/>
      <c r="BD4" s="199"/>
      <c r="BE4" s="199"/>
      <c r="BF4" s="199"/>
      <c r="BG4" s="199"/>
      <c r="BH4" s="199"/>
      <c r="BI4" s="199"/>
      <c r="BJ4" s="199"/>
      <c r="BK4" s="199"/>
      <c r="BL4" s="199"/>
      <c r="BM4" s="199"/>
      <c r="BN4" s="199"/>
      <c r="BO4" s="199"/>
      <c r="BP4" s="199"/>
      <c r="BQ4" s="199"/>
      <c r="BR4" s="199"/>
      <c r="BS4" s="199"/>
      <c r="BT4" s="199"/>
      <c r="BU4" s="199"/>
      <c r="BV4" s="199"/>
      <c r="BW4" s="199"/>
      <c r="BX4" s="199"/>
      <c r="BY4" s="199"/>
      <c r="BZ4" s="199"/>
      <c r="CA4" s="199"/>
      <c r="CB4" s="199"/>
      <c r="CC4" s="199"/>
      <c r="CD4" s="199"/>
      <c r="CE4" s="199"/>
      <c r="CF4" s="199"/>
      <c r="CG4" s="199"/>
      <c r="CH4" s="199"/>
      <c r="CI4" s="199"/>
      <c r="CJ4" s="199"/>
      <c r="CK4" s="199"/>
      <c r="CL4" s="199"/>
      <c r="CM4" s="199"/>
      <c r="CN4" s="199"/>
      <c r="CO4" s="199"/>
      <c r="CP4" s="199"/>
      <c r="CQ4" s="199"/>
      <c r="CR4" s="199"/>
      <c r="CS4" s="199"/>
      <c r="CT4" s="199"/>
      <c r="CU4" s="199"/>
      <c r="CV4" s="199"/>
      <c r="CW4" s="199"/>
      <c r="CX4" s="199"/>
      <c r="CY4" s="199"/>
      <c r="CZ4" s="199"/>
      <c r="DA4" s="199"/>
      <c r="DB4" s="199"/>
      <c r="DC4" s="199"/>
      <c r="DD4" s="199"/>
      <c r="DE4" s="199"/>
      <c r="DF4" s="199"/>
      <c r="DG4" s="199"/>
      <c r="DH4" s="199"/>
      <c r="DI4" s="199"/>
      <c r="DJ4" s="199"/>
      <c r="DK4" s="199"/>
      <c r="DL4" s="199"/>
      <c r="DM4" s="199"/>
      <c r="DN4" s="199"/>
      <c r="DO4" s="199"/>
      <c r="DP4" s="199"/>
      <c r="DQ4" s="199"/>
      <c r="DR4" s="199"/>
      <c r="DS4" s="199"/>
      <c r="DT4" s="199"/>
      <c r="DU4" s="199"/>
      <c r="DV4" s="199"/>
      <c r="DW4" s="199"/>
      <c r="DX4" s="199"/>
      <c r="DY4" s="199"/>
      <c r="DZ4" s="199"/>
      <c r="EA4" s="199"/>
      <c r="EB4" s="199"/>
      <c r="EC4" s="199"/>
      <c r="ED4" s="199"/>
      <c r="EE4" s="199"/>
      <c r="EF4" s="199"/>
      <c r="EG4" s="199"/>
      <c r="EH4" s="199"/>
      <c r="EI4" s="199"/>
      <c r="EJ4" s="199"/>
      <c r="EK4" s="199"/>
      <c r="EL4" s="199"/>
      <c r="EM4" s="199"/>
      <c r="EN4" s="199"/>
      <c r="EO4" s="199"/>
      <c r="EP4" s="199"/>
      <c r="EQ4" s="199"/>
      <c r="ER4" s="199"/>
      <c r="ES4" s="199"/>
      <c r="ET4" s="199"/>
      <c r="EU4" s="199"/>
      <c r="EV4" s="199"/>
      <c r="EW4" s="199"/>
      <c r="EX4" s="199"/>
      <c r="EY4" s="199"/>
      <c r="EZ4" s="199"/>
      <c r="FA4" s="199"/>
      <c r="FB4" s="199"/>
      <c r="FC4" s="199"/>
      <c r="FD4" s="199"/>
      <c r="FE4" s="199"/>
      <c r="FF4" s="199"/>
      <c r="FG4" s="199"/>
      <c r="FH4" s="199"/>
      <c r="FI4" s="199"/>
      <c r="FJ4" s="199"/>
      <c r="FK4" s="199"/>
      <c r="FL4" s="199"/>
      <c r="FM4" s="199"/>
      <c r="FN4" s="199"/>
      <c r="FO4" s="199"/>
      <c r="FP4" s="199"/>
      <c r="FQ4" s="199"/>
      <c r="FR4" s="199"/>
      <c r="FS4" s="199"/>
      <c r="FT4" s="199"/>
      <c r="FU4" s="199"/>
      <c r="FV4" s="199"/>
      <c r="FW4" s="199"/>
      <c r="FX4" s="199"/>
      <c r="FY4" s="199"/>
      <c r="FZ4" s="199"/>
      <c r="GA4" s="199"/>
      <c r="GB4" s="199"/>
      <c r="GC4" s="199"/>
      <c r="GD4" s="199"/>
      <c r="GE4" s="199"/>
      <c r="GF4" s="199"/>
      <c r="GG4" s="199"/>
    </row>
    <row r="5" spans="1:189" ht="19.5">
      <c r="A5" s="434"/>
      <c r="C5" s="541"/>
      <c r="D5" s="534"/>
      <c r="E5" s="594" t="s">
        <v>500</v>
      </c>
      <c r="F5" s="534">
        <f>SUM(F3:F4)</f>
        <v>938</v>
      </c>
    </row>
    <row r="6" spans="1:189" ht="15" customHeight="1">
      <c r="A6" s="106"/>
      <c r="C6" s="541"/>
      <c r="D6" s="534"/>
      <c r="E6" s="594"/>
      <c r="F6" s="144">
        <f>SUM(F3:F4)</f>
        <v>938</v>
      </c>
      <c r="G6" s="89"/>
      <c r="H6" s="255" t="s">
        <v>186</v>
      </c>
      <c r="I6" s="262" t="s">
        <v>187</v>
      </c>
      <c r="J6" s="255" t="s">
        <v>188</v>
      </c>
    </row>
    <row r="7" spans="1:189" ht="24.75" customHeight="1">
      <c r="A7" s="436" t="s">
        <v>20</v>
      </c>
      <c r="B7" s="33"/>
      <c r="C7" s="52" t="s">
        <v>98</v>
      </c>
      <c r="D7" s="70" t="s">
        <v>99</v>
      </c>
      <c r="E7" s="596" t="s">
        <v>100</v>
      </c>
      <c r="F7" s="241" t="s">
        <v>114</v>
      </c>
    </row>
    <row r="8" spans="1:189" ht="25.5">
      <c r="A8" s="437" t="s">
        <v>22</v>
      </c>
      <c r="B8" s="27" t="s">
        <v>21</v>
      </c>
      <c r="C8" s="569"/>
      <c r="D8" s="210"/>
      <c r="E8" s="577"/>
      <c r="F8" s="204"/>
    </row>
    <row r="9" spans="1:189" ht="15.75">
      <c r="A9" s="36"/>
      <c r="B9" s="31"/>
      <c r="C9" s="32" t="s">
        <v>19</v>
      </c>
      <c r="D9" s="237">
        <v>1</v>
      </c>
      <c r="E9" s="611" t="e">
        <f>J9</f>
        <v>#REF!</v>
      </c>
      <c r="F9" s="208" t="e">
        <f>+D9*E9</f>
        <v>#REF!</v>
      </c>
      <c r="H9" s="255" t="e">
        <f>10%*F172</f>
        <v>#REF!</v>
      </c>
      <c r="I9" s="262">
        <v>1</v>
      </c>
      <c r="J9" s="255" t="e">
        <f>H9*I9</f>
        <v>#REF!</v>
      </c>
    </row>
    <row r="10" spans="1:189" s="515" customFormat="1" ht="15.95" customHeight="1">
      <c r="A10" s="35" t="e">
        <f>+#REF!</f>
        <v>#REF!</v>
      </c>
      <c r="B10" s="35" t="e">
        <f>+#REF!</f>
        <v>#REF!</v>
      </c>
      <c r="C10" s="7"/>
      <c r="D10" s="213"/>
      <c r="E10" s="579"/>
      <c r="F10" s="65"/>
      <c r="H10" s="255"/>
      <c r="I10" s="262"/>
      <c r="J10" s="255"/>
      <c r="K10" s="531"/>
      <c r="L10" s="531"/>
      <c r="M10" s="531"/>
      <c r="N10" s="531"/>
      <c r="O10" s="531"/>
      <c r="P10" s="531"/>
      <c r="Q10" s="531"/>
      <c r="R10" s="531"/>
      <c r="S10" s="531"/>
      <c r="T10" s="531"/>
      <c r="U10" s="531"/>
      <c r="V10" s="531"/>
      <c r="W10" s="531"/>
      <c r="X10" s="531"/>
      <c r="Y10" s="531"/>
      <c r="Z10" s="531"/>
      <c r="AA10" s="531"/>
      <c r="AB10" s="531"/>
      <c r="AC10" s="531"/>
      <c r="AD10" s="531"/>
      <c r="AE10" s="531"/>
      <c r="AF10" s="531"/>
      <c r="AG10" s="531"/>
      <c r="AH10" s="531"/>
      <c r="AI10" s="531"/>
      <c r="AJ10" s="531"/>
      <c r="AK10" s="531"/>
      <c r="AL10" s="531"/>
      <c r="AM10" s="531"/>
      <c r="AN10" s="531"/>
      <c r="AO10" s="531"/>
      <c r="AP10" s="531"/>
      <c r="AQ10" s="531"/>
      <c r="AR10" s="531"/>
      <c r="AS10" s="531"/>
      <c r="AT10" s="531"/>
      <c r="AU10" s="531"/>
      <c r="AV10" s="531"/>
      <c r="AW10" s="531"/>
      <c r="AX10" s="531"/>
      <c r="AY10" s="531"/>
      <c r="AZ10" s="531"/>
      <c r="BA10" s="531"/>
      <c r="BB10" s="531"/>
      <c r="BC10" s="531"/>
      <c r="BD10" s="531"/>
      <c r="BE10" s="531"/>
      <c r="BF10" s="531"/>
      <c r="BG10" s="531"/>
      <c r="BH10" s="531"/>
      <c r="BI10" s="531"/>
      <c r="BJ10" s="531"/>
      <c r="BK10" s="531"/>
      <c r="BL10" s="531"/>
      <c r="BM10" s="531"/>
      <c r="BN10" s="531"/>
      <c r="BO10" s="531"/>
      <c r="BP10" s="531"/>
      <c r="BQ10" s="531"/>
      <c r="BR10" s="531"/>
      <c r="BS10" s="531"/>
      <c r="BT10" s="531"/>
      <c r="BU10" s="531"/>
      <c r="BV10" s="531"/>
      <c r="BW10" s="531"/>
      <c r="BX10" s="531"/>
      <c r="BY10" s="531"/>
      <c r="BZ10" s="531"/>
      <c r="CA10" s="531"/>
      <c r="CB10" s="531"/>
      <c r="CC10" s="531"/>
      <c r="CD10" s="531"/>
      <c r="CE10" s="531"/>
      <c r="CF10" s="531"/>
      <c r="CG10" s="531"/>
      <c r="CH10" s="531"/>
      <c r="CI10" s="531"/>
      <c r="CJ10" s="531"/>
      <c r="CK10" s="531"/>
      <c r="CL10" s="531"/>
      <c r="CM10" s="531"/>
      <c r="CN10" s="531"/>
      <c r="CO10" s="531"/>
      <c r="CP10" s="531"/>
      <c r="CQ10" s="531"/>
      <c r="CR10" s="531"/>
      <c r="CS10" s="531"/>
      <c r="CT10" s="531"/>
      <c r="CU10" s="531"/>
      <c r="CV10" s="531"/>
      <c r="CW10" s="531"/>
      <c r="CX10" s="531"/>
      <c r="CY10" s="531"/>
      <c r="CZ10" s="531"/>
      <c r="DA10" s="531"/>
      <c r="DB10" s="531"/>
      <c r="DC10" s="531"/>
      <c r="DD10" s="531"/>
      <c r="DE10" s="531"/>
      <c r="DF10" s="531"/>
      <c r="DG10" s="531"/>
      <c r="DH10" s="531"/>
      <c r="DI10" s="531"/>
      <c r="DJ10" s="531"/>
      <c r="DK10" s="531"/>
      <c r="DL10" s="531"/>
      <c r="DM10" s="531"/>
      <c r="DN10" s="531"/>
      <c r="DO10" s="531"/>
      <c r="DP10" s="531"/>
      <c r="DQ10" s="531"/>
      <c r="DR10" s="531"/>
      <c r="DS10" s="531"/>
      <c r="DT10" s="531"/>
      <c r="DU10" s="531"/>
      <c r="DV10" s="531"/>
      <c r="DW10" s="531"/>
      <c r="DX10" s="531"/>
      <c r="DY10" s="531"/>
      <c r="DZ10" s="531"/>
      <c r="EA10" s="531"/>
      <c r="EB10" s="531"/>
      <c r="EC10" s="531"/>
      <c r="ED10" s="531"/>
      <c r="EE10" s="531"/>
      <c r="EF10" s="531"/>
      <c r="EG10" s="531"/>
      <c r="EH10" s="531"/>
      <c r="EI10" s="531"/>
      <c r="EJ10" s="531"/>
      <c r="EK10" s="531"/>
      <c r="EL10" s="531"/>
      <c r="EM10" s="531"/>
      <c r="EN10" s="531"/>
      <c r="EO10" s="531"/>
      <c r="EP10" s="531"/>
      <c r="EQ10" s="531"/>
      <c r="ER10" s="531"/>
      <c r="ES10" s="531"/>
      <c r="ET10" s="531"/>
      <c r="EU10" s="531"/>
      <c r="EV10" s="531"/>
      <c r="EW10" s="531"/>
      <c r="EX10" s="531"/>
      <c r="EY10" s="531"/>
      <c r="EZ10" s="531"/>
      <c r="FA10" s="531"/>
      <c r="FB10" s="531"/>
      <c r="FC10" s="531"/>
      <c r="FD10" s="531"/>
      <c r="FE10" s="531"/>
      <c r="FF10" s="531"/>
      <c r="FG10" s="531"/>
      <c r="FH10" s="531"/>
      <c r="FI10" s="531"/>
      <c r="FJ10" s="531"/>
      <c r="FK10" s="531"/>
      <c r="FL10" s="531"/>
      <c r="FM10" s="531"/>
      <c r="FN10" s="531"/>
      <c r="FO10" s="531"/>
      <c r="FP10" s="531"/>
      <c r="FQ10" s="531"/>
      <c r="FR10" s="531"/>
      <c r="FS10" s="531"/>
      <c r="FT10" s="531"/>
      <c r="FU10" s="531"/>
      <c r="FV10" s="531"/>
      <c r="FW10" s="531"/>
      <c r="FX10" s="531"/>
      <c r="FY10" s="531"/>
      <c r="FZ10" s="531"/>
      <c r="GA10" s="531"/>
      <c r="GB10" s="531"/>
      <c r="GC10" s="531"/>
      <c r="GD10" s="531"/>
      <c r="GE10" s="531"/>
      <c r="GF10" s="531"/>
      <c r="GG10" s="531"/>
    </row>
    <row r="11" spans="1:189" ht="15.95" customHeight="1">
      <c r="A11" s="36"/>
      <c r="B11" s="31"/>
      <c r="C11" s="32" t="s">
        <v>625</v>
      </c>
      <c r="D11" s="237">
        <v>1</v>
      </c>
      <c r="E11" s="578" t="e">
        <f>G11*F172</f>
        <v>#REF!</v>
      </c>
      <c r="F11" s="64" t="e">
        <f>+D11*E11</f>
        <v>#REF!</v>
      </c>
      <c r="G11" s="142">
        <v>0.02</v>
      </c>
      <c r="H11" s="255">
        <f>F5</f>
        <v>938</v>
      </c>
      <c r="I11" s="262">
        <v>1.05</v>
      </c>
      <c r="J11" s="255">
        <f>H11*I11</f>
        <v>984.90000000000009</v>
      </c>
    </row>
    <row r="12" spans="1:189" ht="15.95" customHeight="1">
      <c r="A12" s="407"/>
      <c r="B12" s="27"/>
      <c r="C12" s="477"/>
      <c r="D12" s="92"/>
      <c r="E12" s="580" t="s">
        <v>108</v>
      </c>
      <c r="F12" s="94" t="e">
        <f>SUM(F8:F11)</f>
        <v>#REF!</v>
      </c>
    </row>
    <row r="13" spans="1:189" ht="15.95" customHeight="1">
      <c r="D13" s="75"/>
      <c r="E13" s="593"/>
      <c r="F13" s="62"/>
    </row>
    <row r="14" spans="1:189" ht="15.95" customHeight="1">
      <c r="A14" s="436" t="s">
        <v>102</v>
      </c>
      <c r="B14" s="3"/>
      <c r="C14" s="52" t="s">
        <v>98</v>
      </c>
      <c r="D14" s="86" t="s">
        <v>99</v>
      </c>
      <c r="E14" s="596" t="s">
        <v>100</v>
      </c>
      <c r="F14" s="241" t="s">
        <v>114</v>
      </c>
    </row>
    <row r="15" spans="1:189" ht="15.95" customHeight="1">
      <c r="A15" s="572" t="e">
        <f>+#REF!</f>
        <v>#REF!</v>
      </c>
      <c r="B15" s="572" t="e">
        <f>+#REF!</f>
        <v>#REF!</v>
      </c>
      <c r="C15" s="63"/>
      <c r="D15" s="63"/>
      <c r="E15" s="599"/>
      <c r="F15" s="63"/>
    </row>
    <row r="16" spans="1:189" s="114" customFormat="1" ht="15.95" customHeight="1">
      <c r="A16" s="143"/>
      <c r="B16" s="576"/>
      <c r="C16" s="208" t="s">
        <v>25</v>
      </c>
      <c r="D16" s="208">
        <v>1</v>
      </c>
      <c r="E16" s="582">
        <v>55736199</v>
      </c>
      <c r="F16" s="208">
        <f>+D16*E16</f>
        <v>55736199</v>
      </c>
      <c r="H16" s="257"/>
      <c r="I16" s="263"/>
      <c r="J16" s="257"/>
    </row>
    <row r="17" spans="1:189" s="225" customFormat="1" ht="15.95" customHeight="1">
      <c r="A17" s="572" t="e">
        <f>+#REF!</f>
        <v>#REF!</v>
      </c>
      <c r="B17" s="572" t="e">
        <f>+#REF!</f>
        <v>#REF!</v>
      </c>
      <c r="C17" s="160"/>
      <c r="D17" s="213"/>
      <c r="E17" s="599"/>
      <c r="F17" s="63"/>
      <c r="H17" s="259"/>
      <c r="I17" s="265"/>
      <c r="J17" s="259"/>
      <c r="K17" s="226"/>
      <c r="L17" s="226"/>
      <c r="M17" s="226"/>
      <c r="N17" s="226"/>
      <c r="O17" s="226"/>
      <c r="P17" s="226"/>
      <c r="Q17" s="226"/>
      <c r="R17" s="226"/>
      <c r="S17" s="226"/>
      <c r="T17" s="226"/>
      <c r="U17" s="226"/>
      <c r="V17" s="226"/>
      <c r="W17" s="226"/>
      <c r="X17" s="226"/>
      <c r="Y17" s="226"/>
      <c r="Z17" s="226"/>
      <c r="AA17" s="226"/>
      <c r="AB17" s="226"/>
      <c r="AC17" s="226"/>
      <c r="AD17" s="226"/>
      <c r="AE17" s="226"/>
      <c r="AF17" s="226"/>
      <c r="AG17" s="226"/>
      <c r="AH17" s="226"/>
      <c r="AI17" s="226"/>
      <c r="AJ17" s="226"/>
      <c r="AK17" s="226"/>
      <c r="AL17" s="226"/>
      <c r="AM17" s="226"/>
      <c r="AN17" s="226"/>
      <c r="AO17" s="226"/>
      <c r="AP17" s="226"/>
      <c r="AQ17" s="226"/>
      <c r="AR17" s="226"/>
      <c r="AS17" s="226"/>
      <c r="AT17" s="226"/>
      <c r="AU17" s="226"/>
      <c r="AV17" s="226"/>
      <c r="AW17" s="226"/>
      <c r="AX17" s="226"/>
      <c r="AY17" s="226"/>
      <c r="AZ17" s="226"/>
      <c r="BA17" s="226"/>
      <c r="BB17" s="226"/>
      <c r="BC17" s="226"/>
      <c r="BD17" s="226"/>
      <c r="BE17" s="226"/>
      <c r="BF17" s="226"/>
      <c r="BG17" s="226"/>
      <c r="BH17" s="226"/>
      <c r="BI17" s="226"/>
      <c r="BJ17" s="226"/>
      <c r="BK17" s="226"/>
      <c r="BL17" s="226"/>
      <c r="BM17" s="226"/>
      <c r="BN17" s="226"/>
      <c r="BO17" s="226"/>
      <c r="BP17" s="226"/>
      <c r="BQ17" s="226"/>
      <c r="BR17" s="226"/>
      <c r="BS17" s="226"/>
      <c r="BT17" s="226"/>
      <c r="BU17" s="226"/>
      <c r="BV17" s="226"/>
      <c r="BW17" s="226"/>
      <c r="BX17" s="226"/>
      <c r="BY17" s="226"/>
      <c r="BZ17" s="226"/>
      <c r="CA17" s="226"/>
      <c r="CB17" s="226"/>
      <c r="CC17" s="226"/>
      <c r="CD17" s="226"/>
      <c r="CE17" s="226"/>
      <c r="CF17" s="226"/>
      <c r="CG17" s="226"/>
      <c r="CH17" s="226"/>
      <c r="CI17" s="226"/>
      <c r="CJ17" s="226"/>
      <c r="CK17" s="226"/>
      <c r="CL17" s="226"/>
      <c r="CM17" s="226"/>
      <c r="CN17" s="226"/>
      <c r="CO17" s="226"/>
      <c r="CP17" s="226"/>
      <c r="CQ17" s="226"/>
      <c r="CR17" s="226"/>
      <c r="CS17" s="226"/>
      <c r="CT17" s="226"/>
      <c r="CU17" s="226"/>
      <c r="CV17" s="226"/>
      <c r="CW17" s="226"/>
      <c r="CX17" s="226"/>
      <c r="CY17" s="226"/>
      <c r="CZ17" s="226"/>
      <c r="DA17" s="226"/>
      <c r="DB17" s="226"/>
      <c r="DC17" s="226"/>
      <c r="DD17" s="226"/>
      <c r="DE17" s="226"/>
      <c r="DF17" s="226"/>
      <c r="DG17" s="226"/>
      <c r="DH17" s="226"/>
      <c r="DI17" s="226"/>
      <c r="DJ17" s="226"/>
      <c r="DK17" s="226"/>
      <c r="DL17" s="226"/>
      <c r="DM17" s="226"/>
      <c r="DN17" s="226"/>
      <c r="DO17" s="226"/>
      <c r="DP17" s="226"/>
      <c r="DQ17" s="226"/>
      <c r="DR17" s="226"/>
      <c r="DS17" s="226"/>
      <c r="DT17" s="226"/>
      <c r="DU17" s="226"/>
      <c r="DV17" s="226"/>
      <c r="DW17" s="226"/>
      <c r="DX17" s="226"/>
      <c r="DY17" s="226"/>
      <c r="DZ17" s="226"/>
      <c r="EA17" s="226"/>
      <c r="EB17" s="226"/>
      <c r="EC17" s="226"/>
      <c r="ED17" s="226"/>
      <c r="EE17" s="226"/>
      <c r="EF17" s="226"/>
      <c r="EG17" s="226"/>
      <c r="EH17" s="226"/>
      <c r="EI17" s="226"/>
      <c r="EJ17" s="226"/>
      <c r="EK17" s="226"/>
      <c r="EL17" s="226"/>
      <c r="EM17" s="226"/>
      <c r="EN17" s="226"/>
      <c r="EO17" s="226"/>
      <c r="EP17" s="226"/>
      <c r="EQ17" s="226"/>
      <c r="ER17" s="226"/>
      <c r="ES17" s="226"/>
      <c r="ET17" s="226"/>
      <c r="EU17" s="226"/>
      <c r="EV17" s="226"/>
      <c r="EW17" s="226"/>
      <c r="EX17" s="226"/>
      <c r="EY17" s="226"/>
      <c r="EZ17" s="226"/>
      <c r="FA17" s="226"/>
      <c r="FB17" s="226"/>
      <c r="FC17" s="226"/>
      <c r="FD17" s="226"/>
      <c r="FE17" s="226"/>
      <c r="FF17" s="226"/>
      <c r="FG17" s="226"/>
      <c r="FH17" s="226"/>
      <c r="FI17" s="226"/>
      <c r="FJ17" s="226"/>
      <c r="FK17" s="226"/>
      <c r="FL17" s="226"/>
      <c r="FM17" s="226"/>
      <c r="FN17" s="226"/>
      <c r="FO17" s="226"/>
      <c r="FP17" s="226"/>
      <c r="FQ17" s="226"/>
      <c r="FR17" s="226"/>
      <c r="FS17" s="226"/>
      <c r="FT17" s="226"/>
      <c r="FU17" s="226"/>
      <c r="FV17" s="226"/>
      <c r="FW17" s="226"/>
      <c r="FX17" s="226"/>
      <c r="FY17" s="226"/>
      <c r="FZ17" s="226"/>
      <c r="GA17" s="226"/>
      <c r="GB17" s="226"/>
      <c r="GC17" s="226"/>
      <c r="GD17" s="226"/>
      <c r="GE17" s="226"/>
      <c r="GF17" s="226"/>
      <c r="GG17" s="226"/>
    </row>
    <row r="18" spans="1:189" s="225" customFormat="1" ht="15.95" customHeight="1">
      <c r="A18" s="36"/>
      <c r="B18" s="573"/>
      <c r="C18" s="294" t="s">
        <v>25</v>
      </c>
      <c r="D18" s="237">
        <v>1</v>
      </c>
      <c r="E18" s="586" t="e">
        <f>+J18</f>
        <v>#REF!</v>
      </c>
      <c r="F18" s="64" t="e">
        <f>+D18*E18</f>
        <v>#REF!</v>
      </c>
      <c r="H18" s="259" t="e">
        <f>+F172</f>
        <v>#REF!</v>
      </c>
      <c r="I18" s="265">
        <v>0.02</v>
      </c>
      <c r="J18" s="259" t="e">
        <f>ROUND(H18*I18,0)</f>
        <v>#REF!</v>
      </c>
      <c r="K18" s="226"/>
      <c r="L18" s="226"/>
      <c r="M18" s="226"/>
      <c r="N18" s="226"/>
      <c r="O18" s="226"/>
      <c r="P18" s="226"/>
      <c r="Q18" s="226"/>
      <c r="R18" s="226"/>
      <c r="S18" s="226"/>
      <c r="T18" s="226"/>
      <c r="U18" s="226"/>
      <c r="V18" s="226"/>
      <c r="W18" s="226"/>
      <c r="X18" s="226"/>
      <c r="Y18" s="226"/>
      <c r="Z18" s="226"/>
      <c r="AA18" s="226"/>
      <c r="AB18" s="226"/>
      <c r="AC18" s="226"/>
      <c r="AD18" s="226"/>
      <c r="AE18" s="226"/>
      <c r="AF18" s="226"/>
      <c r="AG18" s="226"/>
      <c r="AH18" s="226"/>
      <c r="AI18" s="226"/>
      <c r="AJ18" s="226"/>
      <c r="AK18" s="226"/>
      <c r="AL18" s="226"/>
      <c r="AM18" s="226"/>
      <c r="AN18" s="226"/>
      <c r="AO18" s="226"/>
      <c r="AP18" s="226"/>
      <c r="AQ18" s="226"/>
      <c r="AR18" s="226"/>
      <c r="AS18" s="226"/>
      <c r="AT18" s="226"/>
      <c r="AU18" s="226"/>
      <c r="AV18" s="226"/>
      <c r="AW18" s="226"/>
      <c r="AX18" s="226"/>
      <c r="AY18" s="226"/>
      <c r="AZ18" s="226"/>
      <c r="BA18" s="226"/>
      <c r="BB18" s="226"/>
      <c r="BC18" s="226"/>
      <c r="BD18" s="226"/>
      <c r="BE18" s="226"/>
      <c r="BF18" s="226"/>
      <c r="BG18" s="226"/>
      <c r="BH18" s="226"/>
      <c r="BI18" s="226"/>
      <c r="BJ18" s="226"/>
      <c r="BK18" s="226"/>
      <c r="BL18" s="226"/>
      <c r="BM18" s="226"/>
      <c r="BN18" s="226"/>
      <c r="BO18" s="226"/>
      <c r="BP18" s="226"/>
      <c r="BQ18" s="226"/>
      <c r="BR18" s="226"/>
      <c r="BS18" s="226"/>
      <c r="BT18" s="226"/>
      <c r="BU18" s="226"/>
      <c r="BV18" s="226"/>
      <c r="BW18" s="226"/>
      <c r="BX18" s="226"/>
      <c r="BY18" s="226"/>
      <c r="BZ18" s="226"/>
      <c r="CA18" s="226"/>
      <c r="CB18" s="226"/>
      <c r="CC18" s="226"/>
      <c r="CD18" s="226"/>
      <c r="CE18" s="226"/>
      <c r="CF18" s="226"/>
      <c r="CG18" s="226"/>
      <c r="CH18" s="226"/>
      <c r="CI18" s="226"/>
      <c r="CJ18" s="226"/>
      <c r="CK18" s="226"/>
      <c r="CL18" s="226"/>
      <c r="CM18" s="226"/>
      <c r="CN18" s="226"/>
      <c r="CO18" s="226"/>
      <c r="CP18" s="226"/>
      <c r="CQ18" s="226"/>
      <c r="CR18" s="226"/>
      <c r="CS18" s="226"/>
      <c r="CT18" s="226"/>
      <c r="CU18" s="226"/>
      <c r="CV18" s="226"/>
      <c r="CW18" s="226"/>
      <c r="CX18" s="226"/>
      <c r="CY18" s="226"/>
      <c r="CZ18" s="226"/>
      <c r="DA18" s="226"/>
      <c r="DB18" s="226"/>
      <c r="DC18" s="226"/>
      <c r="DD18" s="226"/>
      <c r="DE18" s="226"/>
      <c r="DF18" s="226"/>
      <c r="DG18" s="226"/>
      <c r="DH18" s="226"/>
      <c r="DI18" s="226"/>
      <c r="DJ18" s="226"/>
      <c r="DK18" s="226"/>
      <c r="DL18" s="226"/>
      <c r="DM18" s="226"/>
      <c r="DN18" s="226"/>
      <c r="DO18" s="226"/>
      <c r="DP18" s="226"/>
      <c r="DQ18" s="226"/>
      <c r="DR18" s="226"/>
      <c r="DS18" s="226"/>
      <c r="DT18" s="226"/>
      <c r="DU18" s="226"/>
      <c r="DV18" s="226"/>
      <c r="DW18" s="226"/>
      <c r="DX18" s="226"/>
      <c r="DY18" s="226"/>
      <c r="DZ18" s="226"/>
      <c r="EA18" s="226"/>
      <c r="EB18" s="226"/>
      <c r="EC18" s="226"/>
      <c r="ED18" s="226"/>
      <c r="EE18" s="226"/>
      <c r="EF18" s="226"/>
      <c r="EG18" s="226"/>
      <c r="EH18" s="226"/>
      <c r="EI18" s="226"/>
      <c r="EJ18" s="226"/>
      <c r="EK18" s="226"/>
      <c r="EL18" s="226"/>
      <c r="EM18" s="226"/>
      <c r="EN18" s="226"/>
      <c r="EO18" s="226"/>
      <c r="EP18" s="226"/>
      <c r="EQ18" s="226"/>
      <c r="ER18" s="226"/>
      <c r="ES18" s="226"/>
      <c r="ET18" s="226"/>
      <c r="EU18" s="226"/>
      <c r="EV18" s="226"/>
      <c r="EW18" s="226"/>
      <c r="EX18" s="226"/>
      <c r="EY18" s="226"/>
      <c r="EZ18" s="226"/>
      <c r="FA18" s="226"/>
      <c r="FB18" s="226"/>
      <c r="FC18" s="226"/>
      <c r="FD18" s="226"/>
      <c r="FE18" s="226"/>
      <c r="FF18" s="226"/>
      <c r="FG18" s="226"/>
      <c r="FH18" s="226"/>
      <c r="FI18" s="226"/>
      <c r="FJ18" s="226"/>
      <c r="FK18" s="226"/>
      <c r="FL18" s="226"/>
      <c r="FM18" s="226"/>
      <c r="FN18" s="226"/>
      <c r="FO18" s="226"/>
      <c r="FP18" s="226"/>
      <c r="FQ18" s="226"/>
      <c r="FR18" s="226"/>
      <c r="FS18" s="226"/>
      <c r="FT18" s="226"/>
      <c r="FU18" s="226"/>
      <c r="FV18" s="226"/>
      <c r="FW18" s="226"/>
      <c r="FX18" s="226"/>
      <c r="FY18" s="226"/>
      <c r="FZ18" s="226"/>
      <c r="GA18" s="226"/>
      <c r="GB18" s="226"/>
      <c r="GC18" s="226"/>
      <c r="GD18" s="226"/>
      <c r="GE18" s="226"/>
      <c r="GF18" s="226"/>
      <c r="GG18" s="226"/>
    </row>
    <row r="19" spans="1:189" ht="15.95" customHeight="1">
      <c r="A19" s="553" t="e">
        <f>+#REF!</f>
        <v>#REF!</v>
      </c>
      <c r="B19" s="550" t="e">
        <f>+#REF!</f>
        <v>#REF!</v>
      </c>
      <c r="C19" s="233"/>
      <c r="D19" s="63"/>
      <c r="E19" s="599"/>
      <c r="F19" s="63"/>
    </row>
    <row r="20" spans="1:189" ht="15.95" customHeight="1">
      <c r="A20" s="36"/>
      <c r="B20" s="573"/>
      <c r="C20" s="294" t="s">
        <v>25</v>
      </c>
      <c r="D20" s="64">
        <v>1</v>
      </c>
      <c r="E20" s="598">
        <v>10452725</v>
      </c>
      <c r="F20" s="64">
        <f>+D20*E20</f>
        <v>10452725</v>
      </c>
    </row>
    <row r="21" spans="1:189" ht="15.95" customHeight="1">
      <c r="A21" s="553" t="e">
        <f>+#REF!</f>
        <v>#REF!</v>
      </c>
      <c r="B21" s="550" t="e">
        <f>+#REF!</f>
        <v>#REF!</v>
      </c>
      <c r="C21" s="233"/>
      <c r="D21" s="63"/>
      <c r="E21" s="599"/>
      <c r="F21" s="63"/>
      <c r="M21" s="129">
        <f>1046-450</f>
        <v>596</v>
      </c>
    </row>
    <row r="22" spans="1:189" ht="15.95" customHeight="1">
      <c r="A22" s="36"/>
      <c r="B22" s="573"/>
      <c r="C22" s="113" t="s">
        <v>25</v>
      </c>
      <c r="D22" s="64">
        <v>0</v>
      </c>
      <c r="E22" s="598">
        <v>15000000</v>
      </c>
      <c r="F22" s="64">
        <f t="shared" ref="F22:F26" si="0">+D22*E22</f>
        <v>0</v>
      </c>
      <c r="G22" s="142">
        <v>0.2</v>
      </c>
    </row>
    <row r="23" spans="1:189" ht="15.95" customHeight="1">
      <c r="A23" s="550" t="e">
        <f>+#REF!</f>
        <v>#REF!</v>
      </c>
      <c r="B23" s="550" t="e">
        <f>+#REF!</f>
        <v>#REF!</v>
      </c>
      <c r="C23" s="280"/>
      <c r="D23" s="63"/>
      <c r="E23" s="599"/>
      <c r="F23" s="63"/>
    </row>
    <row r="24" spans="1:189" ht="15.95" customHeight="1">
      <c r="A24" s="36"/>
      <c r="B24" s="573"/>
      <c r="C24" s="113" t="s">
        <v>1</v>
      </c>
      <c r="D24" s="64">
        <v>1</v>
      </c>
      <c r="E24" s="598" t="e">
        <f>+ROUND((F16+F18+F20+F22)*G22,0)</f>
        <v>#REF!</v>
      </c>
      <c r="F24" s="64" t="e">
        <f>+D24*E24</f>
        <v>#REF!</v>
      </c>
    </row>
    <row r="25" spans="1:189" ht="15.95" customHeight="1">
      <c r="A25" s="550" t="e">
        <f>+#REF!</f>
        <v>#REF!</v>
      </c>
      <c r="B25" s="550" t="e">
        <f>+#REF!</f>
        <v>#REF!</v>
      </c>
      <c r="C25" s="63"/>
      <c r="D25" s="63"/>
      <c r="E25" s="583"/>
      <c r="F25" s="63"/>
    </row>
    <row r="26" spans="1:189" ht="15.95" customHeight="1">
      <c r="A26" s="36"/>
      <c r="B26" s="31"/>
      <c r="C26" s="64" t="s">
        <v>25</v>
      </c>
      <c r="D26" s="64">
        <v>15</v>
      </c>
      <c r="E26" s="586" t="e">
        <f>+#REF!</f>
        <v>#REF!</v>
      </c>
      <c r="F26" s="64" t="e">
        <f t="shared" si="0"/>
        <v>#REF!</v>
      </c>
    </row>
    <row r="27" spans="1:189" ht="15.95" customHeight="1">
      <c r="C27" s="477"/>
      <c r="D27" s="92"/>
      <c r="E27" s="580" t="s">
        <v>106</v>
      </c>
      <c r="F27" s="94" t="e">
        <f>SUM(F15:F26)</f>
        <v>#REF!</v>
      </c>
    </row>
    <row r="28" spans="1:189" ht="15.95" customHeight="1"/>
    <row r="29" spans="1:189" ht="27" customHeight="1">
      <c r="C29" s="477"/>
      <c r="D29" s="92"/>
      <c r="E29" s="580" t="s">
        <v>107</v>
      </c>
      <c r="F29" s="94" t="e">
        <f>+F12+F27</f>
        <v>#REF!</v>
      </c>
    </row>
    <row r="30" spans="1:189" s="114" customFormat="1" ht="27" customHeight="1">
      <c r="A30" s="438"/>
      <c r="C30" s="478"/>
      <c r="D30" s="116"/>
      <c r="E30" s="600"/>
      <c r="F30" s="118"/>
      <c r="H30" s="257"/>
      <c r="I30" s="263"/>
      <c r="J30" s="257"/>
      <c r="K30" s="129">
        <f>480*3</f>
        <v>1440</v>
      </c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29"/>
      <c r="W30" s="129"/>
      <c r="X30" s="129"/>
      <c r="Y30" s="129"/>
      <c r="Z30" s="129"/>
      <c r="AA30" s="129"/>
      <c r="AB30" s="129"/>
      <c r="AC30" s="129"/>
      <c r="AD30" s="129"/>
      <c r="AE30" s="129"/>
      <c r="AF30" s="129"/>
      <c r="AG30" s="129"/>
      <c r="AH30" s="129"/>
      <c r="AI30" s="129"/>
      <c r="AJ30" s="129"/>
      <c r="AK30" s="129"/>
      <c r="AL30" s="129"/>
      <c r="AM30" s="129"/>
      <c r="AN30" s="129"/>
      <c r="AO30" s="129"/>
      <c r="AP30" s="129"/>
      <c r="AQ30" s="129"/>
      <c r="AR30" s="129"/>
      <c r="AS30" s="129"/>
      <c r="AT30" s="129"/>
      <c r="AU30" s="129"/>
      <c r="AV30" s="129"/>
      <c r="AW30" s="129"/>
      <c r="AX30" s="129"/>
      <c r="AY30" s="129"/>
      <c r="AZ30" s="129"/>
      <c r="BA30" s="129"/>
      <c r="BB30" s="129"/>
      <c r="BC30" s="129"/>
      <c r="BD30" s="129"/>
      <c r="BE30" s="129"/>
      <c r="BF30" s="129"/>
      <c r="BG30" s="129"/>
      <c r="BH30" s="129"/>
      <c r="BI30" s="129"/>
      <c r="BJ30" s="129"/>
      <c r="BK30" s="129"/>
      <c r="BL30" s="129"/>
      <c r="BM30" s="129"/>
      <c r="BN30" s="129"/>
      <c r="BO30" s="129"/>
      <c r="BP30" s="129"/>
      <c r="BQ30" s="129"/>
      <c r="BR30" s="129"/>
      <c r="BS30" s="129"/>
      <c r="BT30" s="129"/>
      <c r="BU30" s="129"/>
      <c r="BV30" s="129"/>
      <c r="BW30" s="129"/>
      <c r="BX30" s="129"/>
      <c r="BY30" s="129"/>
      <c r="BZ30" s="129"/>
      <c r="CA30" s="129"/>
      <c r="CB30" s="129"/>
      <c r="CC30" s="129"/>
      <c r="CD30" s="129"/>
      <c r="CE30" s="129"/>
      <c r="CF30" s="129"/>
      <c r="CG30" s="129"/>
      <c r="CH30" s="129"/>
      <c r="CI30" s="129"/>
      <c r="CJ30" s="129"/>
      <c r="CK30" s="129"/>
      <c r="CL30" s="129"/>
      <c r="CM30" s="129"/>
      <c r="CN30" s="129"/>
      <c r="CO30" s="129"/>
      <c r="CP30" s="129"/>
      <c r="CQ30" s="129"/>
      <c r="CR30" s="129"/>
      <c r="CS30" s="129"/>
      <c r="CT30" s="129"/>
      <c r="CU30" s="129"/>
      <c r="CV30" s="129"/>
      <c r="CW30" s="129"/>
      <c r="CX30" s="129"/>
      <c r="CY30" s="129"/>
      <c r="CZ30" s="129"/>
      <c r="DA30" s="129"/>
      <c r="DB30" s="129"/>
      <c r="DC30" s="129"/>
      <c r="DD30" s="129"/>
      <c r="DE30" s="129"/>
      <c r="DF30" s="129"/>
      <c r="DG30" s="129"/>
      <c r="DH30" s="129"/>
      <c r="DI30" s="129"/>
      <c r="DJ30" s="129"/>
      <c r="DK30" s="129"/>
      <c r="DL30" s="129"/>
      <c r="DM30" s="129"/>
      <c r="DN30" s="129"/>
      <c r="DO30" s="129"/>
      <c r="DP30" s="129"/>
      <c r="DQ30" s="129"/>
      <c r="DR30" s="129"/>
      <c r="DS30" s="129"/>
      <c r="DT30" s="129"/>
      <c r="DU30" s="129"/>
      <c r="DV30" s="129"/>
      <c r="DW30" s="129"/>
      <c r="DX30" s="129"/>
      <c r="DY30" s="129"/>
      <c r="DZ30" s="129"/>
      <c r="EA30" s="129"/>
      <c r="EB30" s="129"/>
      <c r="EC30" s="129"/>
      <c r="ED30" s="129"/>
      <c r="EE30" s="129"/>
      <c r="EF30" s="129"/>
      <c r="EG30" s="129"/>
      <c r="EH30" s="129"/>
      <c r="EI30" s="129"/>
      <c r="EJ30" s="129"/>
      <c r="EK30" s="129"/>
      <c r="EL30" s="129"/>
      <c r="EM30" s="129"/>
      <c r="EN30" s="129"/>
      <c r="EO30" s="129"/>
      <c r="EP30" s="129"/>
      <c r="EQ30" s="129"/>
      <c r="ER30" s="129"/>
      <c r="ES30" s="129"/>
      <c r="ET30" s="129"/>
      <c r="EU30" s="129"/>
      <c r="EV30" s="129"/>
      <c r="EW30" s="129"/>
      <c r="EX30" s="129"/>
      <c r="EY30" s="129"/>
      <c r="EZ30" s="129"/>
      <c r="FA30" s="129"/>
      <c r="FB30" s="129"/>
      <c r="FC30" s="129"/>
      <c r="FD30" s="129"/>
      <c r="FE30" s="129"/>
      <c r="FF30" s="129"/>
      <c r="FG30" s="129"/>
      <c r="FH30" s="129"/>
      <c r="FI30" s="129"/>
      <c r="FJ30" s="129"/>
      <c r="FK30" s="129"/>
      <c r="FL30" s="129"/>
      <c r="FM30" s="129"/>
      <c r="FN30" s="129"/>
      <c r="FO30" s="129"/>
      <c r="FP30" s="129"/>
      <c r="FQ30" s="129"/>
      <c r="FR30" s="129"/>
      <c r="FS30" s="129"/>
      <c r="FT30" s="129"/>
      <c r="FU30" s="129"/>
      <c r="FV30" s="129"/>
      <c r="FW30" s="129"/>
      <c r="FX30" s="129"/>
      <c r="FY30" s="129"/>
      <c r="FZ30" s="129"/>
      <c r="GA30" s="129"/>
      <c r="GB30" s="129"/>
      <c r="GC30" s="129"/>
      <c r="GD30" s="129"/>
      <c r="GE30" s="129"/>
      <c r="GF30" s="129"/>
      <c r="GG30" s="129"/>
    </row>
    <row r="31" spans="1:189" ht="8.25" customHeight="1">
      <c r="A31" s="406"/>
      <c r="B31" s="12"/>
      <c r="C31" s="51"/>
      <c r="D31" s="76"/>
      <c r="E31" s="584"/>
      <c r="F31" s="66"/>
    </row>
    <row r="32" spans="1:189" ht="23.25" customHeight="1">
      <c r="A32" s="436" t="s">
        <v>41</v>
      </c>
      <c r="B32" s="3"/>
      <c r="C32" s="52" t="s">
        <v>98</v>
      </c>
      <c r="D32" s="86" t="s">
        <v>99</v>
      </c>
      <c r="E32" s="601" t="s">
        <v>100</v>
      </c>
      <c r="F32" s="86" t="s">
        <v>114</v>
      </c>
    </row>
    <row r="33" spans="1:10" ht="15.95" customHeight="1">
      <c r="A33" s="17" t="s">
        <v>2</v>
      </c>
      <c r="B33" s="14" t="s">
        <v>38</v>
      </c>
      <c r="C33" s="7"/>
      <c r="D33" s="213"/>
      <c r="E33" s="581"/>
      <c r="F33" s="65"/>
    </row>
    <row r="34" spans="1:10" ht="15.95" customHeight="1">
      <c r="A34" s="28"/>
      <c r="B34" s="9"/>
      <c r="C34" s="53" t="s">
        <v>19</v>
      </c>
      <c r="D34" s="150">
        <v>1</v>
      </c>
      <c r="E34" s="582">
        <v>15672373</v>
      </c>
      <c r="F34" s="64">
        <f>+D34*E34</f>
        <v>15672373</v>
      </c>
    </row>
    <row r="35" spans="1:10" ht="15.95" customHeight="1">
      <c r="A35" s="17" t="s">
        <v>3</v>
      </c>
      <c r="B35" s="14" t="s">
        <v>37</v>
      </c>
      <c r="C35" s="54"/>
      <c r="D35" s="78"/>
      <c r="E35" s="583"/>
      <c r="F35" s="65"/>
    </row>
    <row r="36" spans="1:10" ht="15.95" customHeight="1">
      <c r="A36" s="447" t="s">
        <v>39</v>
      </c>
      <c r="B36" s="398" t="s">
        <v>40</v>
      </c>
      <c r="C36" s="395" t="s">
        <v>94</v>
      </c>
      <c r="D36" s="399">
        <f>J36</f>
        <v>0</v>
      </c>
      <c r="E36" s="602" t="e">
        <f>#REF!</f>
        <v>#REF!</v>
      </c>
      <c r="F36" s="335" t="e">
        <f>+D36*E36</f>
        <v>#REF!</v>
      </c>
      <c r="H36" s="255">
        <f>20*F5*0</f>
        <v>0</v>
      </c>
      <c r="I36" s="262">
        <v>1.05</v>
      </c>
      <c r="J36" s="255">
        <f>H36*I36</f>
        <v>0</v>
      </c>
    </row>
    <row r="37" spans="1:10" ht="15.95" customHeight="1">
      <c r="A37" s="17">
        <v>203</v>
      </c>
      <c r="B37" s="14" t="s">
        <v>42</v>
      </c>
      <c r="C37" s="54"/>
      <c r="D37" s="78"/>
      <c r="E37" s="583"/>
      <c r="F37" s="63"/>
    </row>
    <row r="38" spans="1:10" ht="15.95" customHeight="1">
      <c r="A38" s="36"/>
      <c r="B38" s="38"/>
      <c r="C38" s="53" t="s">
        <v>27</v>
      </c>
      <c r="D38" s="397">
        <f>J38</f>
        <v>131.32</v>
      </c>
      <c r="E38" s="602" t="e">
        <f>#REF!</f>
        <v>#REF!</v>
      </c>
      <c r="F38" s="335" t="e">
        <f>+D38*E38</f>
        <v>#REF!</v>
      </c>
      <c r="H38" s="255">
        <f>2*F5/15</f>
        <v>125.06666666666666</v>
      </c>
      <c r="I38" s="262">
        <v>1.05</v>
      </c>
      <c r="J38" s="255">
        <f>H38*I38</f>
        <v>131.32</v>
      </c>
    </row>
    <row r="39" spans="1:10" ht="15.95" customHeight="1">
      <c r="A39" s="41" t="s">
        <v>4</v>
      </c>
      <c r="B39" s="125" t="s">
        <v>43</v>
      </c>
      <c r="C39" s="479"/>
      <c r="D39" s="81"/>
      <c r="E39" s="583"/>
      <c r="F39" s="63"/>
    </row>
    <row r="40" spans="1:10" ht="15.95" customHeight="1">
      <c r="A40" s="17" t="s">
        <v>44</v>
      </c>
      <c r="B40" s="123" t="s">
        <v>46</v>
      </c>
      <c r="C40" s="54" t="s">
        <v>251</v>
      </c>
      <c r="D40" s="275">
        <v>1</v>
      </c>
      <c r="E40" s="587">
        <v>7386750</v>
      </c>
      <c r="F40" s="65">
        <f>+D40*E40</f>
        <v>7386750</v>
      </c>
      <c r="H40" s="262">
        <f>F5/1000</f>
        <v>0.93799999999999994</v>
      </c>
      <c r="I40" s="262">
        <v>1.05</v>
      </c>
      <c r="J40" s="262">
        <f>H40*I40</f>
        <v>0.9849</v>
      </c>
    </row>
    <row r="41" spans="1:10" ht="15.95" customHeight="1">
      <c r="A41" s="17" t="s">
        <v>45</v>
      </c>
      <c r="B41" s="123" t="s">
        <v>47</v>
      </c>
      <c r="C41" s="54" t="s">
        <v>251</v>
      </c>
      <c r="D41" s="275">
        <v>1</v>
      </c>
      <c r="E41" s="587">
        <v>5909400</v>
      </c>
      <c r="F41" s="65">
        <f>+D41*E41</f>
        <v>5909400</v>
      </c>
      <c r="H41" s="255">
        <f>H40</f>
        <v>0.93799999999999994</v>
      </c>
      <c r="I41" s="262">
        <v>1.05</v>
      </c>
      <c r="J41" s="262">
        <f>H41*I41</f>
        <v>0.9849</v>
      </c>
    </row>
    <row r="42" spans="1:10" ht="15.95" customHeight="1">
      <c r="A42" s="17" t="s">
        <v>48</v>
      </c>
      <c r="B42" s="123" t="s">
        <v>204</v>
      </c>
      <c r="C42" s="54" t="s">
        <v>205</v>
      </c>
      <c r="D42" s="275">
        <f>J42</f>
        <v>98.490000000000009</v>
      </c>
      <c r="E42" s="587" t="e">
        <f>#REF!</f>
        <v>#REF!</v>
      </c>
      <c r="F42" s="65" t="e">
        <f>+D42*E42</f>
        <v>#REF!</v>
      </c>
      <c r="H42" s="255">
        <f>H41*1000*10%</f>
        <v>93.800000000000011</v>
      </c>
      <c r="I42" s="262">
        <v>1.05</v>
      </c>
      <c r="J42" s="262">
        <f>H42*I42</f>
        <v>98.490000000000009</v>
      </c>
    </row>
    <row r="43" spans="1:10" ht="15.95" customHeight="1">
      <c r="A43" s="36" t="s">
        <v>203</v>
      </c>
      <c r="B43" s="24" t="s">
        <v>49</v>
      </c>
      <c r="C43" s="53" t="s">
        <v>251</v>
      </c>
      <c r="D43" s="276">
        <v>1</v>
      </c>
      <c r="E43" s="587">
        <v>1194108.3604220401</v>
      </c>
      <c r="F43" s="64">
        <f>+D43*E43</f>
        <v>1194108.3604220401</v>
      </c>
      <c r="H43" s="255">
        <f>H40</f>
        <v>0.93799999999999994</v>
      </c>
      <c r="I43" s="262">
        <v>1.05</v>
      </c>
      <c r="J43" s="262">
        <f>H43*I43</f>
        <v>0.9849</v>
      </c>
    </row>
    <row r="44" spans="1:10" ht="15.95" customHeight="1">
      <c r="A44" s="17">
        <v>206</v>
      </c>
      <c r="B44" s="14" t="s">
        <v>123</v>
      </c>
      <c r="C44" s="58"/>
      <c r="D44" s="80"/>
      <c r="E44" s="583"/>
      <c r="F44" s="65"/>
    </row>
    <row r="45" spans="1:10" ht="15.95" customHeight="1">
      <c r="A45" s="28"/>
      <c r="B45" s="16"/>
      <c r="C45" s="53" t="s">
        <v>94</v>
      </c>
      <c r="D45" s="77">
        <v>0</v>
      </c>
      <c r="E45" s="586" t="e">
        <f>#REF!</f>
        <v>#REF!</v>
      </c>
      <c r="F45" s="64" t="e">
        <f>+D45*E45</f>
        <v>#REF!</v>
      </c>
    </row>
    <row r="46" spans="1:10" ht="15.95" customHeight="1">
      <c r="A46" s="41" t="s">
        <v>50</v>
      </c>
      <c r="B46" s="43" t="s">
        <v>51</v>
      </c>
      <c r="C46" s="479"/>
      <c r="D46" s="81"/>
      <c r="E46" s="583"/>
      <c r="F46" s="63"/>
    </row>
    <row r="47" spans="1:10" ht="15.95" customHeight="1">
      <c r="A47" s="28"/>
      <c r="B47" s="16"/>
      <c r="C47" s="53" t="s">
        <v>1</v>
      </c>
      <c r="D47" s="77">
        <v>0</v>
      </c>
      <c r="E47" s="586" t="e">
        <f>#REF!</f>
        <v>#REF!</v>
      </c>
      <c r="F47" s="64" t="e">
        <f>+D47*E47</f>
        <v>#REF!</v>
      </c>
    </row>
    <row r="48" spans="1:10" ht="15.95" customHeight="1">
      <c r="A48" s="41" t="s">
        <v>52</v>
      </c>
      <c r="B48" s="43" t="s">
        <v>53</v>
      </c>
      <c r="C48" s="479"/>
      <c r="D48" s="311"/>
      <c r="E48" s="583"/>
      <c r="F48" s="63"/>
    </row>
    <row r="49" spans="1:10" ht="15.95" customHeight="1">
      <c r="A49" s="17" t="s">
        <v>54</v>
      </c>
      <c r="B49" s="39" t="s">
        <v>97</v>
      </c>
      <c r="C49" s="50" t="s">
        <v>1</v>
      </c>
      <c r="D49" s="300">
        <f>J49</f>
        <v>1538</v>
      </c>
      <c r="E49" s="587" t="e">
        <f>#REF!</f>
        <v>#REF!</v>
      </c>
      <c r="F49" s="65" t="e">
        <f>+D49*E49</f>
        <v>#REF!</v>
      </c>
      <c r="H49" s="255">
        <f>F5+600</f>
        <v>1538</v>
      </c>
      <c r="I49" s="262">
        <v>1</v>
      </c>
      <c r="J49" s="255">
        <f>H49*I49</f>
        <v>1538</v>
      </c>
    </row>
    <row r="50" spans="1:10" ht="15.95" customHeight="1">
      <c r="A50" s="17" t="s">
        <v>56</v>
      </c>
      <c r="B50" s="39" t="s">
        <v>55</v>
      </c>
      <c r="C50" s="50" t="s">
        <v>1</v>
      </c>
      <c r="D50" s="300">
        <v>0</v>
      </c>
      <c r="E50" s="587" t="e">
        <f>#REF!</f>
        <v>#REF!</v>
      </c>
      <c r="F50" s="64" t="e">
        <f>+D50*E50</f>
        <v>#REF!</v>
      </c>
    </row>
    <row r="51" spans="1:10" ht="15.95" customHeight="1">
      <c r="A51" s="41">
        <v>210</v>
      </c>
      <c r="B51" s="43" t="s">
        <v>57</v>
      </c>
      <c r="C51" s="479"/>
      <c r="D51" s="306"/>
      <c r="E51" s="583"/>
      <c r="F51" s="63"/>
    </row>
    <row r="52" spans="1:10" ht="15.95" customHeight="1">
      <c r="A52" s="28"/>
      <c r="B52" s="16"/>
      <c r="C52" s="53" t="s">
        <v>94</v>
      </c>
      <c r="D52" s="150">
        <v>0</v>
      </c>
      <c r="E52" s="586" t="e">
        <f>#REF!</f>
        <v>#REF!</v>
      </c>
      <c r="F52" s="64" t="e">
        <f>+D52*E52</f>
        <v>#REF!</v>
      </c>
    </row>
    <row r="53" spans="1:10" ht="15.95" customHeight="1">
      <c r="A53" s="41">
        <v>212</v>
      </c>
      <c r="B53" s="43" t="s">
        <v>58</v>
      </c>
      <c r="C53" s="479"/>
      <c r="D53" s="306"/>
      <c r="E53" s="583"/>
      <c r="F53" s="63"/>
    </row>
    <row r="54" spans="1:10" ht="15.95" customHeight="1">
      <c r="A54" s="28"/>
      <c r="B54" s="16"/>
      <c r="C54" s="53" t="s">
        <v>94</v>
      </c>
      <c r="D54" s="150">
        <v>0</v>
      </c>
      <c r="E54" s="586" t="e">
        <f>#REF!</f>
        <v>#REF!</v>
      </c>
      <c r="F54" s="64" t="e">
        <f>+D54*E54</f>
        <v>#REF!</v>
      </c>
    </row>
    <row r="55" spans="1:10" ht="15.95" customHeight="1">
      <c r="A55" s="41">
        <v>215</v>
      </c>
      <c r="B55" s="43" t="s">
        <v>59</v>
      </c>
      <c r="C55" s="479"/>
      <c r="D55" s="84"/>
      <c r="E55" s="583"/>
      <c r="F55" s="63"/>
    </row>
    <row r="56" spans="1:10" ht="15.95" customHeight="1">
      <c r="A56" s="28"/>
      <c r="B56" s="16"/>
      <c r="C56" s="396" t="s">
        <v>1</v>
      </c>
      <c r="D56" s="397">
        <f>J56</f>
        <v>1031.8000000000002</v>
      </c>
      <c r="E56" s="602" t="e">
        <f>#REF!</f>
        <v>#REF!</v>
      </c>
      <c r="F56" s="335" t="e">
        <f>+D56*E56</f>
        <v>#REF!</v>
      </c>
      <c r="H56" s="255">
        <f>F5</f>
        <v>938</v>
      </c>
      <c r="I56" s="262">
        <v>1.1000000000000001</v>
      </c>
      <c r="J56" s="255">
        <f>H56*I56</f>
        <v>1031.8000000000002</v>
      </c>
    </row>
    <row r="57" spans="1:10" ht="25.5" customHeight="1">
      <c r="A57" s="406"/>
      <c r="B57" s="40"/>
      <c r="C57" s="477"/>
      <c r="D57" s="92"/>
      <c r="E57" s="580" t="s">
        <v>111</v>
      </c>
      <c r="F57" s="94" t="e">
        <f>SUM(F33:F56)</f>
        <v>#REF!</v>
      </c>
    </row>
    <row r="58" spans="1:10" ht="15.95" customHeight="1">
      <c r="A58" s="406"/>
      <c r="B58" s="40"/>
      <c r="C58" s="51"/>
      <c r="D58" s="76"/>
      <c r="E58" s="584"/>
      <c r="F58" s="66"/>
    </row>
    <row r="59" spans="1:10" ht="23.25" customHeight="1">
      <c r="A59" s="436" t="s">
        <v>5</v>
      </c>
      <c r="B59" s="3"/>
      <c r="C59" s="52" t="s">
        <v>98</v>
      </c>
      <c r="D59" s="86" t="s">
        <v>99</v>
      </c>
      <c r="E59" s="603" t="s">
        <v>100</v>
      </c>
      <c r="F59" s="71" t="s">
        <v>114</v>
      </c>
    </row>
    <row r="60" spans="1:10" ht="15.95" customHeight="1">
      <c r="A60" s="17" t="s">
        <v>6</v>
      </c>
      <c r="B60" s="19" t="s">
        <v>60</v>
      </c>
      <c r="C60" s="7"/>
      <c r="D60" s="213"/>
      <c r="E60" s="583"/>
      <c r="F60" s="63"/>
    </row>
    <row r="61" spans="1:10" ht="15.95" customHeight="1">
      <c r="A61" s="36" t="s">
        <v>61</v>
      </c>
      <c r="B61" s="9" t="s">
        <v>62</v>
      </c>
      <c r="C61" s="55" t="s">
        <v>95</v>
      </c>
      <c r="D61" s="148">
        <v>0</v>
      </c>
      <c r="E61" s="586" t="e">
        <f>#REF!</f>
        <v>#REF!</v>
      </c>
      <c r="F61" s="64" t="e">
        <f>+D61*E61</f>
        <v>#REF!</v>
      </c>
      <c r="H61" s="255">
        <v>0</v>
      </c>
      <c r="I61" s="262">
        <f>1.15</f>
        <v>1.1499999999999999</v>
      </c>
      <c r="J61" s="255">
        <f>H61*I61</f>
        <v>0</v>
      </c>
    </row>
    <row r="62" spans="1:10" ht="15.95" customHeight="1">
      <c r="A62" s="17" t="s">
        <v>7</v>
      </c>
      <c r="B62" s="14" t="s">
        <v>63</v>
      </c>
      <c r="C62" s="58"/>
      <c r="D62" s="297"/>
      <c r="E62" s="587"/>
      <c r="F62" s="65"/>
      <c r="J62" s="255">
        <f>J61*0.1</f>
        <v>0</v>
      </c>
    </row>
    <row r="63" spans="1:10" ht="15.95" customHeight="1">
      <c r="A63" s="28"/>
      <c r="B63" s="16"/>
      <c r="C63" s="53" t="s">
        <v>95</v>
      </c>
      <c r="D63" s="147">
        <f>D61*0.1</f>
        <v>0</v>
      </c>
      <c r="E63" s="586" t="e">
        <f>#REF!</f>
        <v>#REF!</v>
      </c>
      <c r="F63" s="64" t="e">
        <f>+D63*E63</f>
        <v>#REF!</v>
      </c>
    </row>
    <row r="64" spans="1:10" ht="15.95" customHeight="1">
      <c r="A64" s="17" t="s">
        <v>8</v>
      </c>
      <c r="B64" s="14" t="s">
        <v>64</v>
      </c>
      <c r="C64" s="58"/>
      <c r="D64" s="297"/>
      <c r="E64" s="583"/>
      <c r="F64" s="63"/>
    </row>
    <row r="65" spans="1:11" ht="15.95" customHeight="1">
      <c r="A65" s="28"/>
      <c r="B65" s="20"/>
      <c r="C65" s="53" t="s">
        <v>95</v>
      </c>
      <c r="D65" s="150">
        <v>0</v>
      </c>
      <c r="E65" s="586" t="e">
        <f>#REF!</f>
        <v>#REF!</v>
      </c>
      <c r="F65" s="64" t="e">
        <f>+D65*E65</f>
        <v>#REF!</v>
      </c>
      <c r="H65" s="255">
        <v>0</v>
      </c>
      <c r="I65" s="262">
        <f>1.15</f>
        <v>1.1499999999999999</v>
      </c>
      <c r="J65" s="255">
        <f>H65*I65</f>
        <v>0</v>
      </c>
      <c r="K65" s="129">
        <f>J65-J62</f>
        <v>0</v>
      </c>
    </row>
    <row r="66" spans="1:11" s="205" customFormat="1" ht="15.95" customHeight="1">
      <c r="A66" s="139" t="s">
        <v>189</v>
      </c>
      <c r="B66" s="190" t="s">
        <v>132</v>
      </c>
      <c r="C66" s="475"/>
      <c r="D66" s="283"/>
      <c r="E66" s="581"/>
      <c r="F66" s="204"/>
      <c r="H66" s="258"/>
      <c r="I66" s="264"/>
      <c r="J66" s="258"/>
    </row>
    <row r="67" spans="1:11" s="205" customFormat="1" ht="15.95" customHeight="1">
      <c r="A67" s="439"/>
      <c r="B67" s="207"/>
      <c r="C67" s="191" t="s">
        <v>95</v>
      </c>
      <c r="D67" s="150">
        <v>0</v>
      </c>
      <c r="E67" s="582" t="e">
        <f>#REF!</f>
        <v>#REF!</v>
      </c>
      <c r="F67" s="208" t="e">
        <f>+D67*E67</f>
        <v>#REF!</v>
      </c>
      <c r="H67" s="258">
        <v>0</v>
      </c>
      <c r="I67" s="264">
        <f>1.05</f>
        <v>1.05</v>
      </c>
      <c r="J67" s="258">
        <f>H67*I67</f>
        <v>0</v>
      </c>
      <c r="K67" s="205" t="s">
        <v>272</v>
      </c>
    </row>
    <row r="68" spans="1:11" s="205" customFormat="1" ht="15.95" customHeight="1">
      <c r="A68" s="139" t="s">
        <v>255</v>
      </c>
      <c r="B68" s="190" t="s">
        <v>135</v>
      </c>
      <c r="C68" s="475"/>
      <c r="D68" s="283"/>
      <c r="E68" s="581"/>
      <c r="F68" s="204"/>
      <c r="H68" s="258"/>
      <c r="I68" s="264"/>
      <c r="J68" s="258"/>
    </row>
    <row r="69" spans="1:11" s="205" customFormat="1" ht="15.95" customHeight="1">
      <c r="A69" s="439"/>
      <c r="B69" s="207"/>
      <c r="C69" s="396" t="s">
        <v>94</v>
      </c>
      <c r="D69" s="397">
        <f>+J69</f>
        <v>2904.0000000000005</v>
      </c>
      <c r="E69" s="602" t="e">
        <f>#REF!</f>
        <v>#REF!</v>
      </c>
      <c r="F69" s="335" t="e">
        <f>+D69*E69</f>
        <v>#REF!</v>
      </c>
      <c r="H69" s="258">
        <f>1800+(13+1)*60</f>
        <v>2640</v>
      </c>
      <c r="I69" s="264">
        <v>1.1000000000000001</v>
      </c>
      <c r="J69" s="258">
        <f>H69*I69</f>
        <v>2904.0000000000005</v>
      </c>
    </row>
    <row r="70" spans="1:11" ht="27" customHeight="1">
      <c r="B70" s="18"/>
      <c r="C70" s="477"/>
      <c r="D70" s="92"/>
      <c r="E70" s="580" t="s">
        <v>110</v>
      </c>
      <c r="F70" s="94" t="e">
        <f>SUM(F60:F69)</f>
        <v>#REF!</v>
      </c>
    </row>
    <row r="71" spans="1:11" ht="15.95" customHeight="1">
      <c r="B71" s="18"/>
      <c r="C71" s="480"/>
      <c r="D71" s="111"/>
      <c r="F71" s="112"/>
    </row>
    <row r="72" spans="1:11" ht="23.25" customHeight="1">
      <c r="A72" s="436" t="s">
        <v>9</v>
      </c>
      <c r="B72" s="3"/>
      <c r="C72" s="52" t="s">
        <v>98</v>
      </c>
      <c r="D72" s="86" t="s">
        <v>99</v>
      </c>
      <c r="E72" s="603" t="s">
        <v>100</v>
      </c>
      <c r="F72" s="71" t="s">
        <v>114</v>
      </c>
    </row>
    <row r="73" spans="1:11" ht="29.25" customHeight="1">
      <c r="A73" s="47" t="s">
        <v>10</v>
      </c>
      <c r="B73" s="19" t="s">
        <v>65</v>
      </c>
      <c r="C73" s="209"/>
      <c r="D73" s="210"/>
      <c r="E73" s="581"/>
      <c r="F73" s="204"/>
    </row>
    <row r="74" spans="1:11" ht="15.95" customHeight="1">
      <c r="A74" s="28" t="s">
        <v>66</v>
      </c>
      <c r="B74" s="24" t="s">
        <v>67</v>
      </c>
      <c r="C74" s="211" t="s">
        <v>95</v>
      </c>
      <c r="D74" s="147">
        <f>J74</f>
        <v>0</v>
      </c>
      <c r="E74" s="582" t="e">
        <f>#REF!</f>
        <v>#REF!</v>
      </c>
      <c r="F74" s="208" t="e">
        <f>+D74*E74</f>
        <v>#REF!</v>
      </c>
      <c r="H74" s="145"/>
      <c r="I74" s="262">
        <f>1.1</f>
        <v>1.1000000000000001</v>
      </c>
      <c r="J74" s="255">
        <f>H74*I74</f>
        <v>0</v>
      </c>
    </row>
    <row r="75" spans="1:11" ht="15.95" customHeight="1">
      <c r="A75" s="17" t="s">
        <v>11</v>
      </c>
      <c r="B75" s="19" t="s">
        <v>68</v>
      </c>
      <c r="C75" s="23"/>
      <c r="D75" s="284"/>
      <c r="E75" s="583"/>
      <c r="F75" s="63"/>
    </row>
    <row r="76" spans="1:11" ht="15.95" customHeight="1">
      <c r="A76" s="28"/>
      <c r="B76" s="24"/>
      <c r="C76" s="59" t="s">
        <v>94</v>
      </c>
      <c r="D76" s="82">
        <f>J76</f>
        <v>0</v>
      </c>
      <c r="E76" s="586" t="e">
        <f>#REF!</f>
        <v>#REF!</v>
      </c>
      <c r="F76" s="64" t="e">
        <f>+D76*E76</f>
        <v>#REF!</v>
      </c>
      <c r="H76" s="255">
        <v>0</v>
      </c>
      <c r="I76" s="262">
        <f>1.05</f>
        <v>1.05</v>
      </c>
      <c r="J76" s="255">
        <f>H76*I76</f>
        <v>0</v>
      </c>
    </row>
    <row r="77" spans="1:11" ht="15.95" customHeight="1">
      <c r="A77" s="17">
        <v>404</v>
      </c>
      <c r="B77" s="19" t="s">
        <v>69</v>
      </c>
      <c r="C77" s="23"/>
      <c r="D77" s="72"/>
      <c r="E77" s="583"/>
      <c r="F77" s="63"/>
    </row>
    <row r="78" spans="1:11" ht="15.95" customHeight="1">
      <c r="A78" s="28"/>
      <c r="B78" s="24"/>
      <c r="C78" s="59" t="s">
        <v>94</v>
      </c>
      <c r="D78" s="82">
        <f>+D76</f>
        <v>0</v>
      </c>
      <c r="E78" s="586" t="e">
        <f>#REF!</f>
        <v>#REF!</v>
      </c>
      <c r="F78" s="64" t="e">
        <f>+D78*E78</f>
        <v>#REF!</v>
      </c>
    </row>
    <row r="79" spans="1:11" ht="15.95" customHeight="1">
      <c r="A79" s="17">
        <v>405</v>
      </c>
      <c r="B79" s="19" t="s">
        <v>70</v>
      </c>
      <c r="C79" s="23"/>
      <c r="D79" s="284"/>
      <c r="E79" s="583"/>
      <c r="F79" s="63"/>
    </row>
    <row r="80" spans="1:11" ht="15.95" customHeight="1">
      <c r="A80" s="28"/>
      <c r="B80" s="24"/>
      <c r="C80" s="59" t="s">
        <v>14</v>
      </c>
      <c r="D80" s="145">
        <v>0</v>
      </c>
      <c r="E80" s="586" t="e">
        <f>#REF!</f>
        <v>#REF!</v>
      </c>
      <c r="F80" s="64" t="e">
        <f>+D80*E80</f>
        <v>#REF!</v>
      </c>
      <c r="I80" s="262">
        <f>3.9/2</f>
        <v>1.95</v>
      </c>
    </row>
    <row r="81" spans="1:10" ht="15.95" customHeight="1">
      <c r="A81" s="45">
        <v>407</v>
      </c>
      <c r="B81" s="27" t="s">
        <v>160</v>
      </c>
      <c r="C81" s="60"/>
      <c r="D81" s="79"/>
      <c r="E81" s="583"/>
      <c r="F81" s="67"/>
    </row>
    <row r="82" spans="1:10" ht="15.95" customHeight="1">
      <c r="A82" s="45" t="s">
        <v>161</v>
      </c>
      <c r="B82" s="12" t="s">
        <v>71</v>
      </c>
      <c r="C82" s="54" t="s">
        <v>94</v>
      </c>
      <c r="D82" s="138">
        <f>J82</f>
        <v>0</v>
      </c>
      <c r="E82" s="604" t="e">
        <f>#REF!</f>
        <v>#REF!</v>
      </c>
      <c r="F82" s="65" t="e">
        <f>+D82*E82</f>
        <v>#REF!</v>
      </c>
      <c r="H82" s="255">
        <v>0</v>
      </c>
      <c r="I82" s="262">
        <f>1.1</f>
        <v>1.1000000000000001</v>
      </c>
      <c r="J82" s="255">
        <f>H82*I82</f>
        <v>0</v>
      </c>
    </row>
    <row r="83" spans="1:10" ht="15.95" customHeight="1">
      <c r="A83" s="28" t="s">
        <v>173</v>
      </c>
      <c r="B83" s="24" t="s">
        <v>72</v>
      </c>
      <c r="C83" s="53" t="s">
        <v>94</v>
      </c>
      <c r="D83" s="82">
        <f>J83</f>
        <v>0</v>
      </c>
      <c r="E83" s="587" t="e">
        <f>#REF!</f>
        <v>#REF!</v>
      </c>
      <c r="F83" s="65" t="e">
        <f>+D83*E83</f>
        <v>#REF!</v>
      </c>
      <c r="H83" s="255">
        <v>0</v>
      </c>
      <c r="I83" s="262">
        <f>1.1</f>
        <v>1.1000000000000001</v>
      </c>
      <c r="J83" s="255">
        <f>H83*I83</f>
        <v>0</v>
      </c>
    </row>
    <row r="84" spans="1:10" ht="15.95" customHeight="1">
      <c r="A84" s="17">
        <v>408</v>
      </c>
      <c r="B84" s="25" t="s">
        <v>163</v>
      </c>
      <c r="C84" s="58"/>
      <c r="D84" s="83"/>
      <c r="E84" s="583"/>
      <c r="F84" s="63"/>
    </row>
    <row r="85" spans="1:10" ht="15.95" customHeight="1">
      <c r="A85" s="45" t="s">
        <v>162</v>
      </c>
      <c r="B85" s="12" t="s">
        <v>190</v>
      </c>
      <c r="C85" s="146" t="s">
        <v>1</v>
      </c>
      <c r="D85" s="83">
        <f>J85</f>
        <v>0</v>
      </c>
      <c r="E85" s="587">
        <f>[2]BPU!E120</f>
        <v>5466</v>
      </c>
      <c r="F85" s="65">
        <f>+D85*E85</f>
        <v>0</v>
      </c>
      <c r="H85" s="255">
        <v>0</v>
      </c>
      <c r="I85" s="262">
        <f>1.1</f>
        <v>1.1000000000000001</v>
      </c>
      <c r="J85" s="255">
        <f>H85*I85</f>
        <v>0</v>
      </c>
    </row>
    <row r="86" spans="1:10" ht="15.95" customHeight="1">
      <c r="A86" s="45" t="s">
        <v>174</v>
      </c>
      <c r="B86" s="12" t="s">
        <v>191</v>
      </c>
      <c r="C86" s="146" t="s">
        <v>1</v>
      </c>
      <c r="D86" s="83">
        <f>J86</f>
        <v>0</v>
      </c>
      <c r="E86" s="587">
        <f>[2]BPU!E121</f>
        <v>4800</v>
      </c>
      <c r="F86" s="65">
        <f>+D86*E86</f>
        <v>0</v>
      </c>
      <c r="H86" s="255">
        <v>0</v>
      </c>
      <c r="I86" s="262">
        <f>1.1</f>
        <v>1.1000000000000001</v>
      </c>
      <c r="J86" s="255">
        <f>H86*I86</f>
        <v>0</v>
      </c>
    </row>
    <row r="87" spans="1:10" ht="15.95" customHeight="1">
      <c r="A87" s="28" t="s">
        <v>233</v>
      </c>
      <c r="B87" s="9" t="s">
        <v>234</v>
      </c>
      <c r="C87" s="286" t="s">
        <v>1</v>
      </c>
      <c r="D87" s="156">
        <f>J87</f>
        <v>0</v>
      </c>
      <c r="E87" s="586" t="e">
        <f>#REF!</f>
        <v>#REF!</v>
      </c>
      <c r="F87" s="64" t="e">
        <f>+D87*E87</f>
        <v>#REF!</v>
      </c>
      <c r="H87" s="256"/>
      <c r="I87" s="262">
        <f>1.1</f>
        <v>1.1000000000000001</v>
      </c>
      <c r="J87" s="255">
        <f>H87*I87</f>
        <v>0</v>
      </c>
    </row>
    <row r="88" spans="1:10" ht="15.95" customHeight="1">
      <c r="A88" s="406" t="e">
        <f>+#REF!</f>
        <v>#REF!</v>
      </c>
      <c r="B88" s="12" t="e">
        <f>+#REF!</f>
        <v>#REF!</v>
      </c>
      <c r="C88" s="472"/>
      <c r="D88" s="473"/>
      <c r="E88" s="612"/>
      <c r="F88" s="474"/>
      <c r="H88" s="256"/>
    </row>
    <row r="89" spans="1:10" ht="15.95" customHeight="1">
      <c r="A89" s="406" t="e">
        <f>+#REF!</f>
        <v>#REF!</v>
      </c>
      <c r="B89" s="12" t="e">
        <f>+#REF!</f>
        <v>#REF!</v>
      </c>
      <c r="C89" s="472" t="s">
        <v>616</v>
      </c>
      <c r="D89" s="473"/>
      <c r="E89" s="612"/>
      <c r="F89" s="474"/>
      <c r="H89" s="256"/>
    </row>
    <row r="90" spans="1:10" ht="15.95" customHeight="1">
      <c r="A90" s="406" t="e">
        <f>+#REF!</f>
        <v>#REF!</v>
      </c>
      <c r="B90" s="12" t="e">
        <f>+#REF!</f>
        <v>#REF!</v>
      </c>
      <c r="C90" s="472" t="s">
        <v>616</v>
      </c>
      <c r="D90" s="473"/>
      <c r="E90" s="612"/>
      <c r="F90" s="474"/>
      <c r="H90" s="256"/>
    </row>
    <row r="91" spans="1:10" ht="30" customHeight="1">
      <c r="A91" s="406"/>
      <c r="B91" s="12"/>
      <c r="C91" s="477"/>
      <c r="D91" s="92"/>
      <c r="E91" s="580" t="s">
        <v>109</v>
      </c>
      <c r="F91" s="94" t="e">
        <f>SUM(F73:F87)</f>
        <v>#REF!</v>
      </c>
    </row>
    <row r="92" spans="1:10" ht="15.95" customHeight="1">
      <c r="A92" s="406"/>
      <c r="B92" s="12"/>
      <c r="C92" s="51"/>
      <c r="D92" s="76"/>
      <c r="E92" s="585"/>
      <c r="F92" s="91"/>
      <c r="I92" s="262">
        <f>3*1.6+0.3*4</f>
        <v>6.0000000000000009</v>
      </c>
    </row>
    <row r="93" spans="1:10" ht="26.25" customHeight="1">
      <c r="A93" s="436" t="s">
        <v>73</v>
      </c>
      <c r="B93" s="3"/>
      <c r="C93" s="52" t="s">
        <v>98</v>
      </c>
      <c r="D93" s="86" t="s">
        <v>99</v>
      </c>
      <c r="E93" s="603" t="s">
        <v>100</v>
      </c>
      <c r="F93" s="71" t="s">
        <v>114</v>
      </c>
    </row>
    <row r="94" spans="1:10" ht="15.95" customHeight="1">
      <c r="A94" s="220">
        <v>501</v>
      </c>
      <c r="B94" s="673" t="s">
        <v>74</v>
      </c>
      <c r="C94" s="160"/>
      <c r="D94" s="213"/>
      <c r="E94" s="583"/>
      <c r="F94" s="68"/>
      <c r="H94" s="256">
        <v>15924</v>
      </c>
    </row>
    <row r="95" spans="1:10" ht="15.95" customHeight="1">
      <c r="A95" s="439"/>
      <c r="B95" s="207"/>
      <c r="C95" s="191" t="s">
        <v>95</v>
      </c>
      <c r="D95" s="150">
        <f>J95</f>
        <v>16537.730000000007</v>
      </c>
      <c r="E95" s="586" t="e">
        <f>#REF!</f>
        <v>#REF!</v>
      </c>
      <c r="F95" s="64" t="e">
        <f>+D95*E95</f>
        <v>#REF!</v>
      </c>
      <c r="H95" s="256">
        <f>(2*1.6+0.3*3+0.1*2+0.6*2)*(1+0.3*2+0.1)*F3+(2*1.6+0.3*3+0.1*2+0.6*2)*(1+0.3*2+0.1)*F4+36*20*2*(1+0.25*2+0.6*2+0.1*2)*(0.8+0.25*2+0.1*2)</f>
        <v>15034.300000000005</v>
      </c>
      <c r="I95" s="262">
        <v>1.1000000000000001</v>
      </c>
      <c r="J95" s="255">
        <f>H95*I95</f>
        <v>16537.730000000007</v>
      </c>
    </row>
    <row r="96" spans="1:10" ht="15.95" customHeight="1">
      <c r="A96" s="214">
        <v>502</v>
      </c>
      <c r="B96" s="673" t="s">
        <v>75</v>
      </c>
      <c r="C96" s="221"/>
      <c r="D96" s="212"/>
      <c r="E96" s="583"/>
      <c r="F96" s="69"/>
    </row>
    <row r="97" spans="1:10" ht="15.95" customHeight="1">
      <c r="A97" s="440"/>
      <c r="B97" s="219"/>
      <c r="C97" s="191" t="s">
        <v>95</v>
      </c>
      <c r="D97" s="150">
        <f>J97</f>
        <v>10020.230000000007</v>
      </c>
      <c r="E97" s="586" t="e">
        <f>#REF!</f>
        <v>#REF!</v>
      </c>
      <c r="F97" s="64" t="e">
        <f>+D97*E97</f>
        <v>#REF!</v>
      </c>
      <c r="H97" s="255">
        <f>H95-4.1*1*F3-6*1*F4-1*0.8*36*20*2</f>
        <v>9109.3000000000047</v>
      </c>
      <c r="I97" s="262">
        <v>1.1000000000000001</v>
      </c>
      <c r="J97" s="255">
        <f>H97*I97</f>
        <v>10020.230000000007</v>
      </c>
    </row>
    <row r="98" spans="1:10" ht="15.95" customHeight="1">
      <c r="A98" s="47" t="s">
        <v>12</v>
      </c>
      <c r="B98" s="560" t="s">
        <v>101</v>
      </c>
      <c r="C98" s="160"/>
      <c r="D98" s="213"/>
      <c r="E98" s="583"/>
      <c r="F98" s="65"/>
    </row>
    <row r="99" spans="1:10" ht="15.95" customHeight="1">
      <c r="A99" s="28"/>
      <c r="B99" s="9"/>
      <c r="C99" s="191" t="s">
        <v>95</v>
      </c>
      <c r="D99" s="150">
        <v>50</v>
      </c>
      <c r="E99" s="586" t="e">
        <f>#REF!</f>
        <v>#REF!</v>
      </c>
      <c r="F99" s="64" t="e">
        <f>+D99*E99</f>
        <v>#REF!</v>
      </c>
    </row>
    <row r="100" spans="1:10" ht="15.95" customHeight="1">
      <c r="A100" s="41" t="s">
        <v>13</v>
      </c>
      <c r="B100" s="554" t="s">
        <v>77</v>
      </c>
      <c r="C100" s="481"/>
      <c r="D100" s="85"/>
      <c r="E100" s="583"/>
      <c r="F100" s="63"/>
    </row>
    <row r="101" spans="1:10" ht="15.95" customHeight="1">
      <c r="A101" s="28"/>
      <c r="B101" s="9"/>
      <c r="C101" s="55" t="s">
        <v>94</v>
      </c>
      <c r="D101" s="82">
        <v>250</v>
      </c>
      <c r="E101" s="586" t="e">
        <f>#REF!</f>
        <v>#REF!</v>
      </c>
      <c r="F101" s="64" t="e">
        <f>+D101*E101</f>
        <v>#REF!</v>
      </c>
    </row>
    <row r="102" spans="1:10" ht="15.95" customHeight="1">
      <c r="A102" s="17">
        <v>505</v>
      </c>
      <c r="B102" s="669" t="s">
        <v>76</v>
      </c>
      <c r="C102" s="58"/>
      <c r="D102" s="80"/>
      <c r="E102" s="583"/>
      <c r="F102" s="63"/>
    </row>
    <row r="103" spans="1:10" ht="15.95" customHeight="1">
      <c r="A103" s="17" t="s">
        <v>15</v>
      </c>
      <c r="B103" s="37" t="s">
        <v>78</v>
      </c>
      <c r="C103" s="50" t="s">
        <v>14</v>
      </c>
      <c r="D103" s="83">
        <f>(D108)*110</f>
        <v>16500</v>
      </c>
      <c r="E103" s="587" t="e">
        <f>#REF!</f>
        <v>#REF!</v>
      </c>
      <c r="F103" s="65" t="e">
        <f>+D103*E103</f>
        <v>#REF!</v>
      </c>
    </row>
    <row r="104" spans="1:10" ht="15.95" customHeight="1">
      <c r="A104" s="36" t="s">
        <v>16</v>
      </c>
      <c r="B104" s="49" t="s">
        <v>79</v>
      </c>
      <c r="C104" s="53" t="s">
        <v>14</v>
      </c>
      <c r="D104" s="77"/>
      <c r="E104" s="587" t="e">
        <f>#REF!</f>
        <v>#REF!</v>
      </c>
      <c r="F104" s="64" t="e">
        <f>+D104*E104</f>
        <v>#REF!</v>
      </c>
    </row>
    <row r="105" spans="1:10" ht="15.95" customHeight="1">
      <c r="A105" s="17">
        <v>506</v>
      </c>
      <c r="B105" s="404" t="s">
        <v>80</v>
      </c>
      <c r="C105" s="58"/>
      <c r="D105" s="80"/>
      <c r="E105" s="583"/>
      <c r="F105" s="63"/>
    </row>
    <row r="106" spans="1:10" ht="15.95" customHeight="1">
      <c r="A106" s="28"/>
      <c r="B106" s="24"/>
      <c r="C106" s="53" t="s">
        <v>95</v>
      </c>
      <c r="D106" s="82">
        <f>55+11*0.2*50</f>
        <v>165</v>
      </c>
      <c r="E106" s="588" t="e">
        <f>#REF!</f>
        <v>#REF!</v>
      </c>
      <c r="F106" s="64" t="e">
        <f>+D106*E106</f>
        <v>#REF!</v>
      </c>
    </row>
    <row r="107" spans="1:10" ht="15.95" customHeight="1">
      <c r="A107" s="17">
        <v>507</v>
      </c>
      <c r="B107" s="433" t="s">
        <v>81</v>
      </c>
      <c r="C107" s="58"/>
      <c r="D107" s="80"/>
      <c r="E107" s="583"/>
      <c r="F107" s="63"/>
    </row>
    <row r="108" spans="1:10" ht="15.95" customHeight="1">
      <c r="A108" s="28"/>
      <c r="B108" s="24"/>
      <c r="C108" s="53" t="s">
        <v>95</v>
      </c>
      <c r="D108" s="78">
        <v>150</v>
      </c>
      <c r="E108" s="586" t="e">
        <f>#REF!</f>
        <v>#REF!</v>
      </c>
      <c r="F108" s="64" t="e">
        <f>+D108*E108</f>
        <v>#REF!</v>
      </c>
    </row>
    <row r="109" spans="1:10" ht="15.95" customHeight="1">
      <c r="A109" s="41">
        <v>509</v>
      </c>
      <c r="B109" s="554" t="s">
        <v>139</v>
      </c>
      <c r="C109" s="479"/>
      <c r="D109" s="84"/>
      <c r="E109" s="583"/>
      <c r="F109" s="63"/>
    </row>
    <row r="110" spans="1:10" ht="15.95" customHeight="1">
      <c r="A110" s="17" t="s">
        <v>140</v>
      </c>
      <c r="B110" s="39" t="s">
        <v>262</v>
      </c>
      <c r="C110" s="54" t="s">
        <v>94</v>
      </c>
      <c r="D110" s="83">
        <v>0</v>
      </c>
      <c r="E110" s="587" t="e">
        <f>#REF!</f>
        <v>#REF!</v>
      </c>
      <c r="F110" s="65" t="e">
        <f>+D110*E110</f>
        <v>#REF!</v>
      </c>
    </row>
    <row r="111" spans="1:10" ht="15.95" customHeight="1">
      <c r="A111" s="17" t="s">
        <v>141</v>
      </c>
      <c r="B111" s="39" t="s">
        <v>263</v>
      </c>
      <c r="C111" s="54" t="s">
        <v>94</v>
      </c>
      <c r="D111" s="83">
        <v>0</v>
      </c>
      <c r="E111" s="587" t="e">
        <f>#REF!</f>
        <v>#REF!</v>
      </c>
      <c r="F111" s="65" t="e">
        <f>+D111*E111</f>
        <v>#REF!</v>
      </c>
    </row>
    <row r="112" spans="1:10" ht="15.95" customHeight="1">
      <c r="A112" s="36" t="s">
        <v>142</v>
      </c>
      <c r="B112" s="49" t="s">
        <v>281</v>
      </c>
      <c r="C112" s="53" t="s">
        <v>94</v>
      </c>
      <c r="D112" s="155">
        <v>0</v>
      </c>
      <c r="E112" s="587" t="e">
        <f>#REF!</f>
        <v>#REF!</v>
      </c>
      <c r="F112" s="65" t="e">
        <f>+D112*E112</f>
        <v>#REF!</v>
      </c>
    </row>
    <row r="113" spans="1:189" ht="15.95" customHeight="1">
      <c r="A113" s="43" t="e">
        <f>+#REF!</f>
        <v>#REF!</v>
      </c>
      <c r="B113" s="43" t="e">
        <f>+#REF!</f>
        <v>#REF!</v>
      </c>
      <c r="C113" s="479"/>
      <c r="D113" s="84"/>
      <c r="E113" s="583"/>
      <c r="F113" s="63"/>
    </row>
    <row r="114" spans="1:189" ht="15.95" customHeight="1">
      <c r="A114" s="39" t="e">
        <f>+#REF!</f>
        <v>#REF!</v>
      </c>
      <c r="B114" s="39" t="e">
        <f>+#REF!</f>
        <v>#REF!</v>
      </c>
      <c r="C114" s="58" t="s">
        <v>1</v>
      </c>
      <c r="D114" s="83"/>
      <c r="E114" s="587" t="e">
        <f>#REF!</f>
        <v>#REF!</v>
      </c>
      <c r="F114" s="65" t="e">
        <f>+D114*E114</f>
        <v>#REF!</v>
      </c>
    </row>
    <row r="115" spans="1:189" ht="15.95" customHeight="1">
      <c r="A115" s="39" t="e">
        <f>+#REF!</f>
        <v>#REF!</v>
      </c>
      <c r="B115" s="39" t="e">
        <f>+#REF!</f>
        <v>#REF!</v>
      </c>
      <c r="C115" s="58" t="s">
        <v>1</v>
      </c>
      <c r="D115" s="83">
        <f>6*50</f>
        <v>300</v>
      </c>
      <c r="E115" s="587" t="e">
        <f>#REF!</f>
        <v>#REF!</v>
      </c>
      <c r="F115" s="65" t="e">
        <f>+D115*E115</f>
        <v>#REF!</v>
      </c>
    </row>
    <row r="116" spans="1:189" ht="15.95" customHeight="1">
      <c r="A116" s="39" t="e">
        <f>+#REF!</f>
        <v>#REF!</v>
      </c>
      <c r="B116" s="39" t="e">
        <f>+#REF!</f>
        <v>#REF!</v>
      </c>
      <c r="C116" s="58" t="s">
        <v>1</v>
      </c>
      <c r="D116" s="155">
        <v>0</v>
      </c>
      <c r="E116" s="587" t="e">
        <f>#REF!</f>
        <v>#REF!</v>
      </c>
      <c r="F116" s="65" t="e">
        <f>+D116*E116</f>
        <v>#REF!</v>
      </c>
    </row>
    <row r="117" spans="1:189" ht="15.95" customHeight="1">
      <c r="A117" s="39" t="e">
        <f>+#REF!</f>
        <v>#REF!</v>
      </c>
      <c r="B117" s="39" t="e">
        <f>+#REF!</f>
        <v>#REF!</v>
      </c>
      <c r="C117" s="58" t="s">
        <v>1</v>
      </c>
      <c r="D117" s="155">
        <v>0</v>
      </c>
      <c r="E117" s="587" t="e">
        <f>#REF!</f>
        <v>#REF!</v>
      </c>
      <c r="F117" s="65" t="e">
        <f>+D117*E117</f>
        <v>#REF!</v>
      </c>
    </row>
    <row r="118" spans="1:189" ht="15.95" customHeight="1">
      <c r="A118" s="39" t="e">
        <f>+#REF!</f>
        <v>#REF!</v>
      </c>
      <c r="B118" s="39" t="e">
        <f>+#REF!</f>
        <v>#REF!</v>
      </c>
      <c r="C118" s="124" t="s">
        <v>1</v>
      </c>
      <c r="D118" s="156">
        <v>0</v>
      </c>
      <c r="E118" s="587" t="e">
        <f>#REF!</f>
        <v>#REF!</v>
      </c>
      <c r="F118" s="64" t="e">
        <f>+D118*E118</f>
        <v>#REF!</v>
      </c>
      <c r="I118" s="262">
        <v>1.05</v>
      </c>
      <c r="J118" s="255">
        <f>H118*I118</f>
        <v>0</v>
      </c>
    </row>
    <row r="119" spans="1:189" ht="15.95" customHeight="1">
      <c r="A119" s="17"/>
      <c r="B119" s="39"/>
      <c r="C119" s="58"/>
      <c r="D119" s="155"/>
      <c r="E119" s="587"/>
      <c r="F119" s="65"/>
    </row>
    <row r="120" spans="1:189" ht="15.95" customHeight="1">
      <c r="A120" s="404" t="e">
        <f>+#REF!</f>
        <v>#REF!</v>
      </c>
      <c r="B120" s="404" t="e">
        <f>+#REF!</f>
        <v>#REF!</v>
      </c>
      <c r="C120" s="58"/>
      <c r="D120" s="155"/>
      <c r="E120" s="587"/>
      <c r="F120" s="65"/>
    </row>
    <row r="121" spans="1:189" ht="15.95" customHeight="1">
      <c r="A121" s="39" t="e">
        <f>+#REF!</f>
        <v>#REF!</v>
      </c>
      <c r="B121" s="39" t="e">
        <f>+#REF!</f>
        <v>#REF!</v>
      </c>
      <c r="C121" s="228" t="s">
        <v>1</v>
      </c>
      <c r="D121" s="138">
        <f>J121</f>
        <v>630</v>
      </c>
      <c r="E121" s="587" t="e">
        <f>#REF!</f>
        <v>#REF!</v>
      </c>
      <c r="F121" s="65" t="e">
        <f>+D121*E121</f>
        <v>#REF!</v>
      </c>
      <c r="H121" s="259">
        <f>15*20*2</f>
        <v>600</v>
      </c>
      <c r="I121" s="265">
        <v>1.05</v>
      </c>
      <c r="J121" s="259">
        <f>H121*I121</f>
        <v>630</v>
      </c>
    </row>
    <row r="122" spans="1:189" ht="15.95" customHeight="1">
      <c r="A122" s="17"/>
      <c r="B122" s="39"/>
      <c r="C122" s="58"/>
      <c r="D122" s="155"/>
      <c r="E122" s="587"/>
      <c r="F122" s="65"/>
      <c r="I122" s="265"/>
    </row>
    <row r="123" spans="1:189" s="225" customFormat="1" ht="15.95" customHeight="1">
      <c r="A123" s="223" t="e">
        <f>+#REF!</f>
        <v>#REF!</v>
      </c>
      <c r="B123" s="671" t="e">
        <f>+#REF!</f>
        <v>#REF!</v>
      </c>
      <c r="C123" s="224"/>
      <c r="D123" s="200"/>
      <c r="E123" s="583"/>
      <c r="F123" s="63"/>
      <c r="H123" s="259"/>
      <c r="I123" s="265"/>
      <c r="J123" s="259"/>
      <c r="K123" s="226"/>
      <c r="L123" s="226"/>
      <c r="M123" s="226"/>
      <c r="N123" s="226"/>
      <c r="O123" s="226"/>
      <c r="P123" s="226"/>
      <c r="Q123" s="226"/>
      <c r="R123" s="226"/>
      <c r="S123" s="226"/>
      <c r="T123" s="226"/>
      <c r="U123" s="226"/>
      <c r="V123" s="226"/>
      <c r="W123" s="226"/>
      <c r="X123" s="226"/>
      <c r="Y123" s="226"/>
      <c r="Z123" s="226"/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  <c r="AY123" s="226"/>
      <c r="AZ123" s="226"/>
      <c r="BA123" s="226"/>
      <c r="BB123" s="226"/>
      <c r="BC123" s="226"/>
      <c r="BD123" s="226"/>
      <c r="BE123" s="226"/>
      <c r="BF123" s="226"/>
      <c r="BG123" s="226"/>
      <c r="BH123" s="226"/>
      <c r="BI123" s="226"/>
      <c r="BJ123" s="226"/>
      <c r="BK123" s="226"/>
      <c r="BL123" s="226"/>
      <c r="BM123" s="226"/>
      <c r="BN123" s="226"/>
      <c r="BO123" s="226"/>
      <c r="BP123" s="226"/>
      <c r="BQ123" s="226"/>
      <c r="BR123" s="226"/>
      <c r="BS123" s="226"/>
      <c r="BT123" s="226"/>
      <c r="BU123" s="226"/>
      <c r="BV123" s="226"/>
      <c r="BW123" s="226"/>
      <c r="BX123" s="226"/>
      <c r="BY123" s="226"/>
      <c r="BZ123" s="226"/>
      <c r="CA123" s="226"/>
      <c r="CB123" s="226"/>
      <c r="CC123" s="226"/>
      <c r="CD123" s="226"/>
      <c r="CE123" s="226"/>
      <c r="CF123" s="226"/>
      <c r="CG123" s="226"/>
      <c r="CH123" s="226"/>
      <c r="CI123" s="226"/>
      <c r="CJ123" s="226"/>
      <c r="CK123" s="226"/>
      <c r="CL123" s="226"/>
      <c r="CM123" s="226"/>
      <c r="CN123" s="226"/>
      <c r="CO123" s="226"/>
      <c r="CP123" s="226"/>
      <c r="CQ123" s="226"/>
      <c r="CR123" s="226"/>
      <c r="CS123" s="226"/>
      <c r="CT123" s="226"/>
      <c r="CU123" s="226"/>
      <c r="CV123" s="226"/>
      <c r="CW123" s="226"/>
      <c r="CX123" s="226"/>
      <c r="CY123" s="226"/>
      <c r="CZ123" s="226"/>
      <c r="DA123" s="226"/>
      <c r="DB123" s="226"/>
      <c r="DC123" s="226"/>
      <c r="DD123" s="226"/>
      <c r="DE123" s="226"/>
      <c r="DF123" s="226"/>
      <c r="DG123" s="226"/>
      <c r="DH123" s="226"/>
      <c r="DI123" s="226"/>
      <c r="DJ123" s="226"/>
      <c r="DK123" s="226"/>
      <c r="DL123" s="226"/>
      <c r="DM123" s="226"/>
      <c r="DN123" s="226"/>
      <c r="DO123" s="226"/>
      <c r="DP123" s="226"/>
      <c r="DQ123" s="226"/>
      <c r="DR123" s="226"/>
      <c r="DS123" s="226"/>
      <c r="DT123" s="226"/>
      <c r="DU123" s="226"/>
      <c r="DV123" s="226"/>
      <c r="DW123" s="226"/>
      <c r="DX123" s="226"/>
      <c r="DY123" s="226"/>
      <c r="DZ123" s="226"/>
      <c r="EA123" s="226"/>
      <c r="EB123" s="226"/>
      <c r="EC123" s="226"/>
      <c r="ED123" s="226"/>
      <c r="EE123" s="226"/>
      <c r="EF123" s="226"/>
      <c r="EG123" s="226"/>
      <c r="EH123" s="226"/>
      <c r="EI123" s="226"/>
      <c r="EJ123" s="226"/>
      <c r="EK123" s="226"/>
      <c r="EL123" s="226"/>
      <c r="EM123" s="226"/>
      <c r="EN123" s="226"/>
      <c r="EO123" s="226"/>
      <c r="EP123" s="226"/>
      <c r="EQ123" s="226"/>
      <c r="ER123" s="226"/>
      <c r="ES123" s="226"/>
      <c r="ET123" s="226"/>
      <c r="EU123" s="226"/>
      <c r="EV123" s="226"/>
      <c r="EW123" s="226"/>
      <c r="EX123" s="226"/>
      <c r="EY123" s="226"/>
      <c r="EZ123" s="226"/>
      <c r="FA123" s="226"/>
      <c r="FB123" s="226"/>
      <c r="FC123" s="226"/>
      <c r="FD123" s="226"/>
      <c r="FE123" s="226"/>
      <c r="FF123" s="226"/>
      <c r="FG123" s="226"/>
      <c r="FH123" s="226"/>
      <c r="FI123" s="226"/>
      <c r="FJ123" s="226"/>
      <c r="FK123" s="226"/>
      <c r="FL123" s="226"/>
      <c r="FM123" s="226"/>
      <c r="FN123" s="226"/>
      <c r="FO123" s="226"/>
      <c r="FP123" s="226"/>
      <c r="FQ123" s="226"/>
      <c r="FR123" s="226"/>
      <c r="FS123" s="226"/>
      <c r="FT123" s="226"/>
      <c r="FU123" s="226"/>
      <c r="FV123" s="226"/>
      <c r="FW123" s="226"/>
      <c r="FX123" s="226"/>
      <c r="FY123" s="226"/>
      <c r="FZ123" s="226"/>
      <c r="GA123" s="226"/>
      <c r="GB123" s="226"/>
      <c r="GC123" s="226"/>
      <c r="GD123" s="226"/>
      <c r="GE123" s="226"/>
      <c r="GF123" s="226"/>
      <c r="GG123" s="226"/>
    </row>
    <row r="124" spans="1:189" s="225" customFormat="1" ht="15.95" customHeight="1">
      <c r="A124" s="227" t="e">
        <f>+#REF!</f>
        <v>#REF!</v>
      </c>
      <c r="B124" s="227" t="e">
        <f>+#REF!</f>
        <v>#REF!</v>
      </c>
      <c r="C124" s="228" t="s">
        <v>1</v>
      </c>
      <c r="D124" s="138">
        <f>J124</f>
        <v>472.5</v>
      </c>
      <c r="E124" s="587" t="e">
        <f>#REF!</f>
        <v>#REF!</v>
      </c>
      <c r="F124" s="65" t="e">
        <f>+D124*E124</f>
        <v>#REF!</v>
      </c>
      <c r="H124" s="259">
        <f>F3</f>
        <v>450</v>
      </c>
      <c r="I124" s="265">
        <v>1.05</v>
      </c>
      <c r="J124" s="259">
        <f>H124*I124</f>
        <v>472.5</v>
      </c>
      <c r="K124" s="226"/>
      <c r="L124" s="226"/>
      <c r="M124" s="226"/>
      <c r="N124" s="226"/>
      <c r="O124" s="226"/>
      <c r="P124" s="226"/>
      <c r="Q124" s="226"/>
      <c r="R124" s="226"/>
      <c r="S124" s="226"/>
      <c r="T124" s="226"/>
      <c r="U124" s="226"/>
      <c r="V124" s="226"/>
      <c r="W124" s="226"/>
      <c r="X124" s="226"/>
      <c r="Y124" s="226"/>
      <c r="Z124" s="226"/>
      <c r="AA124" s="226"/>
      <c r="AB124" s="226"/>
      <c r="AC124" s="226"/>
      <c r="AD124" s="226"/>
      <c r="AE124" s="226"/>
      <c r="AF124" s="226"/>
      <c r="AG124" s="226"/>
      <c r="AH124" s="226"/>
      <c r="AI124" s="226"/>
      <c r="AJ124" s="226"/>
      <c r="AK124" s="226"/>
      <c r="AL124" s="226"/>
      <c r="AM124" s="226"/>
      <c r="AN124" s="226"/>
      <c r="AO124" s="226"/>
      <c r="AP124" s="226"/>
      <c r="AQ124" s="226"/>
      <c r="AR124" s="226"/>
      <c r="AS124" s="226"/>
      <c r="AT124" s="226"/>
      <c r="AU124" s="226"/>
      <c r="AV124" s="226"/>
      <c r="AW124" s="226"/>
      <c r="AX124" s="226"/>
      <c r="AY124" s="226"/>
      <c r="AZ124" s="226"/>
      <c r="BA124" s="226"/>
      <c r="BB124" s="226"/>
      <c r="BC124" s="226"/>
      <c r="BD124" s="226"/>
      <c r="BE124" s="226"/>
      <c r="BF124" s="226"/>
      <c r="BG124" s="226"/>
      <c r="BH124" s="226"/>
      <c r="BI124" s="226"/>
      <c r="BJ124" s="226"/>
      <c r="BK124" s="226"/>
      <c r="BL124" s="226"/>
      <c r="BM124" s="226"/>
      <c r="BN124" s="226"/>
      <c r="BO124" s="226"/>
      <c r="BP124" s="226"/>
      <c r="BQ124" s="226"/>
      <c r="BR124" s="226"/>
      <c r="BS124" s="226"/>
      <c r="BT124" s="226"/>
      <c r="BU124" s="226"/>
      <c r="BV124" s="226"/>
      <c r="BW124" s="226"/>
      <c r="BX124" s="226"/>
      <c r="BY124" s="226"/>
      <c r="BZ124" s="226"/>
      <c r="CA124" s="226"/>
      <c r="CB124" s="226"/>
      <c r="CC124" s="226"/>
      <c r="CD124" s="226"/>
      <c r="CE124" s="226"/>
      <c r="CF124" s="226"/>
      <c r="CG124" s="226"/>
      <c r="CH124" s="226"/>
      <c r="CI124" s="226"/>
      <c r="CJ124" s="226"/>
      <c r="CK124" s="226"/>
      <c r="CL124" s="226"/>
      <c r="CM124" s="226"/>
      <c r="CN124" s="226"/>
      <c r="CO124" s="226"/>
      <c r="CP124" s="226"/>
      <c r="CQ124" s="226"/>
      <c r="CR124" s="226"/>
      <c r="CS124" s="226"/>
      <c r="CT124" s="226"/>
      <c r="CU124" s="226"/>
      <c r="CV124" s="226"/>
      <c r="CW124" s="226"/>
      <c r="CX124" s="226"/>
      <c r="CY124" s="226"/>
      <c r="CZ124" s="226"/>
      <c r="DA124" s="226"/>
      <c r="DB124" s="226"/>
      <c r="DC124" s="226"/>
      <c r="DD124" s="226"/>
      <c r="DE124" s="226"/>
      <c r="DF124" s="226"/>
      <c r="DG124" s="226"/>
      <c r="DH124" s="226"/>
      <c r="DI124" s="226"/>
      <c r="DJ124" s="226"/>
      <c r="DK124" s="226"/>
      <c r="DL124" s="226"/>
      <c r="DM124" s="226"/>
      <c r="DN124" s="226"/>
      <c r="DO124" s="226"/>
      <c r="DP124" s="226"/>
      <c r="DQ124" s="226"/>
      <c r="DR124" s="226"/>
      <c r="DS124" s="226"/>
      <c r="DT124" s="226"/>
      <c r="DU124" s="226"/>
      <c r="DV124" s="226"/>
      <c r="DW124" s="226"/>
      <c r="DX124" s="226"/>
      <c r="DY124" s="226"/>
      <c r="DZ124" s="226"/>
      <c r="EA124" s="226"/>
      <c r="EB124" s="226"/>
      <c r="EC124" s="226"/>
      <c r="ED124" s="226"/>
      <c r="EE124" s="226"/>
      <c r="EF124" s="226"/>
      <c r="EG124" s="226"/>
      <c r="EH124" s="226"/>
      <c r="EI124" s="226"/>
      <c r="EJ124" s="226"/>
      <c r="EK124" s="226"/>
      <c r="EL124" s="226"/>
      <c r="EM124" s="226"/>
      <c r="EN124" s="226"/>
      <c r="EO124" s="226"/>
      <c r="EP124" s="226"/>
      <c r="EQ124" s="226"/>
      <c r="ER124" s="226"/>
      <c r="ES124" s="226"/>
      <c r="ET124" s="226"/>
      <c r="EU124" s="226"/>
      <c r="EV124" s="226"/>
      <c r="EW124" s="226"/>
      <c r="EX124" s="226"/>
      <c r="EY124" s="226"/>
      <c r="EZ124" s="226"/>
      <c r="FA124" s="226"/>
      <c r="FB124" s="226"/>
      <c r="FC124" s="226"/>
      <c r="FD124" s="226"/>
      <c r="FE124" s="226"/>
      <c r="FF124" s="226"/>
      <c r="FG124" s="226"/>
      <c r="FH124" s="226"/>
      <c r="FI124" s="226"/>
      <c r="FJ124" s="226"/>
      <c r="FK124" s="226"/>
      <c r="FL124" s="226"/>
      <c r="FM124" s="226"/>
      <c r="FN124" s="226"/>
      <c r="FO124" s="226"/>
      <c r="FP124" s="226"/>
      <c r="FQ124" s="226"/>
      <c r="FR124" s="226"/>
      <c r="FS124" s="226"/>
      <c r="FT124" s="226"/>
      <c r="FU124" s="226"/>
      <c r="FV124" s="226"/>
      <c r="FW124" s="226"/>
      <c r="FX124" s="226"/>
      <c r="FY124" s="226"/>
      <c r="FZ124" s="226"/>
      <c r="GA124" s="226"/>
      <c r="GB124" s="226"/>
      <c r="GC124" s="226"/>
      <c r="GD124" s="226"/>
      <c r="GE124" s="226"/>
      <c r="GF124" s="226"/>
      <c r="GG124" s="226"/>
    </row>
    <row r="125" spans="1:189" s="225" customFormat="1" ht="15.95" customHeight="1">
      <c r="A125" s="227" t="e">
        <f>+#REF!</f>
        <v>#REF!</v>
      </c>
      <c r="B125" s="227" t="e">
        <f>+#REF!</f>
        <v>#REF!</v>
      </c>
      <c r="C125" s="228" t="s">
        <v>1</v>
      </c>
      <c r="D125" s="138">
        <f>J125</f>
        <v>512.4</v>
      </c>
      <c r="E125" s="587" t="e">
        <f>#REF!</f>
        <v>#REF!</v>
      </c>
      <c r="F125" s="65" t="e">
        <f>+D125*E125</f>
        <v>#REF!</v>
      </c>
      <c r="H125" s="259">
        <f>F4</f>
        <v>488</v>
      </c>
      <c r="I125" s="265">
        <v>1.05</v>
      </c>
      <c r="J125" s="259">
        <f>H125*I125</f>
        <v>512.4</v>
      </c>
      <c r="K125" s="226"/>
      <c r="L125" s="226"/>
      <c r="M125" s="226"/>
      <c r="N125" s="226"/>
      <c r="O125" s="226"/>
      <c r="P125" s="226"/>
      <c r="Q125" s="226"/>
      <c r="R125" s="226"/>
      <c r="S125" s="226"/>
      <c r="T125" s="226"/>
      <c r="U125" s="226"/>
      <c r="V125" s="226"/>
      <c r="W125" s="226"/>
      <c r="X125" s="226"/>
      <c r="Y125" s="226"/>
      <c r="Z125" s="226"/>
      <c r="AA125" s="226"/>
      <c r="AB125" s="226"/>
      <c r="AC125" s="226"/>
      <c r="AD125" s="226"/>
      <c r="AE125" s="226"/>
      <c r="AF125" s="226"/>
      <c r="AG125" s="226"/>
      <c r="AH125" s="226"/>
      <c r="AI125" s="226"/>
      <c r="AJ125" s="226"/>
      <c r="AK125" s="226"/>
      <c r="AL125" s="226"/>
      <c r="AM125" s="226"/>
      <c r="AN125" s="226"/>
      <c r="AO125" s="226"/>
      <c r="AP125" s="226"/>
      <c r="AQ125" s="226"/>
      <c r="AR125" s="226"/>
      <c r="AS125" s="226"/>
      <c r="AT125" s="226"/>
      <c r="AU125" s="226"/>
      <c r="AV125" s="226"/>
      <c r="AW125" s="226"/>
      <c r="AX125" s="226"/>
      <c r="AY125" s="226"/>
      <c r="AZ125" s="226"/>
      <c r="BA125" s="226"/>
      <c r="BB125" s="226"/>
      <c r="BC125" s="226"/>
      <c r="BD125" s="226"/>
      <c r="BE125" s="226"/>
      <c r="BF125" s="226"/>
      <c r="BG125" s="226"/>
      <c r="BH125" s="226"/>
      <c r="BI125" s="226"/>
      <c r="BJ125" s="226"/>
      <c r="BK125" s="226"/>
      <c r="BL125" s="226"/>
      <c r="BM125" s="226"/>
      <c r="BN125" s="226"/>
      <c r="BO125" s="226"/>
      <c r="BP125" s="226"/>
      <c r="BQ125" s="226"/>
      <c r="BR125" s="226"/>
      <c r="BS125" s="226"/>
      <c r="BT125" s="226"/>
      <c r="BU125" s="226"/>
      <c r="BV125" s="226"/>
      <c r="BW125" s="226"/>
      <c r="BX125" s="226"/>
      <c r="BY125" s="226"/>
      <c r="BZ125" s="226"/>
      <c r="CA125" s="226"/>
      <c r="CB125" s="226"/>
      <c r="CC125" s="226"/>
      <c r="CD125" s="226"/>
      <c r="CE125" s="226"/>
      <c r="CF125" s="226"/>
      <c r="CG125" s="226"/>
      <c r="CH125" s="226"/>
      <c r="CI125" s="226"/>
      <c r="CJ125" s="226"/>
      <c r="CK125" s="226"/>
      <c r="CL125" s="226"/>
      <c r="CM125" s="226"/>
      <c r="CN125" s="226"/>
      <c r="CO125" s="226"/>
      <c r="CP125" s="226"/>
      <c r="CQ125" s="226"/>
      <c r="CR125" s="226"/>
      <c r="CS125" s="226"/>
      <c r="CT125" s="226"/>
      <c r="CU125" s="226"/>
      <c r="CV125" s="226"/>
      <c r="CW125" s="226"/>
      <c r="CX125" s="226"/>
      <c r="CY125" s="226"/>
      <c r="CZ125" s="226"/>
      <c r="DA125" s="226"/>
      <c r="DB125" s="226"/>
      <c r="DC125" s="226"/>
      <c r="DD125" s="226"/>
      <c r="DE125" s="226"/>
      <c r="DF125" s="226"/>
      <c r="DG125" s="226"/>
      <c r="DH125" s="226"/>
      <c r="DI125" s="226"/>
      <c r="DJ125" s="226"/>
      <c r="DK125" s="226"/>
      <c r="DL125" s="226"/>
      <c r="DM125" s="226"/>
      <c r="DN125" s="226"/>
      <c r="DO125" s="226"/>
      <c r="DP125" s="226"/>
      <c r="DQ125" s="226"/>
      <c r="DR125" s="226"/>
      <c r="DS125" s="226"/>
      <c r="DT125" s="226"/>
      <c r="DU125" s="226"/>
      <c r="DV125" s="226"/>
      <c r="DW125" s="226"/>
      <c r="DX125" s="226"/>
      <c r="DY125" s="226"/>
      <c r="DZ125" s="226"/>
      <c r="EA125" s="226"/>
      <c r="EB125" s="226"/>
      <c r="EC125" s="226"/>
      <c r="ED125" s="226"/>
      <c r="EE125" s="226"/>
      <c r="EF125" s="226"/>
      <c r="EG125" s="226"/>
      <c r="EH125" s="226"/>
      <c r="EI125" s="226"/>
      <c r="EJ125" s="226"/>
      <c r="EK125" s="226"/>
      <c r="EL125" s="226"/>
      <c r="EM125" s="226"/>
      <c r="EN125" s="226"/>
      <c r="EO125" s="226"/>
      <c r="EP125" s="226"/>
      <c r="EQ125" s="226"/>
      <c r="ER125" s="226"/>
      <c r="ES125" s="226"/>
      <c r="ET125" s="226"/>
      <c r="EU125" s="226"/>
      <c r="EV125" s="226"/>
      <c r="EW125" s="226"/>
      <c r="EX125" s="226"/>
      <c r="EY125" s="226"/>
      <c r="EZ125" s="226"/>
      <c r="FA125" s="226"/>
      <c r="FB125" s="226"/>
      <c r="FC125" s="226"/>
      <c r="FD125" s="226"/>
      <c r="FE125" s="226"/>
      <c r="FF125" s="226"/>
      <c r="FG125" s="226"/>
      <c r="FH125" s="226"/>
      <c r="FI125" s="226"/>
      <c r="FJ125" s="226"/>
      <c r="FK125" s="226"/>
      <c r="FL125" s="226"/>
      <c r="FM125" s="226"/>
      <c r="FN125" s="226"/>
      <c r="FO125" s="226"/>
      <c r="FP125" s="226"/>
      <c r="FQ125" s="226"/>
      <c r="FR125" s="226"/>
      <c r="FS125" s="226"/>
      <c r="FT125" s="226"/>
      <c r="FU125" s="226"/>
      <c r="FV125" s="226"/>
      <c r="FW125" s="226"/>
      <c r="FX125" s="226"/>
      <c r="FY125" s="226"/>
      <c r="FZ125" s="226"/>
      <c r="GA125" s="226"/>
      <c r="GB125" s="226"/>
      <c r="GC125" s="226"/>
      <c r="GD125" s="226"/>
      <c r="GE125" s="226"/>
      <c r="GF125" s="226"/>
      <c r="GG125" s="226"/>
    </row>
    <row r="126" spans="1:189" s="225" customFormat="1" ht="15.95" customHeight="1">
      <c r="A126" s="17"/>
      <c r="B126" s="227"/>
      <c r="C126" s="228"/>
      <c r="D126" s="138"/>
      <c r="E126" s="589"/>
      <c r="F126" s="65"/>
      <c r="H126" s="259"/>
      <c r="I126" s="265"/>
      <c r="J126" s="259"/>
      <c r="K126" s="226"/>
      <c r="L126" s="226"/>
      <c r="M126" s="226"/>
      <c r="N126" s="226"/>
      <c r="O126" s="226"/>
      <c r="P126" s="226"/>
      <c r="Q126" s="226"/>
      <c r="R126" s="226"/>
      <c r="S126" s="226"/>
      <c r="T126" s="226"/>
      <c r="U126" s="226"/>
      <c r="V126" s="226"/>
      <c r="W126" s="226"/>
      <c r="X126" s="226"/>
      <c r="Y126" s="226"/>
      <c r="Z126" s="226"/>
      <c r="AA126" s="226"/>
      <c r="AB126" s="226"/>
      <c r="AC126" s="226"/>
      <c r="AD126" s="226"/>
      <c r="AE126" s="226"/>
      <c r="AF126" s="226"/>
      <c r="AG126" s="226"/>
      <c r="AH126" s="226"/>
      <c r="AI126" s="226"/>
      <c r="AJ126" s="226"/>
      <c r="AK126" s="226"/>
      <c r="AL126" s="226"/>
      <c r="AM126" s="226"/>
      <c r="AN126" s="226"/>
      <c r="AO126" s="226"/>
      <c r="AP126" s="226"/>
      <c r="AQ126" s="226"/>
      <c r="AR126" s="226"/>
      <c r="AS126" s="226"/>
      <c r="AT126" s="226"/>
      <c r="AU126" s="226"/>
      <c r="AV126" s="226"/>
      <c r="AW126" s="226"/>
      <c r="AX126" s="226"/>
      <c r="AY126" s="226"/>
      <c r="AZ126" s="226"/>
      <c r="BA126" s="226"/>
      <c r="BB126" s="226"/>
      <c r="BC126" s="226"/>
      <c r="BD126" s="226"/>
      <c r="BE126" s="226"/>
      <c r="BF126" s="226"/>
      <c r="BG126" s="226"/>
      <c r="BH126" s="226"/>
      <c r="BI126" s="226"/>
      <c r="BJ126" s="226"/>
      <c r="BK126" s="226"/>
      <c r="BL126" s="226"/>
      <c r="BM126" s="226"/>
      <c r="BN126" s="226"/>
      <c r="BO126" s="226"/>
      <c r="BP126" s="226"/>
      <c r="BQ126" s="226"/>
      <c r="BR126" s="226"/>
      <c r="BS126" s="226"/>
      <c r="BT126" s="226"/>
      <c r="BU126" s="226"/>
      <c r="BV126" s="226"/>
      <c r="BW126" s="226"/>
      <c r="BX126" s="226"/>
      <c r="BY126" s="226"/>
      <c r="BZ126" s="226"/>
      <c r="CA126" s="226"/>
      <c r="CB126" s="226"/>
      <c r="CC126" s="226"/>
      <c r="CD126" s="226"/>
      <c r="CE126" s="226"/>
      <c r="CF126" s="226"/>
      <c r="CG126" s="226"/>
      <c r="CH126" s="226"/>
      <c r="CI126" s="226"/>
      <c r="CJ126" s="226"/>
      <c r="CK126" s="226"/>
      <c r="CL126" s="226"/>
      <c r="CM126" s="226"/>
      <c r="CN126" s="226"/>
      <c r="CO126" s="226"/>
      <c r="CP126" s="226"/>
      <c r="CQ126" s="226"/>
      <c r="CR126" s="226"/>
      <c r="CS126" s="226"/>
      <c r="CT126" s="226"/>
      <c r="CU126" s="226"/>
      <c r="CV126" s="226"/>
      <c r="CW126" s="226"/>
      <c r="CX126" s="226"/>
      <c r="CY126" s="226"/>
      <c r="CZ126" s="226"/>
      <c r="DA126" s="226"/>
      <c r="DB126" s="226"/>
      <c r="DC126" s="226"/>
      <c r="DD126" s="226"/>
      <c r="DE126" s="226"/>
      <c r="DF126" s="226"/>
      <c r="DG126" s="226"/>
      <c r="DH126" s="226"/>
      <c r="DI126" s="226"/>
      <c r="DJ126" s="226"/>
      <c r="DK126" s="226"/>
      <c r="DL126" s="226"/>
      <c r="DM126" s="226"/>
      <c r="DN126" s="226"/>
      <c r="DO126" s="226"/>
      <c r="DP126" s="226"/>
      <c r="DQ126" s="226"/>
      <c r="DR126" s="226"/>
      <c r="DS126" s="226"/>
      <c r="DT126" s="226"/>
      <c r="DU126" s="226"/>
      <c r="DV126" s="226"/>
      <c r="DW126" s="226"/>
      <c r="DX126" s="226"/>
      <c r="DY126" s="226"/>
      <c r="DZ126" s="226"/>
      <c r="EA126" s="226"/>
      <c r="EB126" s="226"/>
      <c r="EC126" s="226"/>
      <c r="ED126" s="226"/>
      <c r="EE126" s="226"/>
      <c r="EF126" s="226"/>
      <c r="EG126" s="226"/>
      <c r="EH126" s="226"/>
      <c r="EI126" s="226"/>
      <c r="EJ126" s="226"/>
      <c r="EK126" s="226"/>
      <c r="EL126" s="226"/>
      <c r="EM126" s="226"/>
      <c r="EN126" s="226"/>
      <c r="EO126" s="226"/>
      <c r="EP126" s="226"/>
      <c r="EQ126" s="226"/>
      <c r="ER126" s="226"/>
      <c r="ES126" s="226"/>
      <c r="ET126" s="226"/>
      <c r="EU126" s="226"/>
      <c r="EV126" s="226"/>
      <c r="EW126" s="226"/>
      <c r="EX126" s="226"/>
      <c r="EY126" s="226"/>
      <c r="EZ126" s="226"/>
      <c r="FA126" s="226"/>
      <c r="FB126" s="226"/>
      <c r="FC126" s="226"/>
      <c r="FD126" s="226"/>
      <c r="FE126" s="226"/>
      <c r="FF126" s="226"/>
      <c r="FG126" s="226"/>
      <c r="FH126" s="226"/>
      <c r="FI126" s="226"/>
      <c r="FJ126" s="226"/>
      <c r="FK126" s="226"/>
      <c r="FL126" s="226"/>
      <c r="FM126" s="226"/>
      <c r="FN126" s="226"/>
      <c r="FO126" s="226"/>
      <c r="FP126" s="226"/>
      <c r="FQ126" s="226"/>
      <c r="FR126" s="226"/>
      <c r="FS126" s="226"/>
      <c r="FT126" s="226"/>
      <c r="FU126" s="226"/>
      <c r="FV126" s="226"/>
      <c r="FW126" s="226"/>
      <c r="FX126" s="226"/>
      <c r="FY126" s="226"/>
      <c r="FZ126" s="226"/>
      <c r="GA126" s="226"/>
      <c r="GB126" s="226"/>
      <c r="GC126" s="226"/>
      <c r="GD126" s="226"/>
      <c r="GE126" s="226"/>
      <c r="GF126" s="226"/>
      <c r="GG126" s="226"/>
    </row>
    <row r="127" spans="1:189" s="198" customFormat="1" ht="15.95" customHeight="1">
      <c r="A127" s="247" t="s">
        <v>229</v>
      </c>
      <c r="B127" s="671" t="s">
        <v>143</v>
      </c>
      <c r="C127" s="224"/>
      <c r="D127" s="200"/>
      <c r="E127" s="583"/>
      <c r="F127" s="63"/>
      <c r="G127" s="225"/>
      <c r="H127" s="259"/>
      <c r="I127" s="265"/>
      <c r="J127" s="259"/>
      <c r="K127" s="199"/>
      <c r="L127" s="199"/>
      <c r="M127" s="199"/>
      <c r="N127" s="199"/>
      <c r="O127" s="199"/>
      <c r="P127" s="199"/>
      <c r="Q127" s="199"/>
      <c r="R127" s="199"/>
      <c r="S127" s="199"/>
      <c r="T127" s="199"/>
      <c r="U127" s="199"/>
      <c r="V127" s="199"/>
      <c r="W127" s="199"/>
      <c r="X127" s="199"/>
      <c r="Y127" s="199"/>
      <c r="Z127" s="199"/>
      <c r="AA127" s="199"/>
      <c r="AB127" s="199"/>
      <c r="AC127" s="199"/>
      <c r="AD127" s="199"/>
      <c r="AE127" s="199"/>
      <c r="AF127" s="199"/>
      <c r="AG127" s="199"/>
      <c r="AH127" s="199"/>
      <c r="AI127" s="199"/>
      <c r="AJ127" s="199"/>
      <c r="AK127" s="199"/>
      <c r="AL127" s="199"/>
      <c r="AM127" s="199"/>
      <c r="AN127" s="199"/>
      <c r="AO127" s="199"/>
      <c r="AP127" s="199"/>
      <c r="AQ127" s="199"/>
      <c r="AR127" s="199"/>
      <c r="AS127" s="199"/>
      <c r="AT127" s="199"/>
      <c r="AU127" s="199"/>
      <c r="AV127" s="199"/>
      <c r="AW127" s="199"/>
      <c r="AX127" s="199"/>
      <c r="AY127" s="199"/>
      <c r="AZ127" s="199"/>
      <c r="BA127" s="199"/>
      <c r="BB127" s="199"/>
      <c r="BC127" s="199"/>
      <c r="BD127" s="199"/>
      <c r="BE127" s="199"/>
      <c r="BF127" s="199"/>
      <c r="BG127" s="199"/>
      <c r="BH127" s="199"/>
      <c r="BI127" s="199"/>
      <c r="BJ127" s="199"/>
      <c r="BK127" s="199"/>
      <c r="BL127" s="199"/>
      <c r="BM127" s="199"/>
      <c r="BN127" s="199"/>
      <c r="BO127" s="199"/>
      <c r="BP127" s="199"/>
      <c r="BQ127" s="199"/>
      <c r="BR127" s="199"/>
      <c r="BS127" s="199"/>
      <c r="BT127" s="199"/>
      <c r="BU127" s="199"/>
      <c r="BV127" s="199"/>
      <c r="BW127" s="199"/>
      <c r="BX127" s="199"/>
      <c r="BY127" s="199"/>
      <c r="BZ127" s="199"/>
      <c r="CA127" s="199"/>
      <c r="CB127" s="199"/>
      <c r="CC127" s="199"/>
      <c r="CD127" s="199"/>
      <c r="CE127" s="199"/>
      <c r="CF127" s="199"/>
      <c r="CG127" s="199"/>
      <c r="CH127" s="199"/>
      <c r="CI127" s="199"/>
      <c r="CJ127" s="199"/>
      <c r="CK127" s="199"/>
      <c r="CL127" s="199"/>
      <c r="CM127" s="199"/>
      <c r="CN127" s="199"/>
      <c r="CO127" s="199"/>
      <c r="CP127" s="199"/>
      <c r="CQ127" s="199"/>
      <c r="CR127" s="199"/>
      <c r="CS127" s="199"/>
      <c r="CT127" s="199"/>
      <c r="CU127" s="199"/>
      <c r="CV127" s="199"/>
      <c r="CW127" s="199"/>
      <c r="CX127" s="199"/>
      <c r="CY127" s="199"/>
      <c r="CZ127" s="199"/>
      <c r="DA127" s="199"/>
      <c r="DB127" s="199"/>
      <c r="DC127" s="199"/>
      <c r="DD127" s="199"/>
      <c r="DE127" s="199"/>
      <c r="DF127" s="199"/>
      <c r="DG127" s="199"/>
      <c r="DH127" s="199"/>
      <c r="DI127" s="199"/>
      <c r="DJ127" s="199"/>
      <c r="DK127" s="199"/>
      <c r="DL127" s="199"/>
      <c r="DM127" s="199"/>
      <c r="DN127" s="199"/>
      <c r="DO127" s="199"/>
      <c r="DP127" s="199"/>
      <c r="DQ127" s="199"/>
      <c r="DR127" s="199"/>
      <c r="DS127" s="199"/>
      <c r="DT127" s="199"/>
      <c r="DU127" s="199"/>
      <c r="DV127" s="199"/>
      <c r="DW127" s="199"/>
      <c r="DX127" s="199"/>
      <c r="DY127" s="199"/>
      <c r="DZ127" s="199"/>
      <c r="EA127" s="199"/>
      <c r="EB127" s="199"/>
      <c r="EC127" s="199"/>
      <c r="ED127" s="199"/>
      <c r="EE127" s="199"/>
      <c r="EF127" s="199"/>
      <c r="EG127" s="199"/>
      <c r="EH127" s="199"/>
      <c r="EI127" s="199"/>
      <c r="EJ127" s="199"/>
      <c r="EK127" s="199"/>
      <c r="EL127" s="199"/>
      <c r="EM127" s="199"/>
      <c r="EN127" s="199"/>
      <c r="EO127" s="199"/>
      <c r="EP127" s="199"/>
      <c r="EQ127" s="199"/>
      <c r="ER127" s="199"/>
      <c r="ES127" s="199"/>
      <c r="ET127" s="199"/>
      <c r="EU127" s="199"/>
      <c r="EV127" s="199"/>
      <c r="EW127" s="199"/>
      <c r="EX127" s="199"/>
      <c r="EY127" s="199"/>
      <c r="EZ127" s="199"/>
      <c r="FA127" s="199"/>
      <c r="FB127" s="199"/>
      <c r="FC127" s="199"/>
      <c r="FD127" s="199"/>
      <c r="FE127" s="199"/>
      <c r="FF127" s="199"/>
      <c r="FG127" s="199"/>
      <c r="FH127" s="199"/>
      <c r="FI127" s="199"/>
      <c r="FJ127" s="199"/>
      <c r="FK127" s="199"/>
      <c r="FL127" s="199"/>
      <c r="FM127" s="199"/>
      <c r="FN127" s="199"/>
      <c r="FO127" s="199"/>
      <c r="FP127" s="199"/>
      <c r="FQ127" s="199"/>
      <c r="FR127" s="199"/>
      <c r="FS127" s="199"/>
      <c r="FT127" s="199"/>
      <c r="FU127" s="199"/>
      <c r="FV127" s="199"/>
      <c r="FW127" s="199"/>
      <c r="FX127" s="199"/>
      <c r="FY127" s="199"/>
      <c r="FZ127" s="199"/>
      <c r="GA127" s="199"/>
      <c r="GB127" s="199"/>
      <c r="GC127" s="199"/>
      <c r="GD127" s="199"/>
      <c r="GE127" s="199"/>
      <c r="GF127" s="199"/>
      <c r="GG127" s="199"/>
    </row>
    <row r="128" spans="1:189" s="225" customFormat="1" ht="15.95" customHeight="1">
      <c r="A128" s="139" t="s">
        <v>228</v>
      </c>
      <c r="B128" s="193" t="s">
        <v>210</v>
      </c>
      <c r="C128" s="228" t="s">
        <v>1</v>
      </c>
      <c r="D128" s="138">
        <v>0</v>
      </c>
      <c r="E128" s="589" t="e">
        <f>#REF!</f>
        <v>#REF!</v>
      </c>
      <c r="F128" s="65" t="e">
        <f>+D128*E128</f>
        <v>#REF!</v>
      </c>
      <c r="H128" s="259"/>
      <c r="I128" s="265"/>
      <c r="J128" s="259"/>
      <c r="K128" s="226"/>
      <c r="L128" s="226"/>
      <c r="M128" s="226"/>
      <c r="N128" s="226"/>
      <c r="O128" s="226"/>
      <c r="P128" s="226"/>
      <c r="Q128" s="226"/>
      <c r="R128" s="226"/>
      <c r="S128" s="226"/>
      <c r="T128" s="226"/>
      <c r="U128" s="226"/>
      <c r="V128" s="226"/>
      <c r="W128" s="226"/>
      <c r="X128" s="226"/>
      <c r="Y128" s="226"/>
      <c r="Z128" s="226"/>
      <c r="AA128" s="226"/>
      <c r="AB128" s="226"/>
      <c r="AC128" s="226"/>
      <c r="AD128" s="226"/>
      <c r="AE128" s="226"/>
      <c r="AF128" s="226"/>
      <c r="AG128" s="226"/>
      <c r="AH128" s="226"/>
      <c r="AI128" s="226"/>
      <c r="AJ128" s="226"/>
      <c r="AK128" s="226"/>
      <c r="AL128" s="226"/>
      <c r="AM128" s="226"/>
      <c r="AN128" s="226"/>
      <c r="AO128" s="226"/>
      <c r="AP128" s="226"/>
      <c r="AQ128" s="226"/>
      <c r="AR128" s="226"/>
      <c r="AS128" s="226"/>
      <c r="AT128" s="226"/>
      <c r="AU128" s="226"/>
      <c r="AV128" s="226"/>
      <c r="AW128" s="226"/>
      <c r="AX128" s="226"/>
      <c r="AY128" s="226"/>
      <c r="AZ128" s="226"/>
      <c r="BA128" s="226"/>
      <c r="BB128" s="226"/>
      <c r="BC128" s="226"/>
      <c r="BD128" s="226"/>
      <c r="BE128" s="226"/>
      <c r="BF128" s="226"/>
      <c r="BG128" s="226"/>
      <c r="BH128" s="226"/>
      <c r="BI128" s="226"/>
      <c r="BJ128" s="226"/>
      <c r="BK128" s="226"/>
      <c r="BL128" s="226"/>
      <c r="BM128" s="226"/>
      <c r="BN128" s="226"/>
      <c r="BO128" s="226"/>
      <c r="BP128" s="226"/>
      <c r="BQ128" s="226"/>
      <c r="BR128" s="226"/>
      <c r="BS128" s="226"/>
      <c r="BT128" s="226"/>
      <c r="BU128" s="226"/>
      <c r="BV128" s="226"/>
      <c r="BW128" s="226"/>
      <c r="BX128" s="226"/>
      <c r="BY128" s="226"/>
      <c r="BZ128" s="226"/>
      <c r="CA128" s="226"/>
      <c r="CB128" s="226"/>
      <c r="CC128" s="226"/>
      <c r="CD128" s="226"/>
      <c r="CE128" s="226"/>
      <c r="CF128" s="226"/>
      <c r="CG128" s="226"/>
      <c r="CH128" s="226"/>
      <c r="CI128" s="226"/>
      <c r="CJ128" s="226"/>
      <c r="CK128" s="226"/>
      <c r="CL128" s="226"/>
      <c r="CM128" s="226"/>
      <c r="CN128" s="226"/>
      <c r="CO128" s="226"/>
      <c r="CP128" s="226"/>
      <c r="CQ128" s="226"/>
      <c r="CR128" s="226"/>
      <c r="CS128" s="226"/>
      <c r="CT128" s="226"/>
      <c r="CU128" s="226"/>
      <c r="CV128" s="226"/>
      <c r="CW128" s="226"/>
      <c r="CX128" s="226"/>
      <c r="CY128" s="226"/>
      <c r="CZ128" s="226"/>
      <c r="DA128" s="226"/>
      <c r="DB128" s="226"/>
      <c r="DC128" s="226"/>
      <c r="DD128" s="226"/>
      <c r="DE128" s="226"/>
      <c r="DF128" s="226"/>
      <c r="DG128" s="226"/>
      <c r="DH128" s="226"/>
      <c r="DI128" s="226"/>
      <c r="DJ128" s="226"/>
      <c r="DK128" s="226"/>
      <c r="DL128" s="226"/>
      <c r="DM128" s="226"/>
      <c r="DN128" s="226"/>
      <c r="DO128" s="226"/>
      <c r="DP128" s="226"/>
      <c r="DQ128" s="226"/>
      <c r="DR128" s="226"/>
      <c r="DS128" s="226"/>
      <c r="DT128" s="226"/>
      <c r="DU128" s="226"/>
      <c r="DV128" s="226"/>
      <c r="DW128" s="226"/>
      <c r="DX128" s="226"/>
      <c r="DY128" s="226"/>
      <c r="DZ128" s="226"/>
      <c r="EA128" s="226"/>
      <c r="EB128" s="226"/>
      <c r="EC128" s="226"/>
      <c r="ED128" s="226"/>
      <c r="EE128" s="226"/>
      <c r="EF128" s="226"/>
      <c r="EG128" s="226"/>
      <c r="EH128" s="226"/>
      <c r="EI128" s="226"/>
      <c r="EJ128" s="226"/>
      <c r="EK128" s="226"/>
      <c r="EL128" s="226"/>
      <c r="EM128" s="226"/>
      <c r="EN128" s="226"/>
      <c r="EO128" s="226"/>
      <c r="EP128" s="226"/>
      <c r="EQ128" s="226"/>
      <c r="ER128" s="226"/>
      <c r="ES128" s="226"/>
      <c r="ET128" s="226"/>
      <c r="EU128" s="226"/>
      <c r="EV128" s="226"/>
      <c r="EW128" s="226"/>
      <c r="EX128" s="226"/>
      <c r="EY128" s="226"/>
      <c r="EZ128" s="226"/>
      <c r="FA128" s="226"/>
      <c r="FB128" s="226"/>
      <c r="FC128" s="226"/>
      <c r="FD128" s="226"/>
      <c r="FE128" s="226"/>
      <c r="FF128" s="226"/>
      <c r="FG128" s="226"/>
      <c r="FH128" s="226"/>
      <c r="FI128" s="226"/>
      <c r="FJ128" s="226"/>
      <c r="FK128" s="226"/>
      <c r="FL128" s="226"/>
      <c r="FM128" s="226"/>
      <c r="FN128" s="226"/>
      <c r="FO128" s="226"/>
      <c r="FP128" s="226"/>
      <c r="FQ128" s="226"/>
      <c r="FR128" s="226"/>
      <c r="FS128" s="226"/>
      <c r="FT128" s="226"/>
      <c r="FU128" s="226"/>
      <c r="FV128" s="226"/>
      <c r="FW128" s="226"/>
      <c r="FX128" s="226"/>
      <c r="FY128" s="226"/>
      <c r="FZ128" s="226"/>
      <c r="GA128" s="226"/>
      <c r="GB128" s="226"/>
      <c r="GC128" s="226"/>
      <c r="GD128" s="226"/>
      <c r="GE128" s="226"/>
      <c r="GF128" s="226"/>
      <c r="GG128" s="226"/>
    </row>
    <row r="129" spans="1:189" s="225" customFormat="1" ht="15.95" customHeight="1">
      <c r="A129" s="17"/>
      <c r="B129" s="230"/>
      <c r="C129" s="228"/>
      <c r="D129" s="138"/>
      <c r="E129" s="587"/>
      <c r="F129" s="65"/>
      <c r="H129" s="259"/>
      <c r="I129" s="265"/>
      <c r="J129" s="259"/>
      <c r="K129" s="226"/>
      <c r="L129" s="226"/>
      <c r="M129" s="226"/>
      <c r="N129" s="226"/>
      <c r="O129" s="226"/>
      <c r="P129" s="226"/>
      <c r="Q129" s="226"/>
      <c r="R129" s="226"/>
      <c r="S129" s="226"/>
      <c r="T129" s="226"/>
      <c r="U129" s="226"/>
      <c r="V129" s="226"/>
      <c r="W129" s="226"/>
      <c r="X129" s="226"/>
      <c r="Y129" s="226"/>
      <c r="Z129" s="226"/>
      <c r="AA129" s="226"/>
      <c r="AB129" s="226"/>
      <c r="AC129" s="226"/>
      <c r="AD129" s="226"/>
      <c r="AE129" s="226"/>
      <c r="AF129" s="226"/>
      <c r="AG129" s="226"/>
      <c r="AH129" s="226"/>
      <c r="AI129" s="226"/>
      <c r="AJ129" s="226"/>
      <c r="AK129" s="226"/>
      <c r="AL129" s="226"/>
      <c r="AM129" s="226"/>
      <c r="AN129" s="226"/>
      <c r="AO129" s="226"/>
      <c r="AP129" s="226"/>
      <c r="AQ129" s="226"/>
      <c r="AR129" s="226"/>
      <c r="AS129" s="226"/>
      <c r="AT129" s="226"/>
      <c r="AU129" s="226"/>
      <c r="AV129" s="226"/>
      <c r="AW129" s="226"/>
      <c r="AX129" s="226"/>
      <c r="AY129" s="226"/>
      <c r="AZ129" s="226"/>
      <c r="BA129" s="226"/>
      <c r="BB129" s="226"/>
      <c r="BC129" s="226"/>
      <c r="BD129" s="226"/>
      <c r="BE129" s="226"/>
      <c r="BF129" s="226"/>
      <c r="BG129" s="226"/>
      <c r="BH129" s="226"/>
      <c r="BI129" s="226"/>
      <c r="BJ129" s="226"/>
      <c r="BK129" s="226"/>
      <c r="BL129" s="226"/>
      <c r="BM129" s="226"/>
      <c r="BN129" s="226"/>
      <c r="BO129" s="226"/>
      <c r="BP129" s="226"/>
      <c r="BQ129" s="226"/>
      <c r="BR129" s="226"/>
      <c r="BS129" s="226"/>
      <c r="BT129" s="226"/>
      <c r="BU129" s="226"/>
      <c r="BV129" s="226"/>
      <c r="BW129" s="226"/>
      <c r="BX129" s="226"/>
      <c r="BY129" s="226"/>
      <c r="BZ129" s="226"/>
      <c r="CA129" s="226"/>
      <c r="CB129" s="226"/>
      <c r="CC129" s="226"/>
      <c r="CD129" s="226"/>
      <c r="CE129" s="226"/>
      <c r="CF129" s="226"/>
      <c r="CG129" s="226"/>
      <c r="CH129" s="226"/>
      <c r="CI129" s="226"/>
      <c r="CJ129" s="226"/>
      <c r="CK129" s="226"/>
      <c r="CL129" s="226"/>
      <c r="CM129" s="226"/>
      <c r="CN129" s="226"/>
      <c r="CO129" s="226"/>
      <c r="CP129" s="226"/>
      <c r="CQ129" s="226"/>
      <c r="CR129" s="226"/>
      <c r="CS129" s="226"/>
      <c r="CT129" s="226"/>
      <c r="CU129" s="226"/>
      <c r="CV129" s="226"/>
      <c r="CW129" s="226"/>
      <c r="CX129" s="226"/>
      <c r="CY129" s="226"/>
      <c r="CZ129" s="226"/>
      <c r="DA129" s="226"/>
      <c r="DB129" s="226"/>
      <c r="DC129" s="226"/>
      <c r="DD129" s="226"/>
      <c r="DE129" s="226"/>
      <c r="DF129" s="226"/>
      <c r="DG129" s="226"/>
      <c r="DH129" s="226"/>
      <c r="DI129" s="226"/>
      <c r="DJ129" s="226"/>
      <c r="DK129" s="226"/>
      <c r="DL129" s="226"/>
      <c r="DM129" s="226"/>
      <c r="DN129" s="226"/>
      <c r="DO129" s="226"/>
      <c r="DP129" s="226"/>
      <c r="DQ129" s="226"/>
      <c r="DR129" s="226"/>
      <c r="DS129" s="226"/>
      <c r="DT129" s="226"/>
      <c r="DU129" s="226"/>
      <c r="DV129" s="226"/>
      <c r="DW129" s="226"/>
      <c r="DX129" s="226"/>
      <c r="DY129" s="226"/>
      <c r="DZ129" s="226"/>
      <c r="EA129" s="226"/>
      <c r="EB129" s="226"/>
      <c r="EC129" s="226"/>
      <c r="ED129" s="226"/>
      <c r="EE129" s="226"/>
      <c r="EF129" s="226"/>
      <c r="EG129" s="226"/>
      <c r="EH129" s="226"/>
      <c r="EI129" s="226"/>
      <c r="EJ129" s="226"/>
      <c r="EK129" s="226"/>
      <c r="EL129" s="226"/>
      <c r="EM129" s="226"/>
      <c r="EN129" s="226"/>
      <c r="EO129" s="226"/>
      <c r="EP129" s="226"/>
      <c r="EQ129" s="226"/>
      <c r="ER129" s="226"/>
      <c r="ES129" s="226"/>
      <c r="ET129" s="226"/>
      <c r="EU129" s="226"/>
      <c r="EV129" s="226"/>
      <c r="EW129" s="226"/>
      <c r="EX129" s="226"/>
      <c r="EY129" s="226"/>
      <c r="EZ129" s="226"/>
      <c r="FA129" s="226"/>
      <c r="FB129" s="226"/>
      <c r="FC129" s="226"/>
      <c r="FD129" s="226"/>
      <c r="FE129" s="226"/>
      <c r="FF129" s="226"/>
      <c r="FG129" s="226"/>
      <c r="FH129" s="226"/>
      <c r="FI129" s="226"/>
      <c r="FJ129" s="226"/>
      <c r="FK129" s="226"/>
      <c r="FL129" s="226"/>
      <c r="FM129" s="226"/>
      <c r="FN129" s="226"/>
      <c r="FO129" s="226"/>
      <c r="FP129" s="226"/>
      <c r="FQ129" s="226"/>
      <c r="FR129" s="226"/>
      <c r="FS129" s="226"/>
      <c r="FT129" s="226"/>
      <c r="FU129" s="226"/>
      <c r="FV129" s="226"/>
      <c r="FW129" s="226"/>
      <c r="FX129" s="226"/>
      <c r="FY129" s="226"/>
      <c r="FZ129" s="226"/>
      <c r="GA129" s="226"/>
      <c r="GB129" s="226"/>
      <c r="GC129" s="226"/>
      <c r="GD129" s="226"/>
      <c r="GE129" s="226"/>
      <c r="GF129" s="226"/>
      <c r="GG129" s="226"/>
    </row>
    <row r="130" spans="1:189" s="198" customFormat="1" ht="15.95" customHeight="1">
      <c r="A130" s="247" t="s">
        <v>219</v>
      </c>
      <c r="B130" s="671" t="s">
        <v>220</v>
      </c>
      <c r="C130" s="224"/>
      <c r="D130" s="200"/>
      <c r="E130" s="583"/>
      <c r="F130" s="63"/>
      <c r="G130" s="225"/>
      <c r="H130" s="259"/>
      <c r="I130" s="265"/>
      <c r="J130" s="259"/>
      <c r="K130" s="199"/>
      <c r="L130" s="199"/>
      <c r="M130" s="199"/>
      <c r="N130" s="199"/>
      <c r="O130" s="199"/>
      <c r="P130" s="199"/>
      <c r="Q130" s="199"/>
      <c r="R130" s="199"/>
      <c r="S130" s="199"/>
      <c r="T130" s="199"/>
      <c r="U130" s="199"/>
      <c r="V130" s="199"/>
      <c r="W130" s="199"/>
      <c r="X130" s="199"/>
      <c r="Y130" s="199"/>
      <c r="Z130" s="199"/>
      <c r="AA130" s="199"/>
      <c r="AB130" s="199"/>
      <c r="AC130" s="199"/>
      <c r="AD130" s="199"/>
      <c r="AE130" s="199"/>
      <c r="AF130" s="199"/>
      <c r="AG130" s="199"/>
      <c r="AH130" s="199"/>
      <c r="AI130" s="199"/>
      <c r="AJ130" s="199"/>
      <c r="AK130" s="199"/>
      <c r="AL130" s="199"/>
      <c r="AM130" s="199"/>
      <c r="AN130" s="199"/>
      <c r="AO130" s="199"/>
      <c r="AP130" s="199"/>
      <c r="AQ130" s="199"/>
      <c r="AR130" s="199"/>
      <c r="AS130" s="199"/>
      <c r="AT130" s="199"/>
      <c r="AU130" s="199"/>
      <c r="AV130" s="199"/>
      <c r="AW130" s="199"/>
      <c r="AX130" s="199"/>
      <c r="AY130" s="199"/>
      <c r="AZ130" s="199"/>
      <c r="BA130" s="199"/>
      <c r="BB130" s="199"/>
      <c r="BC130" s="199"/>
      <c r="BD130" s="199"/>
      <c r="BE130" s="199"/>
      <c r="BF130" s="199"/>
      <c r="BG130" s="199"/>
      <c r="BH130" s="199"/>
      <c r="BI130" s="199"/>
      <c r="BJ130" s="199"/>
      <c r="BK130" s="199"/>
      <c r="BL130" s="199"/>
      <c r="BM130" s="199"/>
      <c r="BN130" s="199"/>
      <c r="BO130" s="199"/>
      <c r="BP130" s="199"/>
      <c r="BQ130" s="199"/>
      <c r="BR130" s="199"/>
      <c r="BS130" s="199"/>
      <c r="BT130" s="199"/>
      <c r="BU130" s="199"/>
      <c r="BV130" s="199"/>
      <c r="BW130" s="199"/>
      <c r="BX130" s="199"/>
      <c r="BY130" s="199"/>
      <c r="BZ130" s="199"/>
      <c r="CA130" s="199"/>
      <c r="CB130" s="199"/>
      <c r="CC130" s="199"/>
      <c r="CD130" s="199"/>
      <c r="CE130" s="199"/>
      <c r="CF130" s="199"/>
      <c r="CG130" s="199"/>
      <c r="CH130" s="199"/>
      <c r="CI130" s="199"/>
      <c r="CJ130" s="199"/>
      <c r="CK130" s="199"/>
      <c r="CL130" s="199"/>
      <c r="CM130" s="199"/>
      <c r="CN130" s="199"/>
      <c r="CO130" s="199"/>
      <c r="CP130" s="199"/>
      <c r="CQ130" s="199"/>
      <c r="CR130" s="199"/>
      <c r="CS130" s="199"/>
      <c r="CT130" s="199"/>
      <c r="CU130" s="199"/>
      <c r="CV130" s="199"/>
      <c r="CW130" s="199"/>
      <c r="CX130" s="199"/>
      <c r="CY130" s="199"/>
      <c r="CZ130" s="199"/>
      <c r="DA130" s="199"/>
      <c r="DB130" s="199"/>
      <c r="DC130" s="199"/>
      <c r="DD130" s="199"/>
      <c r="DE130" s="199"/>
      <c r="DF130" s="199"/>
      <c r="DG130" s="199"/>
      <c r="DH130" s="199"/>
      <c r="DI130" s="199"/>
      <c r="DJ130" s="199"/>
      <c r="DK130" s="199"/>
      <c r="DL130" s="199"/>
      <c r="DM130" s="199"/>
      <c r="DN130" s="199"/>
      <c r="DO130" s="199"/>
      <c r="DP130" s="199"/>
      <c r="DQ130" s="199"/>
      <c r="DR130" s="199"/>
      <c r="DS130" s="199"/>
      <c r="DT130" s="199"/>
      <c r="DU130" s="199"/>
      <c r="DV130" s="199"/>
      <c r="DW130" s="199"/>
      <c r="DX130" s="199"/>
      <c r="DY130" s="199"/>
      <c r="DZ130" s="199"/>
      <c r="EA130" s="199"/>
      <c r="EB130" s="199"/>
      <c r="EC130" s="199"/>
      <c r="ED130" s="199"/>
      <c r="EE130" s="199"/>
      <c r="EF130" s="199"/>
      <c r="EG130" s="199"/>
      <c r="EH130" s="199"/>
      <c r="EI130" s="199"/>
      <c r="EJ130" s="199"/>
      <c r="EK130" s="199"/>
      <c r="EL130" s="199"/>
      <c r="EM130" s="199"/>
      <c r="EN130" s="199"/>
      <c r="EO130" s="199"/>
      <c r="EP130" s="199"/>
      <c r="EQ130" s="199"/>
      <c r="ER130" s="199"/>
      <c r="ES130" s="199"/>
      <c r="ET130" s="199"/>
      <c r="EU130" s="199"/>
      <c r="EV130" s="199"/>
      <c r="EW130" s="199"/>
      <c r="EX130" s="199"/>
      <c r="EY130" s="199"/>
      <c r="EZ130" s="199"/>
      <c r="FA130" s="199"/>
      <c r="FB130" s="199"/>
      <c r="FC130" s="199"/>
      <c r="FD130" s="199"/>
      <c r="FE130" s="199"/>
      <c r="FF130" s="199"/>
      <c r="FG130" s="199"/>
      <c r="FH130" s="199"/>
      <c r="FI130" s="199"/>
      <c r="FJ130" s="199"/>
      <c r="FK130" s="199"/>
      <c r="FL130" s="199"/>
      <c r="FM130" s="199"/>
      <c r="FN130" s="199"/>
      <c r="FO130" s="199"/>
      <c r="FP130" s="199"/>
      <c r="FQ130" s="199"/>
      <c r="FR130" s="199"/>
      <c r="FS130" s="199"/>
      <c r="FT130" s="199"/>
      <c r="FU130" s="199"/>
      <c r="FV130" s="199"/>
      <c r="FW130" s="199"/>
      <c r="FX130" s="199"/>
      <c r="FY130" s="199"/>
      <c r="FZ130" s="199"/>
      <c r="GA130" s="199"/>
      <c r="GB130" s="199"/>
      <c r="GC130" s="199"/>
      <c r="GD130" s="199"/>
      <c r="GE130" s="199"/>
      <c r="GF130" s="199"/>
      <c r="GG130" s="199"/>
    </row>
    <row r="131" spans="1:189" s="225" customFormat="1" ht="15.95" customHeight="1">
      <c r="A131" s="139" t="s">
        <v>230</v>
      </c>
      <c r="B131" s="193"/>
      <c r="C131" s="228" t="s">
        <v>27</v>
      </c>
      <c r="D131" s="138">
        <v>1</v>
      </c>
      <c r="E131" s="589" t="e">
        <f>#REF!</f>
        <v>#REF!</v>
      </c>
      <c r="F131" s="65" t="e">
        <f>+D131*E131</f>
        <v>#REF!</v>
      </c>
      <c r="H131" s="259"/>
      <c r="I131" s="265"/>
      <c r="J131" s="259"/>
      <c r="K131" s="226"/>
      <c r="L131" s="226"/>
      <c r="M131" s="226"/>
      <c r="N131" s="226"/>
      <c r="O131" s="226"/>
      <c r="P131" s="226"/>
      <c r="Q131" s="226"/>
      <c r="R131" s="226"/>
      <c r="S131" s="226"/>
      <c r="T131" s="226"/>
      <c r="U131" s="226"/>
      <c r="V131" s="226"/>
      <c r="W131" s="226"/>
      <c r="X131" s="226"/>
      <c r="Y131" s="226"/>
      <c r="Z131" s="226"/>
      <c r="AA131" s="226"/>
      <c r="AB131" s="226"/>
      <c r="AC131" s="226"/>
      <c r="AD131" s="226"/>
      <c r="AE131" s="226"/>
      <c r="AF131" s="226"/>
      <c r="AG131" s="226"/>
      <c r="AH131" s="226"/>
      <c r="AI131" s="226"/>
      <c r="AJ131" s="226"/>
      <c r="AK131" s="226"/>
      <c r="AL131" s="226"/>
      <c r="AM131" s="226"/>
      <c r="AN131" s="226"/>
      <c r="AO131" s="226"/>
      <c r="AP131" s="226"/>
      <c r="AQ131" s="226"/>
      <c r="AR131" s="226"/>
      <c r="AS131" s="226"/>
      <c r="AT131" s="226"/>
      <c r="AU131" s="226"/>
      <c r="AV131" s="226"/>
      <c r="AW131" s="226"/>
      <c r="AX131" s="226"/>
      <c r="AY131" s="226"/>
      <c r="AZ131" s="226"/>
      <c r="BA131" s="226"/>
      <c r="BB131" s="226"/>
      <c r="BC131" s="226"/>
      <c r="BD131" s="226"/>
      <c r="BE131" s="226"/>
      <c r="BF131" s="226"/>
      <c r="BG131" s="226"/>
      <c r="BH131" s="226"/>
      <c r="BI131" s="226"/>
      <c r="BJ131" s="226"/>
      <c r="BK131" s="226"/>
      <c r="BL131" s="226"/>
      <c r="BM131" s="226"/>
      <c r="BN131" s="226"/>
      <c r="BO131" s="226"/>
      <c r="BP131" s="226"/>
      <c r="BQ131" s="226"/>
      <c r="BR131" s="226"/>
      <c r="BS131" s="226"/>
      <c r="BT131" s="226"/>
      <c r="BU131" s="226"/>
      <c r="BV131" s="226"/>
      <c r="BW131" s="226"/>
      <c r="BX131" s="226"/>
      <c r="BY131" s="226"/>
      <c r="BZ131" s="226"/>
      <c r="CA131" s="226"/>
      <c r="CB131" s="226"/>
      <c r="CC131" s="226"/>
      <c r="CD131" s="226"/>
      <c r="CE131" s="226"/>
      <c r="CF131" s="226"/>
      <c r="CG131" s="226"/>
      <c r="CH131" s="226"/>
      <c r="CI131" s="226"/>
      <c r="CJ131" s="226"/>
      <c r="CK131" s="226"/>
      <c r="CL131" s="226"/>
      <c r="CM131" s="226"/>
      <c r="CN131" s="226"/>
      <c r="CO131" s="226"/>
      <c r="CP131" s="226"/>
      <c r="CQ131" s="226"/>
      <c r="CR131" s="226"/>
      <c r="CS131" s="226"/>
      <c r="CT131" s="226"/>
      <c r="CU131" s="226"/>
      <c r="CV131" s="226"/>
      <c r="CW131" s="226"/>
      <c r="CX131" s="226"/>
      <c r="CY131" s="226"/>
      <c r="CZ131" s="226"/>
      <c r="DA131" s="226"/>
      <c r="DB131" s="226"/>
      <c r="DC131" s="226"/>
      <c r="DD131" s="226"/>
      <c r="DE131" s="226"/>
      <c r="DF131" s="226"/>
      <c r="DG131" s="226"/>
      <c r="DH131" s="226"/>
      <c r="DI131" s="226"/>
      <c r="DJ131" s="226"/>
      <c r="DK131" s="226"/>
      <c r="DL131" s="226"/>
      <c r="DM131" s="226"/>
      <c r="DN131" s="226"/>
      <c r="DO131" s="226"/>
      <c r="DP131" s="226"/>
      <c r="DQ131" s="226"/>
      <c r="DR131" s="226"/>
      <c r="DS131" s="226"/>
      <c r="DT131" s="226"/>
      <c r="DU131" s="226"/>
      <c r="DV131" s="226"/>
      <c r="DW131" s="226"/>
      <c r="DX131" s="226"/>
      <c r="DY131" s="226"/>
      <c r="DZ131" s="226"/>
      <c r="EA131" s="226"/>
      <c r="EB131" s="226"/>
      <c r="EC131" s="226"/>
      <c r="ED131" s="226"/>
      <c r="EE131" s="226"/>
      <c r="EF131" s="226"/>
      <c r="EG131" s="226"/>
      <c r="EH131" s="226"/>
      <c r="EI131" s="226"/>
      <c r="EJ131" s="226"/>
      <c r="EK131" s="226"/>
      <c r="EL131" s="226"/>
      <c r="EM131" s="226"/>
      <c r="EN131" s="226"/>
      <c r="EO131" s="226"/>
      <c r="EP131" s="226"/>
      <c r="EQ131" s="226"/>
      <c r="ER131" s="226"/>
      <c r="ES131" s="226"/>
      <c r="ET131" s="226"/>
      <c r="EU131" s="226"/>
      <c r="EV131" s="226"/>
      <c r="EW131" s="226"/>
      <c r="EX131" s="226"/>
      <c r="EY131" s="226"/>
      <c r="EZ131" s="226"/>
      <c r="FA131" s="226"/>
      <c r="FB131" s="226"/>
      <c r="FC131" s="226"/>
      <c r="FD131" s="226"/>
      <c r="FE131" s="226"/>
      <c r="FF131" s="226"/>
      <c r="FG131" s="226"/>
      <c r="FH131" s="226"/>
      <c r="FI131" s="226"/>
      <c r="FJ131" s="226"/>
      <c r="FK131" s="226"/>
      <c r="FL131" s="226"/>
      <c r="FM131" s="226"/>
      <c r="FN131" s="226"/>
      <c r="FO131" s="226"/>
      <c r="FP131" s="226"/>
      <c r="FQ131" s="226"/>
      <c r="FR131" s="226"/>
      <c r="FS131" s="226"/>
      <c r="FT131" s="226"/>
      <c r="FU131" s="226"/>
      <c r="FV131" s="226"/>
      <c r="FW131" s="226"/>
      <c r="FX131" s="226"/>
      <c r="FY131" s="226"/>
      <c r="FZ131" s="226"/>
      <c r="GA131" s="226"/>
      <c r="GB131" s="226"/>
      <c r="GC131" s="226"/>
      <c r="GD131" s="226"/>
      <c r="GE131" s="226"/>
      <c r="GF131" s="226"/>
      <c r="GG131" s="226"/>
    </row>
    <row r="132" spans="1:189" s="225" customFormat="1" ht="15.95" customHeight="1">
      <c r="A132" s="17"/>
      <c r="B132" s="230"/>
      <c r="C132" s="228"/>
      <c r="D132" s="138"/>
      <c r="E132" s="587"/>
      <c r="F132" s="65"/>
      <c r="H132" s="259"/>
      <c r="I132" s="265"/>
      <c r="J132" s="259"/>
      <c r="K132" s="226"/>
      <c r="L132" s="226"/>
      <c r="M132" s="226"/>
      <c r="N132" s="226"/>
      <c r="O132" s="226"/>
      <c r="P132" s="226"/>
      <c r="Q132" s="226"/>
      <c r="R132" s="226"/>
      <c r="S132" s="226"/>
      <c r="T132" s="226"/>
      <c r="U132" s="226"/>
      <c r="V132" s="226"/>
      <c r="W132" s="226"/>
      <c r="X132" s="226"/>
      <c r="Y132" s="226"/>
      <c r="Z132" s="226"/>
      <c r="AA132" s="226"/>
      <c r="AB132" s="226"/>
      <c r="AC132" s="226"/>
      <c r="AD132" s="226"/>
      <c r="AE132" s="226"/>
      <c r="AF132" s="226"/>
      <c r="AG132" s="226"/>
      <c r="AH132" s="226"/>
      <c r="AI132" s="226"/>
      <c r="AJ132" s="226"/>
      <c r="AK132" s="226"/>
      <c r="AL132" s="226"/>
      <c r="AM132" s="226"/>
      <c r="AN132" s="226"/>
      <c r="AO132" s="226"/>
      <c r="AP132" s="226"/>
      <c r="AQ132" s="226"/>
      <c r="AR132" s="226"/>
      <c r="AS132" s="226"/>
      <c r="AT132" s="226"/>
      <c r="AU132" s="226"/>
      <c r="AV132" s="226"/>
      <c r="AW132" s="226"/>
      <c r="AX132" s="226"/>
      <c r="AY132" s="226"/>
      <c r="AZ132" s="226"/>
      <c r="BA132" s="226"/>
      <c r="BB132" s="226"/>
      <c r="BC132" s="226"/>
      <c r="BD132" s="226"/>
      <c r="BE132" s="226"/>
      <c r="BF132" s="226"/>
      <c r="BG132" s="226"/>
      <c r="BH132" s="226"/>
      <c r="BI132" s="226"/>
      <c r="BJ132" s="226"/>
      <c r="BK132" s="226"/>
      <c r="BL132" s="226"/>
      <c r="BM132" s="226"/>
      <c r="BN132" s="226"/>
      <c r="BO132" s="226"/>
      <c r="BP132" s="226"/>
      <c r="BQ132" s="226"/>
      <c r="BR132" s="226"/>
      <c r="BS132" s="226"/>
      <c r="BT132" s="226"/>
      <c r="BU132" s="226"/>
      <c r="BV132" s="226"/>
      <c r="BW132" s="226"/>
      <c r="BX132" s="226"/>
      <c r="BY132" s="226"/>
      <c r="BZ132" s="226"/>
      <c r="CA132" s="226"/>
      <c r="CB132" s="226"/>
      <c r="CC132" s="226"/>
      <c r="CD132" s="226"/>
      <c r="CE132" s="226"/>
      <c r="CF132" s="226"/>
      <c r="CG132" s="226"/>
      <c r="CH132" s="226"/>
      <c r="CI132" s="226"/>
      <c r="CJ132" s="226"/>
      <c r="CK132" s="226"/>
      <c r="CL132" s="226"/>
      <c r="CM132" s="226"/>
      <c r="CN132" s="226"/>
      <c r="CO132" s="226"/>
      <c r="CP132" s="226"/>
      <c r="CQ132" s="226"/>
      <c r="CR132" s="226"/>
      <c r="CS132" s="226"/>
      <c r="CT132" s="226"/>
      <c r="CU132" s="226"/>
      <c r="CV132" s="226"/>
      <c r="CW132" s="226"/>
      <c r="CX132" s="226"/>
      <c r="CY132" s="226"/>
      <c r="CZ132" s="226"/>
      <c r="DA132" s="226"/>
      <c r="DB132" s="226"/>
      <c r="DC132" s="226"/>
      <c r="DD132" s="226"/>
      <c r="DE132" s="226"/>
      <c r="DF132" s="226"/>
      <c r="DG132" s="226"/>
      <c r="DH132" s="226"/>
      <c r="DI132" s="226"/>
      <c r="DJ132" s="226"/>
      <c r="DK132" s="226"/>
      <c r="DL132" s="226"/>
      <c r="DM132" s="226"/>
      <c r="DN132" s="226"/>
      <c r="DO132" s="226"/>
      <c r="DP132" s="226"/>
      <c r="DQ132" s="226"/>
      <c r="DR132" s="226"/>
      <c r="DS132" s="226"/>
      <c r="DT132" s="226"/>
      <c r="DU132" s="226"/>
      <c r="DV132" s="226"/>
      <c r="DW132" s="226"/>
      <c r="DX132" s="226"/>
      <c r="DY132" s="226"/>
      <c r="DZ132" s="226"/>
      <c r="EA132" s="226"/>
      <c r="EB132" s="226"/>
      <c r="EC132" s="226"/>
      <c r="ED132" s="226"/>
      <c r="EE132" s="226"/>
      <c r="EF132" s="226"/>
      <c r="EG132" s="226"/>
      <c r="EH132" s="226"/>
      <c r="EI132" s="226"/>
      <c r="EJ132" s="226"/>
      <c r="EK132" s="226"/>
      <c r="EL132" s="226"/>
      <c r="EM132" s="226"/>
      <c r="EN132" s="226"/>
      <c r="EO132" s="226"/>
      <c r="EP132" s="226"/>
      <c r="EQ132" s="226"/>
      <c r="ER132" s="226"/>
      <c r="ES132" s="226"/>
      <c r="ET132" s="226"/>
      <c r="EU132" s="226"/>
      <c r="EV132" s="226"/>
      <c r="EW132" s="226"/>
      <c r="EX132" s="226"/>
      <c r="EY132" s="226"/>
      <c r="EZ132" s="226"/>
      <c r="FA132" s="226"/>
      <c r="FB132" s="226"/>
      <c r="FC132" s="226"/>
      <c r="FD132" s="226"/>
      <c r="FE132" s="226"/>
      <c r="FF132" s="226"/>
      <c r="FG132" s="226"/>
      <c r="FH132" s="226"/>
      <c r="FI132" s="226"/>
      <c r="FJ132" s="226"/>
      <c r="FK132" s="226"/>
      <c r="FL132" s="226"/>
      <c r="FM132" s="226"/>
      <c r="FN132" s="226"/>
      <c r="FO132" s="226"/>
      <c r="FP132" s="226"/>
      <c r="FQ132" s="226"/>
      <c r="FR132" s="226"/>
      <c r="FS132" s="226"/>
      <c r="FT132" s="226"/>
      <c r="FU132" s="226"/>
      <c r="FV132" s="226"/>
      <c r="FW132" s="226"/>
      <c r="FX132" s="226"/>
      <c r="FY132" s="226"/>
      <c r="FZ132" s="226"/>
      <c r="GA132" s="226"/>
      <c r="GB132" s="226"/>
      <c r="GC132" s="226"/>
      <c r="GD132" s="226"/>
      <c r="GE132" s="226"/>
      <c r="GF132" s="226"/>
      <c r="GG132" s="226"/>
    </row>
    <row r="133" spans="1:189" s="225" customFormat="1" ht="15.95" customHeight="1">
      <c r="A133" s="432" t="e">
        <f>+#REF!</f>
        <v>#REF!</v>
      </c>
      <c r="B133" s="675" t="e">
        <f>+#REF!</f>
        <v>#REF!</v>
      </c>
      <c r="C133" s="224"/>
      <c r="D133" s="200"/>
      <c r="E133" s="583"/>
      <c r="F133" s="63"/>
      <c r="H133" s="259"/>
      <c r="I133" s="265"/>
      <c r="J133" s="259"/>
      <c r="K133" s="226"/>
      <c r="L133" s="226"/>
      <c r="M133" s="226"/>
      <c r="N133" s="226"/>
      <c r="O133" s="226"/>
      <c r="P133" s="226"/>
      <c r="Q133" s="226"/>
      <c r="R133" s="226"/>
      <c r="S133" s="226"/>
      <c r="T133" s="226"/>
      <c r="U133" s="226"/>
      <c r="V133" s="226"/>
      <c r="W133" s="226"/>
      <c r="X133" s="226"/>
      <c r="Y133" s="226"/>
      <c r="Z133" s="226"/>
      <c r="AA133" s="226"/>
      <c r="AB133" s="226"/>
      <c r="AC133" s="226"/>
      <c r="AD133" s="226"/>
      <c r="AE133" s="226"/>
      <c r="AF133" s="226"/>
      <c r="AG133" s="226"/>
      <c r="AH133" s="226"/>
      <c r="AI133" s="226"/>
      <c r="AJ133" s="226"/>
      <c r="AK133" s="226"/>
      <c r="AL133" s="226"/>
      <c r="AM133" s="226"/>
      <c r="AN133" s="226"/>
      <c r="AO133" s="226"/>
      <c r="AP133" s="226"/>
      <c r="AQ133" s="226"/>
      <c r="AR133" s="226"/>
      <c r="AS133" s="226"/>
      <c r="AT133" s="226"/>
      <c r="AU133" s="226"/>
      <c r="AV133" s="226"/>
      <c r="AW133" s="226"/>
      <c r="AX133" s="226"/>
      <c r="AY133" s="226"/>
      <c r="AZ133" s="226"/>
      <c r="BA133" s="226"/>
      <c r="BB133" s="226"/>
      <c r="BC133" s="226"/>
      <c r="BD133" s="226"/>
      <c r="BE133" s="226"/>
      <c r="BF133" s="226"/>
      <c r="BG133" s="226"/>
      <c r="BH133" s="226"/>
      <c r="BI133" s="226"/>
      <c r="BJ133" s="226"/>
      <c r="BK133" s="226"/>
      <c r="BL133" s="226"/>
      <c r="BM133" s="226"/>
      <c r="BN133" s="226"/>
      <c r="BO133" s="226"/>
      <c r="BP133" s="226"/>
      <c r="BQ133" s="226"/>
      <c r="BR133" s="226"/>
      <c r="BS133" s="226"/>
      <c r="BT133" s="226"/>
      <c r="BU133" s="226"/>
      <c r="BV133" s="226"/>
      <c r="BW133" s="226"/>
      <c r="BX133" s="226"/>
      <c r="BY133" s="226"/>
      <c r="BZ133" s="226"/>
      <c r="CA133" s="226"/>
      <c r="CB133" s="226"/>
      <c r="CC133" s="226"/>
      <c r="CD133" s="226"/>
      <c r="CE133" s="226"/>
      <c r="CF133" s="226"/>
      <c r="CG133" s="226"/>
      <c r="CH133" s="226"/>
      <c r="CI133" s="226"/>
      <c r="CJ133" s="226"/>
      <c r="CK133" s="226"/>
      <c r="CL133" s="226"/>
      <c r="CM133" s="226"/>
      <c r="CN133" s="226"/>
      <c r="CO133" s="226"/>
      <c r="CP133" s="226"/>
      <c r="CQ133" s="226"/>
      <c r="CR133" s="226"/>
      <c r="CS133" s="226"/>
      <c r="CT133" s="226"/>
      <c r="CU133" s="226"/>
      <c r="CV133" s="226"/>
      <c r="CW133" s="226"/>
      <c r="CX133" s="226"/>
      <c r="CY133" s="226"/>
      <c r="CZ133" s="226"/>
      <c r="DA133" s="226"/>
      <c r="DB133" s="226"/>
      <c r="DC133" s="226"/>
      <c r="DD133" s="226"/>
      <c r="DE133" s="226"/>
      <c r="DF133" s="226"/>
      <c r="DG133" s="226"/>
      <c r="DH133" s="226"/>
      <c r="DI133" s="226"/>
      <c r="DJ133" s="226"/>
      <c r="DK133" s="226"/>
      <c r="DL133" s="226"/>
      <c r="DM133" s="226"/>
      <c r="DN133" s="226"/>
      <c r="DO133" s="226"/>
      <c r="DP133" s="226"/>
      <c r="DQ133" s="226"/>
      <c r="DR133" s="226"/>
      <c r="DS133" s="226"/>
      <c r="DT133" s="226"/>
      <c r="DU133" s="226"/>
      <c r="DV133" s="226"/>
      <c r="DW133" s="226"/>
      <c r="DX133" s="226"/>
      <c r="DY133" s="226"/>
      <c r="DZ133" s="226"/>
      <c r="EA133" s="226"/>
      <c r="EB133" s="226"/>
      <c r="EC133" s="226"/>
      <c r="ED133" s="226"/>
      <c r="EE133" s="226"/>
      <c r="EF133" s="226"/>
      <c r="EG133" s="226"/>
      <c r="EH133" s="226"/>
      <c r="EI133" s="226"/>
      <c r="EJ133" s="226"/>
      <c r="EK133" s="226"/>
      <c r="EL133" s="226"/>
      <c r="EM133" s="226"/>
      <c r="EN133" s="226"/>
      <c r="EO133" s="226"/>
      <c r="EP133" s="226"/>
      <c r="EQ133" s="226"/>
      <c r="ER133" s="226"/>
      <c r="ES133" s="226"/>
      <c r="ET133" s="226"/>
      <c r="EU133" s="226"/>
      <c r="EV133" s="226"/>
      <c r="EW133" s="226"/>
      <c r="EX133" s="226"/>
      <c r="EY133" s="226"/>
      <c r="EZ133" s="226"/>
      <c r="FA133" s="226"/>
      <c r="FB133" s="226"/>
      <c r="FC133" s="226"/>
      <c r="FD133" s="226"/>
      <c r="FE133" s="226"/>
      <c r="FF133" s="226"/>
      <c r="FG133" s="226"/>
      <c r="FH133" s="226"/>
      <c r="FI133" s="226"/>
      <c r="FJ133" s="226"/>
      <c r="FK133" s="226"/>
      <c r="FL133" s="226"/>
      <c r="FM133" s="226"/>
      <c r="FN133" s="226"/>
      <c r="FO133" s="226"/>
      <c r="FP133" s="226"/>
      <c r="FQ133" s="226"/>
      <c r="FR133" s="226"/>
      <c r="FS133" s="226"/>
      <c r="FT133" s="226"/>
      <c r="FU133" s="226"/>
      <c r="FV133" s="226"/>
      <c r="FW133" s="226"/>
      <c r="FX133" s="226"/>
      <c r="FY133" s="226"/>
      <c r="FZ133" s="226"/>
      <c r="GA133" s="226"/>
      <c r="GB133" s="226"/>
      <c r="GC133" s="226"/>
      <c r="GD133" s="226"/>
      <c r="GE133" s="226"/>
      <c r="GF133" s="226"/>
      <c r="GG133" s="226"/>
    </row>
    <row r="134" spans="1:189" s="225" customFormat="1" ht="30" customHeight="1">
      <c r="A134" s="448" t="e">
        <f>+#REF!</f>
        <v>#REF!</v>
      </c>
      <c r="B134" s="231" t="e">
        <f>+#REF!</f>
        <v>#REF!</v>
      </c>
      <c r="C134" s="228" t="s">
        <v>1</v>
      </c>
      <c r="D134" s="138">
        <f>J134</f>
        <v>23.76</v>
      </c>
      <c r="E134" s="587" t="e">
        <f>#REF!</f>
        <v>#REF!</v>
      </c>
      <c r="F134" s="65" t="e">
        <f>+D134*E134</f>
        <v>#REF!</v>
      </c>
      <c r="H134" s="259">
        <f>5+(H124+H125)/50</f>
        <v>23.76</v>
      </c>
      <c r="I134" s="265">
        <v>1</v>
      </c>
      <c r="J134" s="259">
        <f>H134*I134</f>
        <v>23.76</v>
      </c>
      <c r="K134" s="226"/>
      <c r="L134" s="226"/>
      <c r="M134" s="226"/>
      <c r="N134" s="226"/>
      <c r="O134" s="226"/>
      <c r="P134" s="226"/>
      <c r="Q134" s="226"/>
      <c r="R134" s="226"/>
      <c r="S134" s="226"/>
      <c r="T134" s="226"/>
      <c r="U134" s="226"/>
      <c r="V134" s="226"/>
      <c r="W134" s="226"/>
      <c r="X134" s="226"/>
      <c r="Y134" s="226"/>
      <c r="Z134" s="226"/>
      <c r="AA134" s="226"/>
      <c r="AB134" s="226"/>
      <c r="AC134" s="226"/>
      <c r="AD134" s="226"/>
      <c r="AE134" s="226"/>
      <c r="AF134" s="226"/>
      <c r="AG134" s="226"/>
      <c r="AH134" s="226"/>
      <c r="AI134" s="226"/>
      <c r="AJ134" s="226"/>
      <c r="AK134" s="226"/>
      <c r="AL134" s="226"/>
      <c r="AM134" s="226"/>
      <c r="AN134" s="226"/>
      <c r="AO134" s="226"/>
      <c r="AP134" s="226"/>
      <c r="AQ134" s="226"/>
      <c r="AR134" s="226"/>
      <c r="AS134" s="226"/>
      <c r="AT134" s="226"/>
      <c r="AU134" s="226"/>
      <c r="AV134" s="226"/>
      <c r="AW134" s="226"/>
      <c r="AX134" s="226"/>
      <c r="AY134" s="226"/>
      <c r="AZ134" s="226"/>
      <c r="BA134" s="226"/>
      <c r="BB134" s="226"/>
      <c r="BC134" s="226"/>
      <c r="BD134" s="226"/>
      <c r="BE134" s="226"/>
      <c r="BF134" s="226"/>
      <c r="BG134" s="226"/>
      <c r="BH134" s="226"/>
      <c r="BI134" s="226"/>
      <c r="BJ134" s="226"/>
      <c r="BK134" s="226"/>
      <c r="BL134" s="226"/>
      <c r="BM134" s="226"/>
      <c r="BN134" s="226"/>
      <c r="BO134" s="226"/>
      <c r="BP134" s="226"/>
      <c r="BQ134" s="226"/>
      <c r="BR134" s="226"/>
      <c r="BS134" s="226"/>
      <c r="BT134" s="226"/>
      <c r="BU134" s="226"/>
      <c r="BV134" s="226"/>
      <c r="BW134" s="226"/>
      <c r="BX134" s="226"/>
      <c r="BY134" s="226"/>
      <c r="BZ134" s="226"/>
      <c r="CA134" s="226"/>
      <c r="CB134" s="226"/>
      <c r="CC134" s="226"/>
      <c r="CD134" s="226"/>
      <c r="CE134" s="226"/>
      <c r="CF134" s="226"/>
      <c r="CG134" s="226"/>
      <c r="CH134" s="226"/>
      <c r="CI134" s="226"/>
      <c r="CJ134" s="226"/>
      <c r="CK134" s="226"/>
      <c r="CL134" s="226"/>
      <c r="CM134" s="226"/>
      <c r="CN134" s="226"/>
      <c r="CO134" s="226"/>
      <c r="CP134" s="226"/>
      <c r="CQ134" s="226"/>
      <c r="CR134" s="226"/>
      <c r="CS134" s="226"/>
      <c r="CT134" s="226"/>
      <c r="CU134" s="226"/>
      <c r="CV134" s="226"/>
      <c r="CW134" s="226"/>
      <c r="CX134" s="226"/>
      <c r="CY134" s="226"/>
      <c r="CZ134" s="226"/>
      <c r="DA134" s="226"/>
      <c r="DB134" s="226"/>
      <c r="DC134" s="226"/>
      <c r="DD134" s="226"/>
      <c r="DE134" s="226"/>
      <c r="DF134" s="226"/>
      <c r="DG134" s="226"/>
      <c r="DH134" s="226"/>
      <c r="DI134" s="226"/>
      <c r="DJ134" s="226"/>
      <c r="DK134" s="226"/>
      <c r="DL134" s="226"/>
      <c r="DM134" s="226"/>
      <c r="DN134" s="226"/>
      <c r="DO134" s="226"/>
      <c r="DP134" s="226"/>
      <c r="DQ134" s="226"/>
      <c r="DR134" s="226"/>
      <c r="DS134" s="226"/>
      <c r="DT134" s="226"/>
      <c r="DU134" s="226"/>
      <c r="DV134" s="226"/>
      <c r="DW134" s="226"/>
      <c r="DX134" s="226"/>
      <c r="DY134" s="226"/>
      <c r="DZ134" s="226"/>
      <c r="EA134" s="226"/>
      <c r="EB134" s="226"/>
      <c r="EC134" s="226"/>
      <c r="ED134" s="226"/>
      <c r="EE134" s="226"/>
      <c r="EF134" s="226"/>
      <c r="EG134" s="226"/>
      <c r="EH134" s="226"/>
      <c r="EI134" s="226"/>
      <c r="EJ134" s="226"/>
      <c r="EK134" s="226"/>
      <c r="EL134" s="226"/>
      <c r="EM134" s="226"/>
      <c r="EN134" s="226"/>
      <c r="EO134" s="226"/>
      <c r="EP134" s="226"/>
      <c r="EQ134" s="226"/>
      <c r="ER134" s="226"/>
      <c r="ES134" s="226"/>
      <c r="ET134" s="226"/>
      <c r="EU134" s="226"/>
      <c r="EV134" s="226"/>
      <c r="EW134" s="226"/>
      <c r="EX134" s="226"/>
      <c r="EY134" s="226"/>
      <c r="EZ134" s="226"/>
      <c r="FA134" s="226"/>
      <c r="FB134" s="226"/>
      <c r="FC134" s="226"/>
      <c r="FD134" s="226"/>
      <c r="FE134" s="226"/>
      <c r="FF134" s="226"/>
      <c r="FG134" s="226"/>
      <c r="FH134" s="226"/>
      <c r="FI134" s="226"/>
      <c r="FJ134" s="226"/>
      <c r="FK134" s="226"/>
      <c r="FL134" s="226"/>
      <c r="FM134" s="226"/>
      <c r="FN134" s="226"/>
      <c r="FO134" s="226"/>
      <c r="FP134" s="226"/>
      <c r="FQ134" s="226"/>
      <c r="FR134" s="226"/>
      <c r="FS134" s="226"/>
      <c r="FT134" s="226"/>
      <c r="FU134" s="226"/>
      <c r="FV134" s="226"/>
      <c r="FW134" s="226"/>
      <c r="FX134" s="226"/>
      <c r="FY134" s="226"/>
      <c r="FZ134" s="226"/>
      <c r="GA134" s="226"/>
      <c r="GB134" s="226"/>
      <c r="GC134" s="226"/>
      <c r="GD134" s="226"/>
      <c r="GE134" s="226"/>
      <c r="GF134" s="226"/>
      <c r="GG134" s="226"/>
    </row>
    <row r="135" spans="1:189" s="225" customFormat="1" ht="15.95" customHeight="1">
      <c r="A135" s="448" t="e">
        <f>+#REF!</f>
        <v>#REF!</v>
      </c>
      <c r="B135" s="231" t="e">
        <f>+#REF!</f>
        <v>#REF!</v>
      </c>
      <c r="C135" s="228" t="s">
        <v>27</v>
      </c>
      <c r="D135" s="323">
        <f>J135</f>
        <v>60.500000000000007</v>
      </c>
      <c r="E135" s="613" t="e">
        <f>#REF!</f>
        <v>#REF!</v>
      </c>
      <c r="F135" s="325" t="e">
        <f>+D135*E135</f>
        <v>#REF!</v>
      </c>
      <c r="H135" s="259">
        <f>5+H121/12</f>
        <v>55</v>
      </c>
      <c r="I135" s="265">
        <v>1.1000000000000001</v>
      </c>
      <c r="J135" s="259">
        <f>H135*I135</f>
        <v>60.500000000000007</v>
      </c>
      <c r="K135" s="226"/>
      <c r="L135" s="226"/>
      <c r="M135" s="226"/>
      <c r="N135" s="226"/>
      <c r="O135" s="226"/>
      <c r="P135" s="226"/>
      <c r="Q135" s="226"/>
      <c r="R135" s="226"/>
      <c r="S135" s="226"/>
      <c r="T135" s="226"/>
      <c r="U135" s="226"/>
      <c r="V135" s="226"/>
      <c r="W135" s="226"/>
      <c r="X135" s="226"/>
      <c r="Y135" s="226"/>
      <c r="Z135" s="226"/>
      <c r="AA135" s="226"/>
      <c r="AB135" s="226"/>
      <c r="AC135" s="226"/>
      <c r="AD135" s="226"/>
      <c r="AE135" s="226"/>
      <c r="AF135" s="226"/>
      <c r="AG135" s="226"/>
      <c r="AH135" s="226"/>
      <c r="AI135" s="226"/>
      <c r="AJ135" s="226"/>
      <c r="AK135" s="226"/>
      <c r="AL135" s="226"/>
      <c r="AM135" s="226"/>
      <c r="AN135" s="226"/>
      <c r="AO135" s="226"/>
      <c r="AP135" s="226"/>
      <c r="AQ135" s="226"/>
      <c r="AR135" s="226"/>
      <c r="AS135" s="226"/>
      <c r="AT135" s="226"/>
      <c r="AU135" s="226"/>
      <c r="AV135" s="226"/>
      <c r="AW135" s="226"/>
      <c r="AX135" s="226"/>
      <c r="AY135" s="226"/>
      <c r="AZ135" s="226"/>
      <c r="BA135" s="226"/>
      <c r="BB135" s="226"/>
      <c r="BC135" s="226"/>
      <c r="BD135" s="226"/>
      <c r="BE135" s="226"/>
      <c r="BF135" s="226"/>
      <c r="BG135" s="226"/>
      <c r="BH135" s="226"/>
      <c r="BI135" s="226"/>
      <c r="BJ135" s="226"/>
      <c r="BK135" s="226"/>
      <c r="BL135" s="226"/>
      <c r="BM135" s="226"/>
      <c r="BN135" s="226"/>
      <c r="BO135" s="226"/>
      <c r="BP135" s="226"/>
      <c r="BQ135" s="226"/>
      <c r="BR135" s="226"/>
      <c r="BS135" s="226"/>
      <c r="BT135" s="226"/>
      <c r="BU135" s="226"/>
      <c r="BV135" s="226"/>
      <c r="BW135" s="226"/>
      <c r="BX135" s="226"/>
      <c r="BY135" s="226"/>
      <c r="BZ135" s="226"/>
      <c r="CA135" s="226"/>
      <c r="CB135" s="226"/>
      <c r="CC135" s="226"/>
      <c r="CD135" s="226"/>
      <c r="CE135" s="226"/>
      <c r="CF135" s="226"/>
      <c r="CG135" s="226"/>
      <c r="CH135" s="226"/>
      <c r="CI135" s="226"/>
      <c r="CJ135" s="226"/>
      <c r="CK135" s="226"/>
      <c r="CL135" s="226"/>
      <c r="CM135" s="226"/>
      <c r="CN135" s="226"/>
      <c r="CO135" s="226"/>
      <c r="CP135" s="226"/>
      <c r="CQ135" s="226"/>
      <c r="CR135" s="226"/>
      <c r="CS135" s="226"/>
      <c r="CT135" s="226"/>
      <c r="CU135" s="226"/>
      <c r="CV135" s="226"/>
      <c r="CW135" s="226"/>
      <c r="CX135" s="226"/>
      <c r="CY135" s="226"/>
      <c r="CZ135" s="226"/>
      <c r="DA135" s="226"/>
      <c r="DB135" s="226"/>
      <c r="DC135" s="226"/>
      <c r="DD135" s="226"/>
      <c r="DE135" s="226"/>
      <c r="DF135" s="226"/>
      <c r="DG135" s="226"/>
      <c r="DH135" s="226"/>
      <c r="DI135" s="226"/>
      <c r="DJ135" s="226"/>
      <c r="DK135" s="226"/>
      <c r="DL135" s="226"/>
      <c r="DM135" s="226"/>
      <c r="DN135" s="226"/>
      <c r="DO135" s="226"/>
      <c r="DP135" s="226"/>
      <c r="DQ135" s="226"/>
      <c r="DR135" s="226"/>
      <c r="DS135" s="226"/>
      <c r="DT135" s="226"/>
      <c r="DU135" s="226"/>
      <c r="DV135" s="226"/>
      <c r="DW135" s="226"/>
      <c r="DX135" s="226"/>
      <c r="DY135" s="226"/>
      <c r="DZ135" s="226"/>
      <c r="EA135" s="226"/>
      <c r="EB135" s="226"/>
      <c r="EC135" s="226"/>
      <c r="ED135" s="226"/>
      <c r="EE135" s="226"/>
      <c r="EF135" s="226"/>
      <c r="EG135" s="226"/>
      <c r="EH135" s="226"/>
      <c r="EI135" s="226"/>
      <c r="EJ135" s="226"/>
      <c r="EK135" s="226"/>
      <c r="EL135" s="226"/>
      <c r="EM135" s="226"/>
      <c r="EN135" s="226"/>
      <c r="EO135" s="226"/>
      <c r="EP135" s="226"/>
      <c r="EQ135" s="226"/>
      <c r="ER135" s="226"/>
      <c r="ES135" s="226"/>
      <c r="ET135" s="226"/>
      <c r="EU135" s="226"/>
      <c r="EV135" s="226"/>
      <c r="EW135" s="226"/>
      <c r="EX135" s="226"/>
      <c r="EY135" s="226"/>
      <c r="EZ135" s="226"/>
      <c r="FA135" s="226"/>
      <c r="FB135" s="226"/>
      <c r="FC135" s="226"/>
      <c r="FD135" s="226"/>
      <c r="FE135" s="226"/>
      <c r="FF135" s="226"/>
      <c r="FG135" s="226"/>
      <c r="FH135" s="226"/>
      <c r="FI135" s="226"/>
      <c r="FJ135" s="226"/>
      <c r="FK135" s="226"/>
      <c r="FL135" s="226"/>
      <c r="FM135" s="226"/>
      <c r="FN135" s="226"/>
      <c r="FO135" s="226"/>
      <c r="FP135" s="226"/>
      <c r="FQ135" s="226"/>
      <c r="FR135" s="226"/>
      <c r="FS135" s="226"/>
      <c r="FT135" s="226"/>
      <c r="FU135" s="226"/>
      <c r="FV135" s="226"/>
      <c r="FW135" s="226"/>
      <c r="FX135" s="226"/>
      <c r="FY135" s="226"/>
      <c r="FZ135" s="226"/>
      <c r="GA135" s="226"/>
      <c r="GB135" s="226"/>
      <c r="GC135" s="226"/>
      <c r="GD135" s="226"/>
      <c r="GE135" s="226"/>
      <c r="GF135" s="226"/>
      <c r="GG135" s="226"/>
    </row>
    <row r="136" spans="1:189" s="225" customFormat="1" ht="18" customHeight="1">
      <c r="A136" s="17"/>
      <c r="B136" s="230"/>
      <c r="C136" s="228"/>
      <c r="D136" s="138"/>
      <c r="E136" s="587"/>
      <c r="F136" s="65"/>
      <c r="H136" s="259"/>
      <c r="I136" s="265"/>
      <c r="J136" s="259"/>
      <c r="K136" s="226"/>
      <c r="L136" s="226"/>
      <c r="M136" s="226"/>
      <c r="N136" s="226"/>
      <c r="O136" s="226"/>
      <c r="P136" s="226"/>
      <c r="Q136" s="226"/>
      <c r="R136" s="226"/>
      <c r="S136" s="226"/>
      <c r="T136" s="226"/>
      <c r="U136" s="226"/>
      <c r="V136" s="226"/>
      <c r="W136" s="226"/>
      <c r="X136" s="226"/>
      <c r="Y136" s="226"/>
      <c r="Z136" s="226"/>
      <c r="AA136" s="226"/>
      <c r="AB136" s="226"/>
      <c r="AC136" s="226"/>
      <c r="AD136" s="226"/>
      <c r="AE136" s="226"/>
      <c r="AF136" s="226"/>
      <c r="AG136" s="226"/>
      <c r="AH136" s="226"/>
      <c r="AI136" s="226"/>
      <c r="AJ136" s="226"/>
      <c r="AK136" s="226"/>
      <c r="AL136" s="226"/>
      <c r="AM136" s="226"/>
      <c r="AN136" s="226"/>
      <c r="AO136" s="226"/>
      <c r="AP136" s="226"/>
      <c r="AQ136" s="226"/>
      <c r="AR136" s="226"/>
      <c r="AS136" s="226"/>
      <c r="AT136" s="226"/>
      <c r="AU136" s="226"/>
      <c r="AV136" s="226"/>
      <c r="AW136" s="226"/>
      <c r="AX136" s="226"/>
      <c r="AY136" s="226"/>
      <c r="AZ136" s="226"/>
      <c r="BA136" s="226"/>
      <c r="BB136" s="226"/>
      <c r="BC136" s="226"/>
      <c r="BD136" s="226"/>
      <c r="BE136" s="226"/>
      <c r="BF136" s="226"/>
      <c r="BG136" s="226"/>
      <c r="BH136" s="226"/>
      <c r="BI136" s="226"/>
      <c r="BJ136" s="226"/>
      <c r="BK136" s="226"/>
      <c r="BL136" s="226"/>
      <c r="BM136" s="226"/>
      <c r="BN136" s="226"/>
      <c r="BO136" s="226"/>
      <c r="BP136" s="226"/>
      <c r="BQ136" s="226"/>
      <c r="BR136" s="226"/>
      <c r="BS136" s="226"/>
      <c r="BT136" s="226"/>
      <c r="BU136" s="226"/>
      <c r="BV136" s="226"/>
      <c r="BW136" s="226"/>
      <c r="BX136" s="226"/>
      <c r="BY136" s="226"/>
      <c r="BZ136" s="226"/>
      <c r="CA136" s="226"/>
      <c r="CB136" s="226"/>
      <c r="CC136" s="226"/>
      <c r="CD136" s="226"/>
      <c r="CE136" s="226"/>
      <c r="CF136" s="226"/>
      <c r="CG136" s="226"/>
      <c r="CH136" s="226"/>
      <c r="CI136" s="226"/>
      <c r="CJ136" s="226"/>
      <c r="CK136" s="226"/>
      <c r="CL136" s="226"/>
      <c r="CM136" s="226"/>
      <c r="CN136" s="226"/>
      <c r="CO136" s="226"/>
      <c r="CP136" s="226"/>
      <c r="CQ136" s="226"/>
      <c r="CR136" s="226"/>
      <c r="CS136" s="226"/>
      <c r="CT136" s="226"/>
      <c r="CU136" s="226"/>
      <c r="CV136" s="226"/>
      <c r="CW136" s="226"/>
      <c r="CX136" s="226"/>
      <c r="CY136" s="226"/>
      <c r="CZ136" s="226"/>
      <c r="DA136" s="226"/>
      <c r="DB136" s="226"/>
      <c r="DC136" s="226"/>
      <c r="DD136" s="226"/>
      <c r="DE136" s="226"/>
      <c r="DF136" s="226"/>
      <c r="DG136" s="226"/>
      <c r="DH136" s="226"/>
      <c r="DI136" s="226"/>
      <c r="DJ136" s="226"/>
      <c r="DK136" s="226"/>
      <c r="DL136" s="226"/>
      <c r="DM136" s="226"/>
      <c r="DN136" s="226"/>
      <c r="DO136" s="226"/>
      <c r="DP136" s="226"/>
      <c r="DQ136" s="226"/>
      <c r="DR136" s="226"/>
      <c r="DS136" s="226"/>
      <c r="DT136" s="226"/>
      <c r="DU136" s="226"/>
      <c r="DV136" s="226"/>
      <c r="DW136" s="226"/>
      <c r="DX136" s="226"/>
      <c r="DY136" s="226"/>
      <c r="DZ136" s="226"/>
      <c r="EA136" s="226"/>
      <c r="EB136" s="226"/>
      <c r="EC136" s="226"/>
      <c r="ED136" s="226"/>
      <c r="EE136" s="226"/>
      <c r="EF136" s="226"/>
      <c r="EG136" s="226"/>
      <c r="EH136" s="226"/>
      <c r="EI136" s="226"/>
      <c r="EJ136" s="226"/>
      <c r="EK136" s="226"/>
      <c r="EL136" s="226"/>
      <c r="EM136" s="226"/>
      <c r="EN136" s="226"/>
      <c r="EO136" s="226"/>
      <c r="EP136" s="226"/>
      <c r="EQ136" s="226"/>
      <c r="ER136" s="226"/>
      <c r="ES136" s="226"/>
      <c r="ET136" s="226"/>
      <c r="EU136" s="226"/>
      <c r="EV136" s="226"/>
      <c r="EW136" s="226"/>
      <c r="EX136" s="226"/>
      <c r="EY136" s="226"/>
      <c r="EZ136" s="226"/>
      <c r="FA136" s="226"/>
      <c r="FB136" s="226"/>
      <c r="FC136" s="226"/>
      <c r="FD136" s="226"/>
      <c r="FE136" s="226"/>
      <c r="FF136" s="226"/>
      <c r="FG136" s="226"/>
      <c r="FH136" s="226"/>
      <c r="FI136" s="226"/>
      <c r="FJ136" s="226"/>
      <c r="FK136" s="226"/>
      <c r="FL136" s="226"/>
      <c r="FM136" s="226"/>
      <c r="FN136" s="226"/>
      <c r="FO136" s="226"/>
      <c r="FP136" s="226"/>
      <c r="FQ136" s="226"/>
      <c r="FR136" s="226"/>
      <c r="FS136" s="226"/>
      <c r="FT136" s="226"/>
      <c r="FU136" s="226"/>
      <c r="FV136" s="226"/>
      <c r="FW136" s="226"/>
      <c r="FX136" s="226"/>
      <c r="FY136" s="226"/>
      <c r="FZ136" s="226"/>
      <c r="GA136" s="226"/>
      <c r="GB136" s="226"/>
      <c r="GC136" s="226"/>
      <c r="GD136" s="226"/>
      <c r="GE136" s="226"/>
      <c r="GF136" s="226"/>
      <c r="GG136" s="226"/>
    </row>
    <row r="137" spans="1:189" s="225" customFormat="1" ht="16.5" customHeight="1">
      <c r="A137" s="141">
        <v>515</v>
      </c>
      <c r="B137" s="554" t="s">
        <v>148</v>
      </c>
      <c r="C137" s="248"/>
      <c r="D137" s="249"/>
      <c r="E137" s="583"/>
      <c r="F137" s="63"/>
      <c r="H137" s="259"/>
      <c r="I137" s="265"/>
      <c r="J137" s="259"/>
      <c r="K137" s="226"/>
      <c r="L137" s="226"/>
      <c r="M137" s="226"/>
      <c r="N137" s="226"/>
      <c r="O137" s="226"/>
      <c r="P137" s="226"/>
      <c r="Q137" s="226"/>
      <c r="R137" s="226"/>
      <c r="S137" s="226"/>
      <c r="T137" s="226"/>
      <c r="U137" s="226"/>
      <c r="V137" s="226"/>
      <c r="W137" s="226"/>
      <c r="X137" s="226"/>
      <c r="Y137" s="226"/>
      <c r="Z137" s="226"/>
      <c r="AA137" s="226"/>
      <c r="AB137" s="226"/>
      <c r="AC137" s="226"/>
      <c r="AD137" s="226"/>
      <c r="AE137" s="226"/>
      <c r="AF137" s="226"/>
      <c r="AG137" s="226"/>
      <c r="AH137" s="226"/>
      <c r="AI137" s="226"/>
      <c r="AJ137" s="226"/>
      <c r="AK137" s="226"/>
      <c r="AL137" s="226"/>
      <c r="AM137" s="226"/>
      <c r="AN137" s="226"/>
      <c r="AO137" s="226"/>
      <c r="AP137" s="226"/>
      <c r="AQ137" s="226"/>
      <c r="AR137" s="226"/>
      <c r="AS137" s="226"/>
      <c r="AT137" s="226"/>
      <c r="AU137" s="226"/>
      <c r="AV137" s="226"/>
      <c r="AW137" s="226"/>
      <c r="AX137" s="226"/>
      <c r="AY137" s="226"/>
      <c r="AZ137" s="226"/>
      <c r="BA137" s="226"/>
      <c r="BB137" s="226"/>
      <c r="BC137" s="226"/>
      <c r="BD137" s="226"/>
      <c r="BE137" s="226"/>
      <c r="BF137" s="226"/>
      <c r="BG137" s="226"/>
      <c r="BH137" s="226"/>
      <c r="BI137" s="226"/>
      <c r="BJ137" s="226"/>
      <c r="BK137" s="226"/>
      <c r="BL137" s="226"/>
      <c r="BM137" s="226"/>
      <c r="BN137" s="226"/>
      <c r="BO137" s="226"/>
      <c r="BP137" s="226"/>
      <c r="BQ137" s="226"/>
      <c r="BR137" s="226"/>
      <c r="BS137" s="226"/>
      <c r="BT137" s="226"/>
      <c r="BU137" s="226"/>
      <c r="BV137" s="226"/>
      <c r="BW137" s="226"/>
      <c r="BX137" s="226"/>
      <c r="BY137" s="226"/>
      <c r="BZ137" s="226"/>
      <c r="CA137" s="226"/>
      <c r="CB137" s="226"/>
      <c r="CC137" s="226"/>
      <c r="CD137" s="226"/>
      <c r="CE137" s="226"/>
      <c r="CF137" s="226"/>
      <c r="CG137" s="226"/>
      <c r="CH137" s="226"/>
      <c r="CI137" s="226"/>
      <c r="CJ137" s="226"/>
      <c r="CK137" s="226"/>
      <c r="CL137" s="226"/>
      <c r="CM137" s="226"/>
      <c r="CN137" s="226"/>
      <c r="CO137" s="226"/>
      <c r="CP137" s="226"/>
      <c r="CQ137" s="226"/>
      <c r="CR137" s="226"/>
      <c r="CS137" s="226"/>
      <c r="CT137" s="226"/>
      <c r="CU137" s="226"/>
      <c r="CV137" s="226"/>
      <c r="CW137" s="226"/>
      <c r="CX137" s="226"/>
      <c r="CY137" s="226"/>
      <c r="CZ137" s="226"/>
      <c r="DA137" s="226"/>
      <c r="DB137" s="226"/>
      <c r="DC137" s="226"/>
      <c r="DD137" s="226"/>
      <c r="DE137" s="226"/>
      <c r="DF137" s="226"/>
      <c r="DG137" s="226"/>
      <c r="DH137" s="226"/>
      <c r="DI137" s="226"/>
      <c r="DJ137" s="226"/>
      <c r="DK137" s="226"/>
      <c r="DL137" s="226"/>
      <c r="DM137" s="226"/>
      <c r="DN137" s="226"/>
      <c r="DO137" s="226"/>
      <c r="DP137" s="226"/>
      <c r="DQ137" s="226"/>
      <c r="DR137" s="226"/>
      <c r="DS137" s="226"/>
      <c r="DT137" s="226"/>
      <c r="DU137" s="226"/>
      <c r="DV137" s="226"/>
      <c r="DW137" s="226"/>
      <c r="DX137" s="226"/>
      <c r="DY137" s="226"/>
      <c r="DZ137" s="226"/>
      <c r="EA137" s="226"/>
      <c r="EB137" s="226"/>
      <c r="EC137" s="226"/>
      <c r="ED137" s="226"/>
      <c r="EE137" s="226"/>
      <c r="EF137" s="226"/>
      <c r="EG137" s="226"/>
      <c r="EH137" s="226"/>
      <c r="EI137" s="226"/>
      <c r="EJ137" s="226"/>
      <c r="EK137" s="226"/>
      <c r="EL137" s="226"/>
      <c r="EM137" s="226"/>
      <c r="EN137" s="226"/>
      <c r="EO137" s="226"/>
      <c r="EP137" s="226"/>
      <c r="EQ137" s="226"/>
      <c r="ER137" s="226"/>
      <c r="ES137" s="226"/>
      <c r="ET137" s="226"/>
      <c r="EU137" s="226"/>
      <c r="EV137" s="226"/>
      <c r="EW137" s="226"/>
      <c r="EX137" s="226"/>
      <c r="EY137" s="226"/>
      <c r="EZ137" s="226"/>
      <c r="FA137" s="226"/>
      <c r="FB137" s="226"/>
      <c r="FC137" s="226"/>
      <c r="FD137" s="226"/>
      <c r="FE137" s="226"/>
      <c r="FF137" s="226"/>
      <c r="FG137" s="226"/>
      <c r="FH137" s="226"/>
      <c r="FI137" s="226"/>
      <c r="FJ137" s="226"/>
      <c r="FK137" s="226"/>
      <c r="FL137" s="226"/>
      <c r="FM137" s="226"/>
      <c r="FN137" s="226"/>
      <c r="FO137" s="226"/>
      <c r="FP137" s="226"/>
      <c r="FQ137" s="226"/>
      <c r="FR137" s="226"/>
      <c r="FS137" s="226"/>
      <c r="FT137" s="226"/>
      <c r="FU137" s="226"/>
      <c r="FV137" s="226"/>
      <c r="FW137" s="226"/>
      <c r="FX137" s="226"/>
      <c r="FY137" s="226"/>
      <c r="FZ137" s="226"/>
      <c r="GA137" s="226"/>
      <c r="GB137" s="226"/>
      <c r="GC137" s="226"/>
      <c r="GD137" s="226"/>
      <c r="GE137" s="226"/>
      <c r="GF137" s="226"/>
      <c r="GG137" s="226"/>
    </row>
    <row r="138" spans="1:189" s="225" customFormat="1" ht="15.95" customHeight="1">
      <c r="A138" s="143" t="s">
        <v>150</v>
      </c>
      <c r="B138" s="242" t="s">
        <v>221</v>
      </c>
      <c r="C138" s="251" t="s">
        <v>27</v>
      </c>
      <c r="D138" s="82">
        <f>J138</f>
        <v>0</v>
      </c>
      <c r="E138" s="586" t="e">
        <f>#REF!</f>
        <v>#REF!</v>
      </c>
      <c r="F138" s="64" t="e">
        <f>+D138*E138</f>
        <v>#REF!</v>
      </c>
      <c r="H138" s="259">
        <v>0</v>
      </c>
      <c r="I138" s="265">
        <v>1.05</v>
      </c>
      <c r="J138" s="259">
        <f>H138*I138</f>
        <v>0</v>
      </c>
      <c r="K138" s="226"/>
      <c r="L138" s="226"/>
      <c r="M138" s="226"/>
      <c r="N138" s="226"/>
      <c r="O138" s="226"/>
      <c r="P138" s="226"/>
      <c r="Q138" s="226"/>
      <c r="R138" s="226"/>
      <c r="S138" s="226"/>
      <c r="T138" s="226"/>
      <c r="U138" s="226"/>
      <c r="V138" s="226"/>
      <c r="W138" s="226"/>
      <c r="X138" s="226"/>
      <c r="Y138" s="226"/>
      <c r="Z138" s="226"/>
      <c r="AA138" s="226"/>
      <c r="AB138" s="226"/>
      <c r="AC138" s="226"/>
      <c r="AD138" s="226"/>
      <c r="AE138" s="226"/>
      <c r="AF138" s="226"/>
      <c r="AG138" s="226"/>
      <c r="AH138" s="226"/>
      <c r="AI138" s="226"/>
      <c r="AJ138" s="226"/>
      <c r="AK138" s="226"/>
      <c r="AL138" s="226"/>
      <c r="AM138" s="226"/>
      <c r="AN138" s="226"/>
      <c r="AO138" s="226"/>
      <c r="AP138" s="226"/>
      <c r="AQ138" s="226"/>
      <c r="AR138" s="226"/>
      <c r="AS138" s="226"/>
      <c r="AT138" s="226"/>
      <c r="AU138" s="226"/>
      <c r="AV138" s="226"/>
      <c r="AW138" s="226"/>
      <c r="AX138" s="226"/>
      <c r="AY138" s="226"/>
      <c r="AZ138" s="226"/>
      <c r="BA138" s="226"/>
      <c r="BB138" s="226"/>
      <c r="BC138" s="226"/>
      <c r="BD138" s="226"/>
      <c r="BE138" s="226"/>
      <c r="BF138" s="226"/>
      <c r="BG138" s="226"/>
      <c r="BH138" s="226"/>
      <c r="BI138" s="226"/>
      <c r="BJ138" s="226"/>
      <c r="BK138" s="226"/>
      <c r="BL138" s="226"/>
      <c r="BM138" s="226"/>
      <c r="BN138" s="226"/>
      <c r="BO138" s="226"/>
      <c r="BP138" s="226"/>
      <c r="BQ138" s="226"/>
      <c r="BR138" s="226"/>
      <c r="BS138" s="226"/>
      <c r="BT138" s="226"/>
      <c r="BU138" s="226"/>
      <c r="BV138" s="226"/>
      <c r="BW138" s="226"/>
      <c r="BX138" s="226"/>
      <c r="BY138" s="226"/>
      <c r="BZ138" s="226"/>
      <c r="CA138" s="226"/>
      <c r="CB138" s="226"/>
      <c r="CC138" s="226"/>
      <c r="CD138" s="226"/>
      <c r="CE138" s="226"/>
      <c r="CF138" s="226"/>
      <c r="CG138" s="226"/>
      <c r="CH138" s="226"/>
      <c r="CI138" s="226"/>
      <c r="CJ138" s="226"/>
      <c r="CK138" s="226"/>
      <c r="CL138" s="226"/>
      <c r="CM138" s="226"/>
      <c r="CN138" s="226"/>
      <c r="CO138" s="226"/>
      <c r="CP138" s="226"/>
      <c r="CQ138" s="226"/>
      <c r="CR138" s="226"/>
      <c r="CS138" s="226"/>
      <c r="CT138" s="226"/>
      <c r="CU138" s="226"/>
      <c r="CV138" s="226"/>
      <c r="CW138" s="226"/>
      <c r="CX138" s="226"/>
      <c r="CY138" s="226"/>
      <c r="CZ138" s="226"/>
      <c r="DA138" s="226"/>
      <c r="DB138" s="226"/>
      <c r="DC138" s="226"/>
      <c r="DD138" s="226"/>
      <c r="DE138" s="226"/>
      <c r="DF138" s="226"/>
      <c r="DG138" s="226"/>
      <c r="DH138" s="226"/>
      <c r="DI138" s="226"/>
      <c r="DJ138" s="226"/>
      <c r="DK138" s="226"/>
      <c r="DL138" s="226"/>
      <c r="DM138" s="226"/>
      <c r="DN138" s="226"/>
      <c r="DO138" s="226"/>
      <c r="DP138" s="226"/>
      <c r="DQ138" s="226"/>
      <c r="DR138" s="226"/>
      <c r="DS138" s="226"/>
      <c r="DT138" s="226"/>
      <c r="DU138" s="226"/>
      <c r="DV138" s="226"/>
      <c r="DW138" s="226"/>
      <c r="DX138" s="226"/>
      <c r="DY138" s="226"/>
      <c r="DZ138" s="226"/>
      <c r="EA138" s="226"/>
      <c r="EB138" s="226"/>
      <c r="EC138" s="226"/>
      <c r="ED138" s="226"/>
      <c r="EE138" s="226"/>
      <c r="EF138" s="226"/>
      <c r="EG138" s="226"/>
      <c r="EH138" s="226"/>
      <c r="EI138" s="226"/>
      <c r="EJ138" s="226"/>
      <c r="EK138" s="226"/>
      <c r="EL138" s="226"/>
      <c r="EM138" s="226"/>
      <c r="EN138" s="226"/>
      <c r="EO138" s="226"/>
      <c r="EP138" s="226"/>
      <c r="EQ138" s="226"/>
      <c r="ER138" s="226"/>
      <c r="ES138" s="226"/>
      <c r="ET138" s="226"/>
      <c r="EU138" s="226"/>
      <c r="EV138" s="226"/>
      <c r="EW138" s="226"/>
      <c r="EX138" s="226"/>
      <c r="EY138" s="226"/>
      <c r="EZ138" s="226"/>
      <c r="FA138" s="226"/>
      <c r="FB138" s="226"/>
      <c r="FC138" s="226"/>
      <c r="FD138" s="226"/>
      <c r="FE138" s="226"/>
      <c r="FF138" s="226"/>
      <c r="FG138" s="226"/>
      <c r="FH138" s="226"/>
      <c r="FI138" s="226"/>
      <c r="FJ138" s="226"/>
      <c r="FK138" s="226"/>
      <c r="FL138" s="226"/>
      <c r="FM138" s="226"/>
      <c r="FN138" s="226"/>
      <c r="FO138" s="226"/>
      <c r="FP138" s="226"/>
      <c r="FQ138" s="226"/>
      <c r="FR138" s="226"/>
      <c r="FS138" s="226"/>
      <c r="FT138" s="226"/>
      <c r="FU138" s="226"/>
      <c r="FV138" s="226"/>
      <c r="FW138" s="226"/>
      <c r="FX138" s="226"/>
      <c r="FY138" s="226"/>
      <c r="FZ138" s="226"/>
      <c r="GA138" s="226"/>
      <c r="GB138" s="226"/>
      <c r="GC138" s="226"/>
      <c r="GD138" s="226"/>
      <c r="GE138" s="226"/>
      <c r="GF138" s="226"/>
      <c r="GG138" s="226"/>
    </row>
    <row r="139" spans="1:189" s="225" customFormat="1" ht="16.5" customHeight="1">
      <c r="A139" s="442" t="e">
        <f>+#REF!</f>
        <v>#REF!</v>
      </c>
      <c r="B139" s="554" t="e">
        <f>+#REF!</f>
        <v>#REF!</v>
      </c>
      <c r="C139" s="248"/>
      <c r="D139" s="249"/>
      <c r="E139" s="583"/>
      <c r="F139" s="63"/>
      <c r="H139" s="259"/>
      <c r="I139" s="265"/>
      <c r="J139" s="259"/>
      <c r="K139" s="226"/>
      <c r="L139" s="226"/>
      <c r="M139" s="226"/>
      <c r="N139" s="226"/>
      <c r="O139" s="226"/>
      <c r="P139" s="226"/>
      <c r="Q139" s="226"/>
      <c r="R139" s="226"/>
      <c r="S139" s="226"/>
      <c r="T139" s="226"/>
      <c r="U139" s="226"/>
      <c r="V139" s="226"/>
      <c r="W139" s="226"/>
      <c r="X139" s="226"/>
      <c r="Y139" s="226"/>
      <c r="Z139" s="226"/>
      <c r="AA139" s="226"/>
      <c r="AB139" s="226"/>
      <c r="AC139" s="226"/>
      <c r="AD139" s="226"/>
      <c r="AE139" s="226"/>
      <c r="AF139" s="226"/>
      <c r="AG139" s="226"/>
      <c r="AH139" s="226"/>
      <c r="AI139" s="226"/>
      <c r="AJ139" s="226"/>
      <c r="AK139" s="226"/>
      <c r="AL139" s="226"/>
      <c r="AM139" s="226"/>
      <c r="AN139" s="226"/>
      <c r="AO139" s="226"/>
      <c r="AP139" s="226"/>
      <c r="AQ139" s="226"/>
      <c r="AR139" s="226"/>
      <c r="AS139" s="226"/>
      <c r="AT139" s="226"/>
      <c r="AU139" s="226"/>
      <c r="AV139" s="226"/>
      <c r="AW139" s="226"/>
      <c r="AX139" s="226"/>
      <c r="AY139" s="226"/>
      <c r="AZ139" s="226"/>
      <c r="BA139" s="226"/>
      <c r="BB139" s="226"/>
      <c r="BC139" s="226"/>
      <c r="BD139" s="226"/>
      <c r="BE139" s="226"/>
      <c r="BF139" s="226"/>
      <c r="BG139" s="226"/>
      <c r="BH139" s="226"/>
      <c r="BI139" s="226"/>
      <c r="BJ139" s="226"/>
      <c r="BK139" s="226"/>
      <c r="BL139" s="226"/>
      <c r="BM139" s="226"/>
      <c r="BN139" s="226"/>
      <c r="BO139" s="226"/>
      <c r="BP139" s="226"/>
      <c r="BQ139" s="226"/>
      <c r="BR139" s="226"/>
      <c r="BS139" s="226"/>
      <c r="BT139" s="226"/>
      <c r="BU139" s="226"/>
      <c r="BV139" s="226"/>
      <c r="BW139" s="226"/>
      <c r="BX139" s="226"/>
      <c r="BY139" s="226"/>
      <c r="BZ139" s="226"/>
      <c r="CA139" s="226"/>
      <c r="CB139" s="226"/>
      <c r="CC139" s="226"/>
      <c r="CD139" s="226"/>
      <c r="CE139" s="226"/>
      <c r="CF139" s="226"/>
      <c r="CG139" s="226"/>
      <c r="CH139" s="226"/>
      <c r="CI139" s="226"/>
      <c r="CJ139" s="226"/>
      <c r="CK139" s="226"/>
      <c r="CL139" s="226"/>
      <c r="CM139" s="226"/>
      <c r="CN139" s="226"/>
      <c r="CO139" s="226"/>
      <c r="CP139" s="226"/>
      <c r="CQ139" s="226"/>
      <c r="CR139" s="226"/>
      <c r="CS139" s="226"/>
      <c r="CT139" s="226"/>
      <c r="CU139" s="226"/>
      <c r="CV139" s="226"/>
      <c r="CW139" s="226"/>
      <c r="CX139" s="226"/>
      <c r="CY139" s="226"/>
      <c r="CZ139" s="226"/>
      <c r="DA139" s="226"/>
      <c r="DB139" s="226"/>
      <c r="DC139" s="226"/>
      <c r="DD139" s="226"/>
      <c r="DE139" s="226"/>
      <c r="DF139" s="226"/>
      <c r="DG139" s="226"/>
      <c r="DH139" s="226"/>
      <c r="DI139" s="226"/>
      <c r="DJ139" s="226"/>
      <c r="DK139" s="226"/>
      <c r="DL139" s="226"/>
      <c r="DM139" s="226"/>
      <c r="DN139" s="226"/>
      <c r="DO139" s="226"/>
      <c r="DP139" s="226"/>
      <c r="DQ139" s="226"/>
      <c r="DR139" s="226"/>
      <c r="DS139" s="226"/>
      <c r="DT139" s="226"/>
      <c r="DU139" s="226"/>
      <c r="DV139" s="226"/>
      <c r="DW139" s="226"/>
      <c r="DX139" s="226"/>
      <c r="DY139" s="226"/>
      <c r="DZ139" s="226"/>
      <c r="EA139" s="226"/>
      <c r="EB139" s="226"/>
      <c r="EC139" s="226"/>
      <c r="ED139" s="226"/>
      <c r="EE139" s="226"/>
      <c r="EF139" s="226"/>
      <c r="EG139" s="226"/>
      <c r="EH139" s="226"/>
      <c r="EI139" s="226"/>
      <c r="EJ139" s="226"/>
      <c r="EK139" s="226"/>
      <c r="EL139" s="226"/>
      <c r="EM139" s="226"/>
      <c r="EN139" s="226"/>
      <c r="EO139" s="226"/>
      <c r="EP139" s="226"/>
      <c r="EQ139" s="226"/>
      <c r="ER139" s="226"/>
      <c r="ES139" s="226"/>
      <c r="ET139" s="226"/>
      <c r="EU139" s="226"/>
      <c r="EV139" s="226"/>
      <c r="EW139" s="226"/>
      <c r="EX139" s="226"/>
      <c r="EY139" s="226"/>
      <c r="EZ139" s="226"/>
      <c r="FA139" s="226"/>
      <c r="FB139" s="226"/>
      <c r="FC139" s="226"/>
      <c r="FD139" s="226"/>
      <c r="FE139" s="226"/>
      <c r="FF139" s="226"/>
      <c r="FG139" s="226"/>
      <c r="FH139" s="226"/>
      <c r="FI139" s="226"/>
      <c r="FJ139" s="226"/>
      <c r="FK139" s="226"/>
      <c r="FL139" s="226"/>
      <c r="FM139" s="226"/>
      <c r="FN139" s="226"/>
      <c r="FO139" s="226"/>
      <c r="FP139" s="226"/>
      <c r="FQ139" s="226"/>
      <c r="FR139" s="226"/>
      <c r="FS139" s="226"/>
      <c r="FT139" s="226"/>
      <c r="FU139" s="226"/>
      <c r="FV139" s="226"/>
      <c r="FW139" s="226"/>
      <c r="FX139" s="226"/>
      <c r="FY139" s="226"/>
      <c r="FZ139" s="226"/>
      <c r="GA139" s="226"/>
      <c r="GB139" s="226"/>
      <c r="GC139" s="226"/>
      <c r="GD139" s="226"/>
      <c r="GE139" s="226"/>
      <c r="GF139" s="226"/>
      <c r="GG139" s="226"/>
    </row>
    <row r="140" spans="1:189" s="225" customFormat="1" ht="15.95" customHeight="1">
      <c r="A140" s="443" t="e">
        <f>+#REF!</f>
        <v>#REF!</v>
      </c>
      <c r="B140" s="242" t="e">
        <f>+#REF!</f>
        <v>#REF!</v>
      </c>
      <c r="C140" s="400" t="s">
        <v>1</v>
      </c>
      <c r="D140" s="392">
        <f>J140</f>
        <v>1031.8000000000002</v>
      </c>
      <c r="E140" s="602" t="e">
        <f>#REF!*0</f>
        <v>#REF!</v>
      </c>
      <c r="F140" s="335" t="e">
        <f>+D140*E140</f>
        <v>#REF!</v>
      </c>
      <c r="H140" s="259">
        <f>F5</f>
        <v>938</v>
      </c>
      <c r="I140" s="265">
        <v>1.1000000000000001</v>
      </c>
      <c r="J140" s="259">
        <f>H140*I140</f>
        <v>1031.8000000000002</v>
      </c>
      <c r="K140" s="226"/>
      <c r="L140" s="226"/>
      <c r="M140" s="226"/>
      <c r="N140" s="226"/>
      <c r="O140" s="226"/>
      <c r="P140" s="226"/>
      <c r="Q140" s="226"/>
      <c r="R140" s="226"/>
      <c r="S140" s="226"/>
      <c r="T140" s="226"/>
      <c r="U140" s="226"/>
      <c r="V140" s="226"/>
      <c r="W140" s="226"/>
      <c r="X140" s="226"/>
      <c r="Y140" s="226"/>
      <c r="Z140" s="226"/>
      <c r="AA140" s="226"/>
      <c r="AB140" s="226"/>
      <c r="AC140" s="226"/>
      <c r="AD140" s="226"/>
      <c r="AE140" s="226"/>
      <c r="AF140" s="226"/>
      <c r="AG140" s="226"/>
      <c r="AH140" s="226"/>
      <c r="AI140" s="226"/>
      <c r="AJ140" s="226"/>
      <c r="AK140" s="226"/>
      <c r="AL140" s="226"/>
      <c r="AM140" s="226"/>
      <c r="AN140" s="226"/>
      <c r="AO140" s="226"/>
      <c r="AP140" s="226"/>
      <c r="AQ140" s="226"/>
      <c r="AR140" s="226"/>
      <c r="AS140" s="226"/>
      <c r="AT140" s="226"/>
      <c r="AU140" s="226"/>
      <c r="AV140" s="226"/>
      <c r="AW140" s="226"/>
      <c r="AX140" s="226"/>
      <c r="AY140" s="226"/>
      <c r="AZ140" s="226"/>
      <c r="BA140" s="226"/>
      <c r="BB140" s="226"/>
      <c r="BC140" s="226"/>
      <c r="BD140" s="226"/>
      <c r="BE140" s="226"/>
      <c r="BF140" s="226"/>
      <c r="BG140" s="226"/>
      <c r="BH140" s="226"/>
      <c r="BI140" s="226"/>
      <c r="BJ140" s="226"/>
      <c r="BK140" s="226"/>
      <c r="BL140" s="226"/>
      <c r="BM140" s="226"/>
      <c r="BN140" s="226"/>
      <c r="BO140" s="226"/>
      <c r="BP140" s="226"/>
      <c r="BQ140" s="226"/>
      <c r="BR140" s="226"/>
      <c r="BS140" s="226"/>
      <c r="BT140" s="226"/>
      <c r="BU140" s="226"/>
      <c r="BV140" s="226"/>
      <c r="BW140" s="226"/>
      <c r="BX140" s="226"/>
      <c r="BY140" s="226"/>
      <c r="BZ140" s="226"/>
      <c r="CA140" s="226"/>
      <c r="CB140" s="226"/>
      <c r="CC140" s="226"/>
      <c r="CD140" s="226"/>
      <c r="CE140" s="226"/>
      <c r="CF140" s="226"/>
      <c r="CG140" s="226"/>
      <c r="CH140" s="226"/>
      <c r="CI140" s="226"/>
      <c r="CJ140" s="226"/>
      <c r="CK140" s="226"/>
      <c r="CL140" s="226"/>
      <c r="CM140" s="226"/>
      <c r="CN140" s="226"/>
      <c r="CO140" s="226"/>
      <c r="CP140" s="226"/>
      <c r="CQ140" s="226"/>
      <c r="CR140" s="226"/>
      <c r="CS140" s="226"/>
      <c r="CT140" s="226"/>
      <c r="CU140" s="226"/>
      <c r="CV140" s="226"/>
      <c r="CW140" s="226"/>
      <c r="CX140" s="226"/>
      <c r="CY140" s="226"/>
      <c r="CZ140" s="226"/>
      <c r="DA140" s="226"/>
      <c r="DB140" s="226"/>
      <c r="DC140" s="226"/>
      <c r="DD140" s="226"/>
      <c r="DE140" s="226"/>
      <c r="DF140" s="226"/>
      <c r="DG140" s="226"/>
      <c r="DH140" s="226"/>
      <c r="DI140" s="226"/>
      <c r="DJ140" s="226"/>
      <c r="DK140" s="226"/>
      <c r="DL140" s="226"/>
      <c r="DM140" s="226"/>
      <c r="DN140" s="226"/>
      <c r="DO140" s="226"/>
      <c r="DP140" s="226"/>
      <c r="DQ140" s="226"/>
      <c r="DR140" s="226"/>
      <c r="DS140" s="226"/>
      <c r="DT140" s="226"/>
      <c r="DU140" s="226"/>
      <c r="DV140" s="226"/>
      <c r="DW140" s="226"/>
      <c r="DX140" s="226"/>
      <c r="DY140" s="226"/>
      <c r="DZ140" s="226"/>
      <c r="EA140" s="226"/>
      <c r="EB140" s="226"/>
      <c r="EC140" s="226"/>
      <c r="ED140" s="226"/>
      <c r="EE140" s="226"/>
      <c r="EF140" s="226"/>
      <c r="EG140" s="226"/>
      <c r="EH140" s="226"/>
      <c r="EI140" s="226"/>
      <c r="EJ140" s="226"/>
      <c r="EK140" s="226"/>
      <c r="EL140" s="226"/>
      <c r="EM140" s="226"/>
      <c r="EN140" s="226"/>
      <c r="EO140" s="226"/>
      <c r="EP140" s="226"/>
      <c r="EQ140" s="226"/>
      <c r="ER140" s="226"/>
      <c r="ES140" s="226"/>
      <c r="ET140" s="226"/>
      <c r="EU140" s="226"/>
      <c r="EV140" s="226"/>
      <c r="EW140" s="226"/>
      <c r="EX140" s="226"/>
      <c r="EY140" s="226"/>
      <c r="EZ140" s="226"/>
      <c r="FA140" s="226"/>
      <c r="FB140" s="226"/>
      <c r="FC140" s="226"/>
      <c r="FD140" s="226"/>
      <c r="FE140" s="226"/>
      <c r="FF140" s="226"/>
      <c r="FG140" s="226"/>
      <c r="FH140" s="226"/>
      <c r="FI140" s="226"/>
      <c r="FJ140" s="226"/>
      <c r="FK140" s="226"/>
      <c r="FL140" s="226"/>
      <c r="FM140" s="226"/>
      <c r="FN140" s="226"/>
      <c r="FO140" s="226"/>
      <c r="FP140" s="226"/>
      <c r="FQ140" s="226"/>
      <c r="FR140" s="226"/>
      <c r="FS140" s="226"/>
      <c r="FT140" s="226"/>
      <c r="FU140" s="226"/>
      <c r="FV140" s="226"/>
      <c r="FW140" s="226"/>
      <c r="FX140" s="226"/>
      <c r="FY140" s="226"/>
      <c r="FZ140" s="226"/>
      <c r="GA140" s="226"/>
      <c r="GB140" s="226"/>
      <c r="GC140" s="226"/>
      <c r="GD140" s="226"/>
      <c r="GE140" s="226"/>
      <c r="GF140" s="226"/>
      <c r="GG140" s="226"/>
    </row>
    <row r="141" spans="1:189" s="225" customFormat="1" ht="15.95" customHeight="1">
      <c r="A141" s="139">
        <v>517</v>
      </c>
      <c r="B141" s="469" t="s">
        <v>152</v>
      </c>
      <c r="C141" s="252"/>
      <c r="D141" s="78"/>
      <c r="E141" s="587"/>
      <c r="F141" s="65"/>
      <c r="H141" s="259"/>
      <c r="I141" s="265"/>
      <c r="J141" s="259"/>
      <c r="K141" s="226"/>
      <c r="L141" s="226"/>
      <c r="M141" s="226"/>
      <c r="N141" s="226"/>
      <c r="O141" s="226"/>
      <c r="P141" s="226"/>
      <c r="Q141" s="226"/>
      <c r="R141" s="226"/>
      <c r="S141" s="226"/>
      <c r="T141" s="226"/>
      <c r="U141" s="226"/>
      <c r="V141" s="226"/>
      <c r="W141" s="226"/>
      <c r="X141" s="226"/>
      <c r="Y141" s="226"/>
      <c r="Z141" s="226"/>
      <c r="AA141" s="226"/>
      <c r="AB141" s="226"/>
      <c r="AC141" s="226"/>
      <c r="AD141" s="226"/>
      <c r="AE141" s="226"/>
      <c r="AF141" s="226"/>
      <c r="AG141" s="226"/>
      <c r="AH141" s="226"/>
      <c r="AI141" s="226"/>
      <c r="AJ141" s="226"/>
      <c r="AK141" s="226"/>
      <c r="AL141" s="226"/>
      <c r="AM141" s="226"/>
      <c r="AN141" s="226"/>
      <c r="AO141" s="226"/>
      <c r="AP141" s="226"/>
      <c r="AQ141" s="226"/>
      <c r="AR141" s="226"/>
      <c r="AS141" s="226"/>
      <c r="AT141" s="226"/>
      <c r="AU141" s="226"/>
      <c r="AV141" s="226"/>
      <c r="AW141" s="226"/>
      <c r="AX141" s="226"/>
      <c r="AY141" s="226"/>
      <c r="AZ141" s="226"/>
      <c r="BA141" s="226"/>
      <c r="BB141" s="226"/>
      <c r="BC141" s="226"/>
      <c r="BD141" s="226"/>
      <c r="BE141" s="226"/>
      <c r="BF141" s="226"/>
      <c r="BG141" s="226"/>
      <c r="BH141" s="226"/>
      <c r="BI141" s="226"/>
      <c r="BJ141" s="226"/>
      <c r="BK141" s="226"/>
      <c r="BL141" s="226"/>
      <c r="BM141" s="226"/>
      <c r="BN141" s="226"/>
      <c r="BO141" s="226"/>
      <c r="BP141" s="226"/>
      <c r="BQ141" s="226"/>
      <c r="BR141" s="226"/>
      <c r="BS141" s="226"/>
      <c r="BT141" s="226"/>
      <c r="BU141" s="226"/>
      <c r="BV141" s="226"/>
      <c r="BW141" s="226"/>
      <c r="BX141" s="226"/>
      <c r="BY141" s="226"/>
      <c r="BZ141" s="226"/>
      <c r="CA141" s="226"/>
      <c r="CB141" s="226"/>
      <c r="CC141" s="226"/>
      <c r="CD141" s="226"/>
      <c r="CE141" s="226"/>
      <c r="CF141" s="226"/>
      <c r="CG141" s="226"/>
      <c r="CH141" s="226"/>
      <c r="CI141" s="226"/>
      <c r="CJ141" s="226"/>
      <c r="CK141" s="226"/>
      <c r="CL141" s="226"/>
      <c r="CM141" s="226"/>
      <c r="CN141" s="226"/>
      <c r="CO141" s="226"/>
      <c r="CP141" s="226"/>
      <c r="CQ141" s="226"/>
      <c r="CR141" s="226"/>
      <c r="CS141" s="226"/>
      <c r="CT141" s="226"/>
      <c r="CU141" s="226"/>
      <c r="CV141" s="226"/>
      <c r="CW141" s="226"/>
      <c r="CX141" s="226"/>
      <c r="CY141" s="226"/>
      <c r="CZ141" s="226"/>
      <c r="DA141" s="226"/>
      <c r="DB141" s="226"/>
      <c r="DC141" s="226"/>
      <c r="DD141" s="226"/>
      <c r="DE141" s="226"/>
      <c r="DF141" s="226"/>
      <c r="DG141" s="226"/>
      <c r="DH141" s="226"/>
      <c r="DI141" s="226"/>
      <c r="DJ141" s="226"/>
      <c r="DK141" s="226"/>
      <c r="DL141" s="226"/>
      <c r="DM141" s="226"/>
      <c r="DN141" s="226"/>
      <c r="DO141" s="226"/>
      <c r="DP141" s="226"/>
      <c r="DQ141" s="226"/>
      <c r="DR141" s="226"/>
      <c r="DS141" s="226"/>
      <c r="DT141" s="226"/>
      <c r="DU141" s="226"/>
      <c r="DV141" s="226"/>
      <c r="DW141" s="226"/>
      <c r="DX141" s="226"/>
      <c r="DY141" s="226"/>
      <c r="DZ141" s="226"/>
      <c r="EA141" s="226"/>
      <c r="EB141" s="226"/>
      <c r="EC141" s="226"/>
      <c r="ED141" s="226"/>
      <c r="EE141" s="226"/>
      <c r="EF141" s="226"/>
      <c r="EG141" s="226"/>
      <c r="EH141" s="226"/>
      <c r="EI141" s="226"/>
      <c r="EJ141" s="226"/>
      <c r="EK141" s="226"/>
      <c r="EL141" s="226"/>
      <c r="EM141" s="226"/>
      <c r="EN141" s="226"/>
      <c r="EO141" s="226"/>
      <c r="EP141" s="226"/>
      <c r="EQ141" s="226"/>
      <c r="ER141" s="226"/>
      <c r="ES141" s="226"/>
      <c r="ET141" s="226"/>
      <c r="EU141" s="226"/>
      <c r="EV141" s="226"/>
      <c r="EW141" s="226"/>
      <c r="EX141" s="226"/>
      <c r="EY141" s="226"/>
      <c r="EZ141" s="226"/>
      <c r="FA141" s="226"/>
      <c r="FB141" s="226"/>
      <c r="FC141" s="226"/>
      <c r="FD141" s="226"/>
      <c r="FE141" s="226"/>
      <c r="FF141" s="226"/>
      <c r="FG141" s="226"/>
      <c r="FH141" s="226"/>
      <c r="FI141" s="226"/>
      <c r="FJ141" s="226"/>
      <c r="FK141" s="226"/>
      <c r="FL141" s="226"/>
      <c r="FM141" s="226"/>
      <c r="FN141" s="226"/>
      <c r="FO141" s="226"/>
      <c r="FP141" s="226"/>
      <c r="FQ141" s="226"/>
      <c r="FR141" s="226"/>
      <c r="FS141" s="226"/>
      <c r="FT141" s="226"/>
      <c r="FU141" s="226"/>
      <c r="FV141" s="226"/>
      <c r="FW141" s="226"/>
      <c r="FX141" s="226"/>
      <c r="FY141" s="226"/>
      <c r="FZ141" s="226"/>
      <c r="GA141" s="226"/>
      <c r="GB141" s="226"/>
      <c r="GC141" s="226"/>
      <c r="GD141" s="226"/>
      <c r="GE141" s="226"/>
      <c r="GF141" s="226"/>
      <c r="GG141" s="226"/>
    </row>
    <row r="142" spans="1:189" s="225" customFormat="1" ht="15.95" customHeight="1">
      <c r="A142" s="143" t="s">
        <v>153</v>
      </c>
      <c r="B142" s="196" t="s">
        <v>276</v>
      </c>
      <c r="C142" s="251" t="s">
        <v>1</v>
      </c>
      <c r="D142" s="82">
        <f>J142</f>
        <v>0</v>
      </c>
      <c r="E142" s="586" t="e">
        <f>#REF!</f>
        <v>#REF!</v>
      </c>
      <c r="F142" s="64" t="e">
        <f>+D142*E142</f>
        <v>#REF!</v>
      </c>
      <c r="H142" s="259">
        <v>0</v>
      </c>
      <c r="I142" s="265">
        <v>1.05</v>
      </c>
      <c r="J142" s="259">
        <f>H142*I142</f>
        <v>0</v>
      </c>
      <c r="K142" s="226"/>
      <c r="L142" s="226"/>
      <c r="M142" s="226"/>
      <c r="N142" s="226"/>
      <c r="O142" s="226"/>
      <c r="P142" s="226"/>
      <c r="Q142" s="226"/>
      <c r="R142" s="226"/>
      <c r="S142" s="226"/>
      <c r="T142" s="226"/>
      <c r="U142" s="226"/>
      <c r="V142" s="226"/>
      <c r="W142" s="226"/>
      <c r="X142" s="226"/>
      <c r="Y142" s="226"/>
      <c r="Z142" s="226"/>
      <c r="AA142" s="226"/>
      <c r="AB142" s="226"/>
      <c r="AC142" s="226"/>
      <c r="AD142" s="226"/>
      <c r="AE142" s="226"/>
      <c r="AF142" s="226"/>
      <c r="AG142" s="226"/>
      <c r="AH142" s="226"/>
      <c r="AI142" s="226"/>
      <c r="AJ142" s="226"/>
      <c r="AK142" s="226"/>
      <c r="AL142" s="226"/>
      <c r="AM142" s="226"/>
      <c r="AN142" s="226"/>
      <c r="AO142" s="226"/>
      <c r="AP142" s="226"/>
      <c r="AQ142" s="226"/>
      <c r="AR142" s="226"/>
      <c r="AS142" s="226"/>
      <c r="AT142" s="226"/>
      <c r="AU142" s="226"/>
      <c r="AV142" s="226"/>
      <c r="AW142" s="226"/>
      <c r="AX142" s="226"/>
      <c r="AY142" s="226"/>
      <c r="AZ142" s="226"/>
      <c r="BA142" s="226"/>
      <c r="BB142" s="226"/>
      <c r="BC142" s="226"/>
      <c r="BD142" s="226"/>
      <c r="BE142" s="226"/>
      <c r="BF142" s="226"/>
      <c r="BG142" s="226"/>
      <c r="BH142" s="226"/>
      <c r="BI142" s="226"/>
      <c r="BJ142" s="226"/>
      <c r="BK142" s="226"/>
      <c r="BL142" s="226"/>
      <c r="BM142" s="226"/>
      <c r="BN142" s="226"/>
      <c r="BO142" s="226"/>
      <c r="BP142" s="226"/>
      <c r="BQ142" s="226"/>
      <c r="BR142" s="226"/>
      <c r="BS142" s="226"/>
      <c r="BT142" s="226"/>
      <c r="BU142" s="226"/>
      <c r="BV142" s="226"/>
      <c r="BW142" s="226"/>
      <c r="BX142" s="226"/>
      <c r="BY142" s="226"/>
      <c r="BZ142" s="226"/>
      <c r="CA142" s="226"/>
      <c r="CB142" s="226"/>
      <c r="CC142" s="226"/>
      <c r="CD142" s="226"/>
      <c r="CE142" s="226"/>
      <c r="CF142" s="226"/>
      <c r="CG142" s="226"/>
      <c r="CH142" s="226"/>
      <c r="CI142" s="226"/>
      <c r="CJ142" s="226"/>
      <c r="CK142" s="226"/>
      <c r="CL142" s="226"/>
      <c r="CM142" s="226"/>
      <c r="CN142" s="226"/>
      <c r="CO142" s="226"/>
      <c r="CP142" s="226"/>
      <c r="CQ142" s="226"/>
      <c r="CR142" s="226"/>
      <c r="CS142" s="226"/>
      <c r="CT142" s="226"/>
      <c r="CU142" s="226"/>
      <c r="CV142" s="226"/>
      <c r="CW142" s="226"/>
      <c r="CX142" s="226"/>
      <c r="CY142" s="226"/>
      <c r="CZ142" s="226"/>
      <c r="DA142" s="226"/>
      <c r="DB142" s="226"/>
      <c r="DC142" s="226"/>
      <c r="DD142" s="226"/>
      <c r="DE142" s="226"/>
      <c r="DF142" s="226"/>
      <c r="DG142" s="226"/>
      <c r="DH142" s="226"/>
      <c r="DI142" s="226"/>
      <c r="DJ142" s="226"/>
      <c r="DK142" s="226"/>
      <c r="DL142" s="226"/>
      <c r="DM142" s="226"/>
      <c r="DN142" s="226"/>
      <c r="DO142" s="226"/>
      <c r="DP142" s="226"/>
      <c r="DQ142" s="226"/>
      <c r="DR142" s="226"/>
      <c r="DS142" s="226"/>
      <c r="DT142" s="226"/>
      <c r="DU142" s="226"/>
      <c r="DV142" s="226"/>
      <c r="DW142" s="226"/>
      <c r="DX142" s="226"/>
      <c r="DY142" s="226"/>
      <c r="DZ142" s="226"/>
      <c r="EA142" s="226"/>
      <c r="EB142" s="226"/>
      <c r="EC142" s="226"/>
      <c r="ED142" s="226"/>
      <c r="EE142" s="226"/>
      <c r="EF142" s="226"/>
      <c r="EG142" s="226"/>
      <c r="EH142" s="226"/>
      <c r="EI142" s="226"/>
      <c r="EJ142" s="226"/>
      <c r="EK142" s="226"/>
      <c r="EL142" s="226"/>
      <c r="EM142" s="226"/>
      <c r="EN142" s="226"/>
      <c r="EO142" s="226"/>
      <c r="EP142" s="226"/>
      <c r="EQ142" s="226"/>
      <c r="ER142" s="226"/>
      <c r="ES142" s="226"/>
      <c r="ET142" s="226"/>
      <c r="EU142" s="226"/>
      <c r="EV142" s="226"/>
      <c r="EW142" s="226"/>
      <c r="EX142" s="226"/>
      <c r="EY142" s="226"/>
      <c r="EZ142" s="226"/>
      <c r="FA142" s="226"/>
      <c r="FB142" s="226"/>
      <c r="FC142" s="226"/>
      <c r="FD142" s="226"/>
      <c r="FE142" s="226"/>
      <c r="FF142" s="226"/>
      <c r="FG142" s="226"/>
      <c r="FH142" s="226"/>
      <c r="FI142" s="226"/>
      <c r="FJ142" s="226"/>
      <c r="FK142" s="226"/>
      <c r="FL142" s="226"/>
      <c r="FM142" s="226"/>
      <c r="FN142" s="226"/>
      <c r="FO142" s="226"/>
      <c r="FP142" s="226"/>
      <c r="FQ142" s="226"/>
      <c r="FR142" s="226"/>
      <c r="FS142" s="226"/>
      <c r="FT142" s="226"/>
      <c r="FU142" s="226"/>
      <c r="FV142" s="226"/>
      <c r="FW142" s="226"/>
      <c r="FX142" s="226"/>
      <c r="FY142" s="226"/>
      <c r="FZ142" s="226"/>
      <c r="GA142" s="226"/>
      <c r="GB142" s="226"/>
      <c r="GC142" s="226"/>
      <c r="GD142" s="226"/>
      <c r="GE142" s="226"/>
      <c r="GF142" s="226"/>
      <c r="GG142" s="226"/>
    </row>
    <row r="143" spans="1:189" s="225" customFormat="1" ht="15.95" customHeight="1">
      <c r="A143" s="139">
        <v>518</v>
      </c>
      <c r="B143" s="554" t="s">
        <v>180</v>
      </c>
      <c r="C143" s="252"/>
      <c r="D143" s="78"/>
      <c r="E143" s="587"/>
      <c r="F143" s="65"/>
      <c r="H143" s="259"/>
      <c r="I143" s="265"/>
      <c r="J143" s="259"/>
      <c r="K143" s="226"/>
      <c r="L143" s="226"/>
      <c r="M143" s="226"/>
      <c r="N143" s="226"/>
      <c r="O143" s="226"/>
      <c r="P143" s="226"/>
      <c r="Q143" s="226"/>
      <c r="R143" s="226"/>
      <c r="S143" s="226"/>
      <c r="T143" s="226"/>
      <c r="U143" s="226"/>
      <c r="V143" s="226"/>
      <c r="W143" s="226"/>
      <c r="X143" s="226"/>
      <c r="Y143" s="226"/>
      <c r="Z143" s="226"/>
      <c r="AA143" s="226"/>
      <c r="AB143" s="226"/>
      <c r="AC143" s="226"/>
      <c r="AD143" s="226"/>
      <c r="AE143" s="226"/>
      <c r="AF143" s="226"/>
      <c r="AG143" s="226"/>
      <c r="AH143" s="226"/>
      <c r="AI143" s="226"/>
      <c r="AJ143" s="226"/>
      <c r="AK143" s="226"/>
      <c r="AL143" s="226"/>
      <c r="AM143" s="226"/>
      <c r="AN143" s="226"/>
      <c r="AO143" s="226"/>
      <c r="AP143" s="226"/>
      <c r="AQ143" s="226"/>
      <c r="AR143" s="226"/>
      <c r="AS143" s="226"/>
      <c r="AT143" s="226"/>
      <c r="AU143" s="226"/>
      <c r="AV143" s="226"/>
      <c r="AW143" s="226"/>
      <c r="AX143" s="226"/>
      <c r="AY143" s="226"/>
      <c r="AZ143" s="226"/>
      <c r="BA143" s="226"/>
      <c r="BB143" s="226"/>
      <c r="BC143" s="226"/>
      <c r="BD143" s="226"/>
      <c r="BE143" s="226"/>
      <c r="BF143" s="226"/>
      <c r="BG143" s="226"/>
      <c r="BH143" s="226"/>
      <c r="BI143" s="226"/>
      <c r="BJ143" s="226"/>
      <c r="BK143" s="226"/>
      <c r="BL143" s="226"/>
      <c r="BM143" s="226"/>
      <c r="BN143" s="226"/>
      <c r="BO143" s="226"/>
      <c r="BP143" s="226"/>
      <c r="BQ143" s="226"/>
      <c r="BR143" s="226"/>
      <c r="BS143" s="226"/>
      <c r="BT143" s="226"/>
      <c r="BU143" s="226"/>
      <c r="BV143" s="226"/>
      <c r="BW143" s="226"/>
      <c r="BX143" s="226"/>
      <c r="BY143" s="226"/>
      <c r="BZ143" s="226"/>
      <c r="CA143" s="226"/>
      <c r="CB143" s="226"/>
      <c r="CC143" s="226"/>
      <c r="CD143" s="226"/>
      <c r="CE143" s="226"/>
      <c r="CF143" s="226"/>
      <c r="CG143" s="226"/>
      <c r="CH143" s="226"/>
      <c r="CI143" s="226"/>
      <c r="CJ143" s="226"/>
      <c r="CK143" s="226"/>
      <c r="CL143" s="226"/>
      <c r="CM143" s="226"/>
      <c r="CN143" s="226"/>
      <c r="CO143" s="226"/>
      <c r="CP143" s="226"/>
      <c r="CQ143" s="226"/>
      <c r="CR143" s="226"/>
      <c r="CS143" s="226"/>
      <c r="CT143" s="226"/>
      <c r="CU143" s="226"/>
      <c r="CV143" s="226"/>
      <c r="CW143" s="226"/>
      <c r="CX143" s="226"/>
      <c r="CY143" s="226"/>
      <c r="CZ143" s="226"/>
      <c r="DA143" s="226"/>
      <c r="DB143" s="226"/>
      <c r="DC143" s="226"/>
      <c r="DD143" s="226"/>
      <c r="DE143" s="226"/>
      <c r="DF143" s="226"/>
      <c r="DG143" s="226"/>
      <c r="DH143" s="226"/>
      <c r="DI143" s="226"/>
      <c r="DJ143" s="226"/>
      <c r="DK143" s="226"/>
      <c r="DL143" s="226"/>
      <c r="DM143" s="226"/>
      <c r="DN143" s="226"/>
      <c r="DO143" s="226"/>
      <c r="DP143" s="226"/>
      <c r="DQ143" s="226"/>
      <c r="DR143" s="226"/>
      <c r="DS143" s="226"/>
      <c r="DT143" s="226"/>
      <c r="DU143" s="226"/>
      <c r="DV143" s="226"/>
      <c r="DW143" s="226"/>
      <c r="DX143" s="226"/>
      <c r="DY143" s="226"/>
      <c r="DZ143" s="226"/>
      <c r="EA143" s="226"/>
      <c r="EB143" s="226"/>
      <c r="EC143" s="226"/>
      <c r="ED143" s="226"/>
      <c r="EE143" s="226"/>
      <c r="EF143" s="226"/>
      <c r="EG143" s="226"/>
      <c r="EH143" s="226"/>
      <c r="EI143" s="226"/>
      <c r="EJ143" s="226"/>
      <c r="EK143" s="226"/>
      <c r="EL143" s="226"/>
      <c r="EM143" s="226"/>
      <c r="EN143" s="226"/>
      <c r="EO143" s="226"/>
      <c r="EP143" s="226"/>
      <c r="EQ143" s="226"/>
      <c r="ER143" s="226"/>
      <c r="ES143" s="226"/>
      <c r="ET143" s="226"/>
      <c r="EU143" s="226"/>
      <c r="EV143" s="226"/>
      <c r="EW143" s="226"/>
      <c r="EX143" s="226"/>
      <c r="EY143" s="226"/>
      <c r="EZ143" s="226"/>
      <c r="FA143" s="226"/>
      <c r="FB143" s="226"/>
      <c r="FC143" s="226"/>
      <c r="FD143" s="226"/>
      <c r="FE143" s="226"/>
      <c r="FF143" s="226"/>
      <c r="FG143" s="226"/>
      <c r="FH143" s="226"/>
      <c r="FI143" s="226"/>
      <c r="FJ143" s="226"/>
      <c r="FK143" s="226"/>
      <c r="FL143" s="226"/>
      <c r="FM143" s="226"/>
      <c r="FN143" s="226"/>
      <c r="FO143" s="226"/>
      <c r="FP143" s="226"/>
      <c r="FQ143" s="226"/>
      <c r="FR143" s="226"/>
      <c r="FS143" s="226"/>
      <c r="FT143" s="226"/>
      <c r="FU143" s="226"/>
      <c r="FV143" s="226"/>
      <c r="FW143" s="226"/>
      <c r="FX143" s="226"/>
      <c r="FY143" s="226"/>
      <c r="FZ143" s="226"/>
      <c r="GA143" s="226"/>
      <c r="GB143" s="226"/>
      <c r="GC143" s="226"/>
      <c r="GD143" s="226"/>
      <c r="GE143" s="226"/>
      <c r="GF143" s="226"/>
      <c r="GG143" s="226"/>
    </row>
    <row r="144" spans="1:189" s="225" customFormat="1" ht="15.95" customHeight="1">
      <c r="A144" s="139" t="s">
        <v>179</v>
      </c>
      <c r="B144" s="230" t="s">
        <v>181</v>
      </c>
      <c r="C144" s="252" t="s">
        <v>1</v>
      </c>
      <c r="D144" s="138">
        <f>J144</f>
        <v>0</v>
      </c>
      <c r="E144" s="587" t="e">
        <f>#REF!</f>
        <v>#REF!</v>
      </c>
      <c r="F144" s="65" t="e">
        <f>+D144*E144</f>
        <v>#REF!</v>
      </c>
      <c r="H144" s="259">
        <v>0</v>
      </c>
      <c r="I144" s="265">
        <v>1.05</v>
      </c>
      <c r="J144" s="259">
        <f>H144*I144</f>
        <v>0</v>
      </c>
      <c r="K144" s="226"/>
      <c r="L144" s="226"/>
      <c r="M144" s="226"/>
      <c r="N144" s="226"/>
      <c r="O144" s="226"/>
      <c r="P144" s="226"/>
      <c r="Q144" s="226"/>
      <c r="R144" s="226"/>
      <c r="S144" s="226"/>
      <c r="T144" s="226"/>
      <c r="U144" s="226"/>
      <c r="V144" s="226"/>
      <c r="W144" s="226"/>
      <c r="X144" s="226"/>
      <c r="Y144" s="226"/>
      <c r="Z144" s="226"/>
      <c r="AA144" s="226"/>
      <c r="AB144" s="226"/>
      <c r="AC144" s="226"/>
      <c r="AD144" s="226"/>
      <c r="AE144" s="226"/>
      <c r="AF144" s="226"/>
      <c r="AG144" s="226"/>
      <c r="AH144" s="226"/>
      <c r="AI144" s="226"/>
      <c r="AJ144" s="226"/>
      <c r="AK144" s="226"/>
      <c r="AL144" s="226"/>
      <c r="AM144" s="226"/>
      <c r="AN144" s="226"/>
      <c r="AO144" s="226"/>
      <c r="AP144" s="226"/>
      <c r="AQ144" s="226"/>
      <c r="AR144" s="226"/>
      <c r="AS144" s="226"/>
      <c r="AT144" s="226"/>
      <c r="AU144" s="226"/>
      <c r="AV144" s="226"/>
      <c r="AW144" s="226"/>
      <c r="AX144" s="226"/>
      <c r="AY144" s="226"/>
      <c r="AZ144" s="226"/>
      <c r="BA144" s="226"/>
      <c r="BB144" s="226"/>
      <c r="BC144" s="226"/>
      <c r="BD144" s="226"/>
      <c r="BE144" s="226"/>
      <c r="BF144" s="226"/>
      <c r="BG144" s="226"/>
      <c r="BH144" s="226"/>
      <c r="BI144" s="226"/>
      <c r="BJ144" s="226"/>
      <c r="BK144" s="226"/>
      <c r="BL144" s="226"/>
      <c r="BM144" s="226"/>
      <c r="BN144" s="226"/>
      <c r="BO144" s="226"/>
      <c r="BP144" s="226"/>
      <c r="BQ144" s="226"/>
      <c r="BR144" s="226"/>
      <c r="BS144" s="226"/>
      <c r="BT144" s="226"/>
      <c r="BU144" s="226"/>
      <c r="BV144" s="226"/>
      <c r="BW144" s="226"/>
      <c r="BX144" s="226"/>
      <c r="BY144" s="226"/>
      <c r="BZ144" s="226"/>
      <c r="CA144" s="226"/>
      <c r="CB144" s="226"/>
      <c r="CC144" s="226"/>
      <c r="CD144" s="226"/>
      <c r="CE144" s="226"/>
      <c r="CF144" s="226"/>
      <c r="CG144" s="226"/>
      <c r="CH144" s="226"/>
      <c r="CI144" s="226"/>
      <c r="CJ144" s="226"/>
      <c r="CK144" s="226"/>
      <c r="CL144" s="226"/>
      <c r="CM144" s="226"/>
      <c r="CN144" s="226"/>
      <c r="CO144" s="226"/>
      <c r="CP144" s="226"/>
      <c r="CQ144" s="226"/>
      <c r="CR144" s="226"/>
      <c r="CS144" s="226"/>
      <c r="CT144" s="226"/>
      <c r="CU144" s="226"/>
      <c r="CV144" s="226"/>
      <c r="CW144" s="226"/>
      <c r="CX144" s="226"/>
      <c r="CY144" s="226"/>
      <c r="CZ144" s="226"/>
      <c r="DA144" s="226"/>
      <c r="DB144" s="226"/>
      <c r="DC144" s="226"/>
      <c r="DD144" s="226"/>
      <c r="DE144" s="226"/>
      <c r="DF144" s="226"/>
      <c r="DG144" s="226"/>
      <c r="DH144" s="226"/>
      <c r="DI144" s="226"/>
      <c r="DJ144" s="226"/>
      <c r="DK144" s="226"/>
      <c r="DL144" s="226"/>
      <c r="DM144" s="226"/>
      <c r="DN144" s="226"/>
      <c r="DO144" s="226"/>
      <c r="DP144" s="226"/>
      <c r="DQ144" s="226"/>
      <c r="DR144" s="226"/>
      <c r="DS144" s="226"/>
      <c r="DT144" s="226"/>
      <c r="DU144" s="226"/>
      <c r="DV144" s="226"/>
      <c r="DW144" s="226"/>
      <c r="DX144" s="226"/>
      <c r="DY144" s="226"/>
      <c r="DZ144" s="226"/>
      <c r="EA144" s="226"/>
      <c r="EB144" s="226"/>
      <c r="EC144" s="226"/>
      <c r="ED144" s="226"/>
      <c r="EE144" s="226"/>
      <c r="EF144" s="226"/>
      <c r="EG144" s="226"/>
      <c r="EH144" s="226"/>
      <c r="EI144" s="226"/>
      <c r="EJ144" s="226"/>
      <c r="EK144" s="226"/>
      <c r="EL144" s="226"/>
      <c r="EM144" s="226"/>
      <c r="EN144" s="226"/>
      <c r="EO144" s="226"/>
      <c r="EP144" s="226"/>
      <c r="EQ144" s="226"/>
      <c r="ER144" s="226"/>
      <c r="ES144" s="226"/>
      <c r="ET144" s="226"/>
      <c r="EU144" s="226"/>
      <c r="EV144" s="226"/>
      <c r="EW144" s="226"/>
      <c r="EX144" s="226"/>
      <c r="EY144" s="226"/>
      <c r="EZ144" s="226"/>
      <c r="FA144" s="226"/>
      <c r="FB144" s="226"/>
      <c r="FC144" s="226"/>
      <c r="FD144" s="226"/>
      <c r="FE144" s="226"/>
      <c r="FF144" s="226"/>
      <c r="FG144" s="226"/>
      <c r="FH144" s="226"/>
      <c r="FI144" s="226"/>
      <c r="FJ144" s="226"/>
      <c r="FK144" s="226"/>
      <c r="FL144" s="226"/>
      <c r="FM144" s="226"/>
      <c r="FN144" s="226"/>
      <c r="FO144" s="226"/>
      <c r="FP144" s="226"/>
      <c r="FQ144" s="226"/>
      <c r="FR144" s="226"/>
      <c r="FS144" s="226"/>
      <c r="FT144" s="226"/>
      <c r="FU144" s="226"/>
      <c r="FV144" s="226"/>
      <c r="FW144" s="226"/>
      <c r="FX144" s="226"/>
      <c r="FY144" s="226"/>
      <c r="FZ144" s="226"/>
      <c r="GA144" s="226"/>
      <c r="GB144" s="226"/>
      <c r="GC144" s="226"/>
      <c r="GD144" s="226"/>
      <c r="GE144" s="226"/>
      <c r="GF144" s="226"/>
      <c r="GG144" s="226"/>
    </row>
    <row r="145" spans="1:189" s="225" customFormat="1" ht="15.95" customHeight="1">
      <c r="A145" s="36" t="s">
        <v>183</v>
      </c>
      <c r="B145" s="196" t="s">
        <v>182</v>
      </c>
      <c r="C145" s="254" t="s">
        <v>1</v>
      </c>
      <c r="D145" s="82">
        <f>J145</f>
        <v>0</v>
      </c>
      <c r="E145" s="586" t="e">
        <f>#REF!</f>
        <v>#REF!</v>
      </c>
      <c r="F145" s="64" t="e">
        <f>+D145*E145</f>
        <v>#REF!</v>
      </c>
      <c r="H145" s="259"/>
      <c r="I145" s="265">
        <v>1.05</v>
      </c>
      <c r="J145" s="259">
        <f>H145*I145</f>
        <v>0</v>
      </c>
      <c r="K145" s="226"/>
      <c r="L145" s="226">
        <f>17500*657</f>
        <v>11497500</v>
      </c>
      <c r="M145" s="226"/>
      <c r="N145" s="226"/>
      <c r="O145" s="226"/>
      <c r="P145" s="226"/>
      <c r="Q145" s="226"/>
      <c r="R145" s="226"/>
      <c r="S145" s="226"/>
      <c r="T145" s="226"/>
      <c r="U145" s="226"/>
      <c r="V145" s="226"/>
      <c r="W145" s="226"/>
      <c r="X145" s="226"/>
      <c r="Y145" s="226"/>
      <c r="Z145" s="226"/>
      <c r="AA145" s="226"/>
      <c r="AB145" s="226"/>
      <c r="AC145" s="226"/>
      <c r="AD145" s="226"/>
      <c r="AE145" s="226"/>
      <c r="AF145" s="226"/>
      <c r="AG145" s="226"/>
      <c r="AH145" s="226"/>
      <c r="AI145" s="226"/>
      <c r="AJ145" s="226"/>
      <c r="AK145" s="226"/>
      <c r="AL145" s="226"/>
      <c r="AM145" s="226"/>
      <c r="AN145" s="226"/>
      <c r="AO145" s="226"/>
      <c r="AP145" s="226"/>
      <c r="AQ145" s="226"/>
      <c r="AR145" s="226"/>
      <c r="AS145" s="226"/>
      <c r="AT145" s="226"/>
      <c r="AU145" s="226"/>
      <c r="AV145" s="226"/>
      <c r="AW145" s="226"/>
      <c r="AX145" s="226"/>
      <c r="AY145" s="226"/>
      <c r="AZ145" s="226"/>
      <c r="BA145" s="226"/>
      <c r="BB145" s="226"/>
      <c r="BC145" s="226"/>
      <c r="BD145" s="226"/>
      <c r="BE145" s="226"/>
      <c r="BF145" s="226"/>
      <c r="BG145" s="226"/>
      <c r="BH145" s="226"/>
      <c r="BI145" s="226"/>
      <c r="BJ145" s="226"/>
      <c r="BK145" s="226"/>
      <c r="BL145" s="226"/>
      <c r="BM145" s="226"/>
      <c r="BN145" s="226"/>
      <c r="BO145" s="226"/>
      <c r="BP145" s="226"/>
      <c r="BQ145" s="226"/>
      <c r="BR145" s="226"/>
      <c r="BS145" s="226"/>
      <c r="BT145" s="226"/>
      <c r="BU145" s="226"/>
      <c r="BV145" s="226"/>
      <c r="BW145" s="226"/>
      <c r="BX145" s="226"/>
      <c r="BY145" s="226"/>
      <c r="BZ145" s="226"/>
      <c r="CA145" s="226"/>
      <c r="CB145" s="226"/>
      <c r="CC145" s="226"/>
      <c r="CD145" s="226"/>
      <c r="CE145" s="226"/>
      <c r="CF145" s="226"/>
      <c r="CG145" s="226"/>
      <c r="CH145" s="226"/>
      <c r="CI145" s="226"/>
      <c r="CJ145" s="226"/>
      <c r="CK145" s="226"/>
      <c r="CL145" s="226"/>
      <c r="CM145" s="226"/>
      <c r="CN145" s="226"/>
      <c r="CO145" s="226"/>
      <c r="CP145" s="226"/>
      <c r="CQ145" s="226"/>
      <c r="CR145" s="226"/>
      <c r="CS145" s="226"/>
      <c r="CT145" s="226"/>
      <c r="CU145" s="226"/>
      <c r="CV145" s="226"/>
      <c r="CW145" s="226"/>
      <c r="CX145" s="226"/>
      <c r="CY145" s="226"/>
      <c r="CZ145" s="226"/>
      <c r="DA145" s="226"/>
      <c r="DB145" s="226"/>
      <c r="DC145" s="226"/>
      <c r="DD145" s="226"/>
      <c r="DE145" s="226"/>
      <c r="DF145" s="226"/>
      <c r="DG145" s="226"/>
      <c r="DH145" s="226"/>
      <c r="DI145" s="226"/>
      <c r="DJ145" s="226"/>
      <c r="DK145" s="226"/>
      <c r="DL145" s="226"/>
      <c r="DM145" s="226"/>
      <c r="DN145" s="226"/>
      <c r="DO145" s="226"/>
      <c r="DP145" s="226"/>
      <c r="DQ145" s="226"/>
      <c r="DR145" s="226"/>
      <c r="DS145" s="226"/>
      <c r="DT145" s="226"/>
      <c r="DU145" s="226"/>
      <c r="DV145" s="226"/>
      <c r="DW145" s="226"/>
      <c r="DX145" s="226"/>
      <c r="DY145" s="226"/>
      <c r="DZ145" s="226"/>
      <c r="EA145" s="226"/>
      <c r="EB145" s="226"/>
      <c r="EC145" s="226"/>
      <c r="ED145" s="226"/>
      <c r="EE145" s="226"/>
      <c r="EF145" s="226"/>
      <c r="EG145" s="226"/>
      <c r="EH145" s="226"/>
      <c r="EI145" s="226"/>
      <c r="EJ145" s="226"/>
      <c r="EK145" s="226"/>
      <c r="EL145" s="226"/>
      <c r="EM145" s="226"/>
      <c r="EN145" s="226"/>
      <c r="EO145" s="226"/>
      <c r="EP145" s="226"/>
      <c r="EQ145" s="226"/>
      <c r="ER145" s="226"/>
      <c r="ES145" s="226"/>
      <c r="ET145" s="226"/>
      <c r="EU145" s="226"/>
      <c r="EV145" s="226"/>
      <c r="EW145" s="226"/>
      <c r="EX145" s="226"/>
      <c r="EY145" s="226"/>
      <c r="EZ145" s="226"/>
      <c r="FA145" s="226"/>
      <c r="FB145" s="226"/>
      <c r="FC145" s="226"/>
      <c r="FD145" s="226"/>
      <c r="FE145" s="226"/>
      <c r="FF145" s="226"/>
      <c r="FG145" s="226"/>
      <c r="FH145" s="226"/>
      <c r="FI145" s="226"/>
      <c r="FJ145" s="226"/>
      <c r="FK145" s="226"/>
      <c r="FL145" s="226"/>
      <c r="FM145" s="226"/>
      <c r="FN145" s="226"/>
      <c r="FO145" s="226"/>
      <c r="FP145" s="226"/>
      <c r="FQ145" s="226"/>
      <c r="FR145" s="226"/>
      <c r="FS145" s="226"/>
      <c r="FT145" s="226"/>
      <c r="FU145" s="226"/>
      <c r="FV145" s="226"/>
      <c r="FW145" s="226"/>
      <c r="FX145" s="226"/>
      <c r="FY145" s="226"/>
      <c r="FZ145" s="226"/>
      <c r="GA145" s="226"/>
      <c r="GB145" s="226"/>
      <c r="GC145" s="226"/>
      <c r="GD145" s="226"/>
      <c r="GE145" s="226"/>
      <c r="GF145" s="226"/>
      <c r="GG145" s="226"/>
    </row>
    <row r="146" spans="1:189" ht="24.75" customHeight="1">
      <c r="A146" s="431"/>
      <c r="B146" s="239"/>
      <c r="C146" s="477"/>
      <c r="D146" s="92"/>
      <c r="E146" s="580" t="s">
        <v>113</v>
      </c>
      <c r="F146" s="94" t="e">
        <f>SUM(F94:F145)</f>
        <v>#REF!</v>
      </c>
    </row>
    <row r="147" spans="1:189" ht="15.95" customHeight="1">
      <c r="A147" s="406"/>
      <c r="B147" s="12"/>
      <c r="C147" s="13"/>
      <c r="D147" s="76"/>
      <c r="F147" s="66"/>
      <c r="L147" s="129">
        <f>17500/22</f>
        <v>795.4545454545455</v>
      </c>
    </row>
    <row r="148" spans="1:189" ht="24" customHeight="1">
      <c r="A148" s="436" t="s">
        <v>17</v>
      </c>
      <c r="B148" s="3"/>
      <c r="C148" s="52" t="s">
        <v>98</v>
      </c>
      <c r="D148" s="86" t="s">
        <v>99</v>
      </c>
      <c r="E148" s="596" t="s">
        <v>100</v>
      </c>
      <c r="F148" s="241" t="s">
        <v>114</v>
      </c>
    </row>
    <row r="149" spans="1:189" ht="15.95" customHeight="1">
      <c r="A149" s="232" t="s">
        <v>18</v>
      </c>
      <c r="B149" s="125" t="s">
        <v>96</v>
      </c>
      <c r="C149" s="233"/>
      <c r="D149" s="234"/>
      <c r="E149" s="583"/>
      <c r="F149" s="63"/>
    </row>
    <row r="150" spans="1:189" ht="15.95" customHeight="1">
      <c r="A150" s="17" t="s">
        <v>192</v>
      </c>
      <c r="B150" s="39" t="s">
        <v>193</v>
      </c>
      <c r="C150" s="235" t="s">
        <v>27</v>
      </c>
      <c r="D150" s="235"/>
      <c r="E150" s="587" t="e">
        <f>#REF!</f>
        <v>#REF!</v>
      </c>
      <c r="F150" s="65" t="e">
        <f>+D150*E150</f>
        <v>#REF!</v>
      </c>
      <c r="I150" s="262">
        <v>1.05</v>
      </c>
      <c r="J150" s="255">
        <f>ROUND(H150*I150,0)</f>
        <v>0</v>
      </c>
    </row>
    <row r="151" spans="1:189" ht="15.95" customHeight="1">
      <c r="A151" s="17" t="s">
        <v>194</v>
      </c>
      <c r="B151" s="39" t="s">
        <v>196</v>
      </c>
      <c r="C151" s="153" t="s">
        <v>27</v>
      </c>
      <c r="D151" s="108">
        <f>D150</f>
        <v>0</v>
      </c>
      <c r="E151" s="587" t="e">
        <f>#REF!</f>
        <v>#REF!</v>
      </c>
      <c r="F151" s="65" t="e">
        <f>+D151*E151</f>
        <v>#REF!</v>
      </c>
    </row>
    <row r="152" spans="1:189" ht="15.95" customHeight="1">
      <c r="A152" s="17" t="s">
        <v>236</v>
      </c>
      <c r="B152" s="49" t="s">
        <v>239</v>
      </c>
      <c r="C152" s="113" t="s">
        <v>266</v>
      </c>
      <c r="D152" s="107">
        <v>1</v>
      </c>
      <c r="E152" s="587" t="e">
        <f>#REF!*0.5</f>
        <v>#REF!</v>
      </c>
      <c r="F152" s="64" t="e">
        <f>+D152*E152</f>
        <v>#REF!</v>
      </c>
    </row>
    <row r="153" spans="1:189" ht="15.95" customHeight="1">
      <c r="A153" s="232" t="s">
        <v>208</v>
      </c>
      <c r="B153" s="125" t="s">
        <v>154</v>
      </c>
      <c r="C153" s="233"/>
      <c r="D153" s="234"/>
      <c r="E153" s="583"/>
      <c r="F153" s="63"/>
    </row>
    <row r="154" spans="1:189" ht="15" customHeight="1">
      <c r="A154" s="17"/>
      <c r="B154" s="39"/>
      <c r="C154" s="235" t="s">
        <v>1</v>
      </c>
      <c r="D154" s="235">
        <f>J154</f>
        <v>0</v>
      </c>
      <c r="E154" s="587" t="e">
        <f>#REF!</f>
        <v>#REF!</v>
      </c>
      <c r="F154" s="65" t="e">
        <f>+D154*E154</f>
        <v>#REF!</v>
      </c>
      <c r="H154" s="255">
        <v>0</v>
      </c>
      <c r="I154" s="262">
        <v>1.05</v>
      </c>
      <c r="J154" s="255">
        <f>ROUND(H154*I154,0)</f>
        <v>0</v>
      </c>
    </row>
    <row r="155" spans="1:189" ht="15.95" customHeight="1">
      <c r="A155" s="232" t="s">
        <v>209</v>
      </c>
      <c r="B155" s="125" t="s">
        <v>155</v>
      </c>
      <c r="C155" s="233"/>
      <c r="D155" s="234"/>
      <c r="E155" s="583"/>
      <c r="F155" s="63"/>
    </row>
    <row r="156" spans="1:189" ht="15" customHeight="1">
      <c r="A156" s="17"/>
      <c r="B156" s="39"/>
      <c r="C156" s="235" t="s">
        <v>1</v>
      </c>
      <c r="D156" s="235">
        <f>D154</f>
        <v>0</v>
      </c>
      <c r="E156" s="587" t="e">
        <f>#REF!</f>
        <v>#REF!</v>
      </c>
      <c r="F156" s="65" t="e">
        <f>+D156*E156</f>
        <v>#REF!</v>
      </c>
      <c r="H156" s="255">
        <v>0</v>
      </c>
      <c r="I156" s="262">
        <v>1.05</v>
      </c>
      <c r="J156" s="255">
        <f>ROUND(H156*I156,0)</f>
        <v>0</v>
      </c>
    </row>
    <row r="157" spans="1:189" ht="15.95" customHeight="1">
      <c r="A157" s="232">
        <v>604</v>
      </c>
      <c r="B157" s="43" t="s">
        <v>164</v>
      </c>
      <c r="C157" s="482"/>
      <c r="D157" s="133"/>
      <c r="E157" s="583"/>
      <c r="F157" s="109"/>
    </row>
    <row r="158" spans="1:189" ht="15.95" customHeight="1">
      <c r="A158" s="47" t="s">
        <v>224</v>
      </c>
      <c r="B158" s="123" t="s">
        <v>223</v>
      </c>
      <c r="C158" s="261" t="s">
        <v>27</v>
      </c>
      <c r="D158" s="151">
        <v>0</v>
      </c>
      <c r="E158" s="587" t="e">
        <f>#REF!</f>
        <v>#REF!</v>
      </c>
      <c r="F158" s="108" t="e">
        <f>+D158*E158</f>
        <v>#REF!</v>
      </c>
    </row>
    <row r="159" spans="1:189" ht="15.95" customHeight="1">
      <c r="A159" s="260" t="s">
        <v>225</v>
      </c>
      <c r="B159" s="24" t="s">
        <v>226</v>
      </c>
      <c r="C159" s="154" t="s">
        <v>27</v>
      </c>
      <c r="D159" s="134">
        <v>0</v>
      </c>
      <c r="E159" s="586" t="e">
        <f>#REF!</f>
        <v>#REF!</v>
      </c>
      <c r="F159" s="107" t="e">
        <f>+D159*E159</f>
        <v>#REF!</v>
      </c>
    </row>
    <row r="160" spans="1:189" ht="15.95" customHeight="1">
      <c r="A160" s="47">
        <v>605</v>
      </c>
      <c r="B160" s="26" t="s">
        <v>156</v>
      </c>
      <c r="C160" s="261"/>
      <c r="D160" s="151"/>
      <c r="E160" s="590"/>
      <c r="F160" s="109"/>
    </row>
    <row r="161" spans="1:12" ht="15.95" customHeight="1">
      <c r="A161" s="444"/>
      <c r="B161" s="24"/>
      <c r="C161" s="396" t="s">
        <v>95</v>
      </c>
      <c r="D161" s="401">
        <f>J161</f>
        <v>5049</v>
      </c>
      <c r="E161" s="614" t="e">
        <f>#REF!</f>
        <v>#REF!</v>
      </c>
      <c r="F161" s="391" t="e">
        <f>+D161*E161</f>
        <v>#REF!</v>
      </c>
      <c r="H161" s="255">
        <f>2250+(3*13*60)</f>
        <v>4590</v>
      </c>
      <c r="I161" s="262">
        <v>1.1000000000000001</v>
      </c>
      <c r="J161" s="255">
        <f>ROUND(H161*I161,0)</f>
        <v>5049</v>
      </c>
    </row>
    <row r="162" spans="1:12" ht="15.95" customHeight="1">
      <c r="A162" s="47">
        <v>608</v>
      </c>
      <c r="B162" s="26" t="s">
        <v>157</v>
      </c>
      <c r="C162" s="305"/>
      <c r="D162" s="161"/>
      <c r="E162" s="581"/>
      <c r="F162" s="161"/>
    </row>
    <row r="163" spans="1:12" ht="15.95" customHeight="1">
      <c r="A163" s="444"/>
      <c r="B163" s="9"/>
      <c r="C163" s="168" t="s">
        <v>1</v>
      </c>
      <c r="D163" s="185"/>
      <c r="E163" s="582"/>
      <c r="F163" s="185"/>
    </row>
    <row r="164" spans="1:12" ht="15.95" customHeight="1">
      <c r="A164" s="47">
        <v>609</v>
      </c>
      <c r="B164" s="27" t="s">
        <v>158</v>
      </c>
      <c r="C164" s="305"/>
      <c r="D164" s="161"/>
      <c r="E164" s="581"/>
      <c r="F164" s="161"/>
    </row>
    <row r="165" spans="1:12" ht="15.95" customHeight="1">
      <c r="A165" s="444"/>
      <c r="B165" s="9"/>
      <c r="C165" s="395" t="s">
        <v>95</v>
      </c>
      <c r="D165" s="391">
        <f>+J165</f>
        <v>638.88000000000011</v>
      </c>
      <c r="E165" s="602" t="e">
        <f>#REF!</f>
        <v>#REF!</v>
      </c>
      <c r="F165" s="391" t="e">
        <f>+D165*E165</f>
        <v>#REF!</v>
      </c>
      <c r="H165" s="255">
        <f>+D69*L165</f>
        <v>580.80000000000007</v>
      </c>
      <c r="I165" s="262">
        <v>1.1000000000000001</v>
      </c>
      <c r="J165" s="255">
        <f>+H165*I165</f>
        <v>638.88000000000011</v>
      </c>
      <c r="K165" s="129" t="s">
        <v>554</v>
      </c>
      <c r="L165" s="129">
        <f>+'Zb1'!L165</f>
        <v>0.2</v>
      </c>
    </row>
    <row r="166" spans="1:12" ht="15.95" customHeight="1">
      <c r="A166" s="47">
        <v>610</v>
      </c>
      <c r="B166" s="27" t="s">
        <v>293</v>
      </c>
      <c r="C166" s="162"/>
      <c r="D166" s="140"/>
      <c r="E166" s="589"/>
      <c r="F166" s="140"/>
    </row>
    <row r="167" spans="1:12" ht="15.95" customHeight="1">
      <c r="A167" s="444"/>
      <c r="B167" s="9"/>
      <c r="C167" s="168" t="s">
        <v>292</v>
      </c>
      <c r="D167" s="185">
        <v>1</v>
      </c>
      <c r="E167" s="582" t="e">
        <f>#REF!</f>
        <v>#REF!</v>
      </c>
      <c r="F167" s="107" t="e">
        <f>+D167*E167</f>
        <v>#REF!</v>
      </c>
    </row>
    <row r="168" spans="1:12" ht="20.100000000000001" customHeight="1">
      <c r="A168" s="47" t="e">
        <f>+#REF!</f>
        <v>#REF!</v>
      </c>
      <c r="B168" s="27" t="e">
        <f>+#REF!</f>
        <v>#REF!</v>
      </c>
      <c r="C168" s="305"/>
      <c r="D168" s="161"/>
      <c r="E168" s="581"/>
      <c r="F168" s="161"/>
    </row>
    <row r="169" spans="1:12" ht="20.100000000000001" customHeight="1">
      <c r="A169" s="444"/>
      <c r="B169" s="9"/>
      <c r="C169" s="168" t="s">
        <v>27</v>
      </c>
      <c r="D169" s="185">
        <v>0</v>
      </c>
      <c r="E169" s="582" t="e">
        <f>+#REF!</f>
        <v>#REF!</v>
      </c>
      <c r="F169" s="167" t="e">
        <f>+D169*E169</f>
        <v>#REF!</v>
      </c>
    </row>
    <row r="170" spans="1:12" ht="25.5" customHeight="1">
      <c r="C170" s="477"/>
      <c r="D170" s="92"/>
      <c r="E170" s="580" t="s">
        <v>112</v>
      </c>
      <c r="F170" s="94" t="e">
        <f>SUM(F149:F169)</f>
        <v>#REF!</v>
      </c>
    </row>
    <row r="171" spans="1:12">
      <c r="D171" s="75"/>
      <c r="E171" s="593"/>
      <c r="F171" s="62"/>
    </row>
    <row r="172" spans="1:12" ht="24.75" customHeight="1">
      <c r="C172" s="477"/>
      <c r="D172" s="92"/>
      <c r="E172" s="580" t="s">
        <v>279</v>
      </c>
      <c r="F172" s="96" t="e">
        <f>+F57+F70+F91+F146+F170</f>
        <v>#REF!</v>
      </c>
    </row>
    <row r="173" spans="1:12" ht="15.95" customHeight="1"/>
    <row r="174" spans="1:12" ht="15.95" customHeight="1">
      <c r="A174" s="436" t="s">
        <v>115</v>
      </c>
      <c r="B174" s="33"/>
      <c r="C174" s="52" t="s">
        <v>98</v>
      </c>
      <c r="D174" s="70" t="s">
        <v>99</v>
      </c>
      <c r="E174" s="596" t="s">
        <v>100</v>
      </c>
      <c r="F174" s="241" t="s">
        <v>116</v>
      </c>
    </row>
    <row r="175" spans="1:12" ht="15.95" customHeight="1">
      <c r="A175" s="437" t="s">
        <v>117</v>
      </c>
      <c r="B175" s="27" t="s">
        <v>118</v>
      </c>
      <c r="C175" s="569"/>
      <c r="D175" s="72"/>
      <c r="E175" s="583"/>
      <c r="F175" s="63"/>
    </row>
    <row r="176" spans="1:12" ht="15.95" customHeight="1">
      <c r="A176" s="36"/>
      <c r="B176" s="31"/>
      <c r="C176" s="32" t="s">
        <v>119</v>
      </c>
      <c r="D176" s="73">
        <v>0</v>
      </c>
      <c r="E176" s="592">
        <v>25000000</v>
      </c>
      <c r="F176" s="64">
        <f>+D176*E176</f>
        <v>0</v>
      </c>
    </row>
    <row r="177" spans="1:189" ht="23.25" customHeight="1">
      <c r="A177" s="437" t="s">
        <v>120</v>
      </c>
      <c r="B177" s="6" t="s">
        <v>121</v>
      </c>
      <c r="C177" s="7"/>
      <c r="D177" s="74"/>
      <c r="E177" s="587"/>
      <c r="F177" s="65"/>
    </row>
    <row r="178" spans="1:189" ht="15.75">
      <c r="A178" s="36"/>
      <c r="B178" s="31"/>
      <c r="C178" s="32" t="s">
        <v>119</v>
      </c>
      <c r="D178" s="73">
        <v>0</v>
      </c>
      <c r="E178" s="592">
        <v>50000000</v>
      </c>
      <c r="F178" s="64">
        <f>+D178*E178</f>
        <v>0</v>
      </c>
    </row>
    <row r="179" spans="1:189" s="287" customFormat="1" ht="25.5" customHeight="1">
      <c r="A179" s="407"/>
      <c r="B179" s="27"/>
      <c r="C179" s="477"/>
      <c r="D179" s="92"/>
      <c r="E179" s="580" t="s">
        <v>122</v>
      </c>
      <c r="F179" s="94">
        <f>SUM(F176:F178)</f>
        <v>0</v>
      </c>
      <c r="H179" s="291"/>
      <c r="I179" s="292"/>
      <c r="J179" s="291"/>
      <c r="K179" s="293"/>
      <c r="L179" s="293"/>
      <c r="M179" s="293"/>
      <c r="N179" s="293"/>
      <c r="O179" s="293"/>
      <c r="P179" s="293"/>
      <c r="Q179" s="293"/>
      <c r="R179" s="293"/>
      <c r="S179" s="293"/>
      <c r="T179" s="293"/>
      <c r="U179" s="293"/>
      <c r="V179" s="293"/>
      <c r="W179" s="293"/>
      <c r="X179" s="293"/>
      <c r="Y179" s="293"/>
      <c r="Z179" s="293"/>
      <c r="AA179" s="293"/>
      <c r="AB179" s="293"/>
      <c r="AC179" s="293"/>
      <c r="AD179" s="293"/>
      <c r="AE179" s="293"/>
      <c r="AF179" s="293"/>
      <c r="AG179" s="293"/>
      <c r="AH179" s="293"/>
      <c r="AI179" s="293"/>
      <c r="AJ179" s="293"/>
      <c r="AK179" s="293"/>
      <c r="AL179" s="293"/>
      <c r="AM179" s="293"/>
      <c r="AN179" s="293"/>
      <c r="AO179" s="293"/>
      <c r="AP179" s="293"/>
      <c r="AQ179" s="293"/>
      <c r="AR179" s="293"/>
      <c r="AS179" s="293"/>
      <c r="AT179" s="293"/>
      <c r="AU179" s="293"/>
      <c r="AV179" s="293"/>
      <c r="AW179" s="293"/>
      <c r="AX179" s="293"/>
      <c r="AY179" s="293"/>
      <c r="AZ179" s="293"/>
      <c r="BA179" s="293"/>
      <c r="BB179" s="293"/>
      <c r="BC179" s="293"/>
      <c r="BD179" s="293"/>
      <c r="BE179" s="293"/>
      <c r="BF179" s="293"/>
      <c r="BG179" s="293"/>
      <c r="BH179" s="293"/>
      <c r="BI179" s="293"/>
      <c r="BJ179" s="293"/>
      <c r="BK179" s="293"/>
      <c r="BL179" s="293"/>
      <c r="BM179" s="293"/>
      <c r="BN179" s="293"/>
      <c r="BO179" s="293"/>
      <c r="BP179" s="293"/>
      <c r="BQ179" s="293"/>
      <c r="BR179" s="293"/>
      <c r="BS179" s="293"/>
      <c r="BT179" s="293"/>
      <c r="BU179" s="293"/>
      <c r="BV179" s="293"/>
      <c r="BW179" s="293"/>
      <c r="BX179" s="293"/>
      <c r="BY179" s="293"/>
      <c r="BZ179" s="293"/>
      <c r="CA179" s="293"/>
      <c r="CB179" s="293"/>
      <c r="CC179" s="293"/>
      <c r="CD179" s="293"/>
      <c r="CE179" s="293"/>
      <c r="CF179" s="293"/>
      <c r="CG179" s="293"/>
      <c r="CH179" s="293"/>
      <c r="CI179" s="293"/>
      <c r="CJ179" s="293"/>
      <c r="CK179" s="293"/>
      <c r="CL179" s="293"/>
      <c r="CM179" s="293"/>
      <c r="CN179" s="293"/>
      <c r="CO179" s="293"/>
      <c r="CP179" s="293"/>
      <c r="CQ179" s="293"/>
      <c r="CR179" s="293"/>
      <c r="CS179" s="293"/>
      <c r="CT179" s="293"/>
      <c r="CU179" s="293"/>
      <c r="CV179" s="293"/>
      <c r="CW179" s="293"/>
      <c r="CX179" s="293"/>
      <c r="CY179" s="293"/>
      <c r="CZ179" s="293"/>
      <c r="DA179" s="293"/>
      <c r="DB179" s="293"/>
      <c r="DC179" s="293"/>
      <c r="DD179" s="293"/>
      <c r="DE179" s="293"/>
      <c r="DF179" s="293"/>
      <c r="DG179" s="293"/>
      <c r="DH179" s="293"/>
      <c r="DI179" s="293"/>
      <c r="DJ179" s="293"/>
      <c r="DK179" s="293"/>
      <c r="DL179" s="293"/>
      <c r="DM179" s="293"/>
      <c r="DN179" s="293"/>
      <c r="DO179" s="293"/>
      <c r="DP179" s="293"/>
      <c r="DQ179" s="293"/>
      <c r="DR179" s="293"/>
      <c r="DS179" s="293"/>
      <c r="DT179" s="293"/>
      <c r="DU179" s="293"/>
      <c r="DV179" s="293"/>
      <c r="DW179" s="293"/>
      <c r="DX179" s="293"/>
      <c r="DY179" s="293"/>
      <c r="DZ179" s="293"/>
      <c r="EA179" s="293"/>
      <c r="EB179" s="293"/>
      <c r="EC179" s="293"/>
      <c r="ED179" s="293"/>
      <c r="EE179" s="293"/>
      <c r="EF179" s="293"/>
      <c r="EG179" s="293"/>
      <c r="EH179" s="293"/>
      <c r="EI179" s="293"/>
      <c r="EJ179" s="293"/>
      <c r="EK179" s="293"/>
      <c r="EL179" s="293"/>
      <c r="EM179" s="293"/>
      <c r="EN179" s="293"/>
      <c r="EO179" s="293"/>
      <c r="EP179" s="293"/>
      <c r="EQ179" s="293"/>
      <c r="ER179" s="293"/>
      <c r="ES179" s="293"/>
      <c r="ET179" s="293"/>
      <c r="EU179" s="293"/>
      <c r="EV179" s="293"/>
      <c r="EW179" s="293"/>
      <c r="EX179" s="293"/>
      <c r="EY179" s="293"/>
      <c r="EZ179" s="293"/>
      <c r="FA179" s="293"/>
      <c r="FB179" s="293"/>
      <c r="FC179" s="293"/>
      <c r="FD179" s="293"/>
      <c r="FE179" s="293"/>
      <c r="FF179" s="293"/>
      <c r="FG179" s="293"/>
      <c r="FH179" s="293"/>
      <c r="FI179" s="293"/>
      <c r="FJ179" s="293"/>
      <c r="FK179" s="293"/>
      <c r="FL179" s="293"/>
      <c r="FM179" s="293"/>
      <c r="FN179" s="293"/>
      <c r="FO179" s="293"/>
      <c r="FP179" s="293"/>
      <c r="FQ179" s="293"/>
      <c r="FR179" s="293"/>
      <c r="FS179" s="293"/>
      <c r="FT179" s="293"/>
      <c r="FU179" s="293"/>
      <c r="FV179" s="293"/>
      <c r="FW179" s="293"/>
      <c r="FX179" s="293"/>
      <c r="FY179" s="293"/>
      <c r="FZ179" s="293"/>
      <c r="GA179" s="293"/>
      <c r="GB179" s="293"/>
      <c r="GC179" s="293"/>
      <c r="GD179" s="293"/>
      <c r="GE179" s="293"/>
      <c r="GF179" s="293"/>
      <c r="GG179" s="293"/>
    </row>
    <row r="181" spans="1:189" ht="18.75">
      <c r="A181" s="445"/>
      <c r="B181" s="287"/>
      <c r="C181" s="499"/>
      <c r="D181" s="289"/>
      <c r="E181" s="591" t="s">
        <v>284</v>
      </c>
      <c r="F181" s="96" t="e">
        <f>F179+F172+F29</f>
        <v>#REF!</v>
      </c>
    </row>
    <row r="192" spans="1:189" ht="19.5">
      <c r="A192" s="434"/>
      <c r="D192" s="62"/>
      <c r="E192" s="593"/>
      <c r="F192" s="99"/>
    </row>
    <row r="193" spans="2:6" ht="26.25">
      <c r="B193" s="1859"/>
      <c r="C193" s="1859"/>
      <c r="D193" s="1859"/>
      <c r="E193" s="1859"/>
      <c r="F193" s="1859"/>
    </row>
  </sheetData>
  <mergeCells count="2">
    <mergeCell ref="A2:F2"/>
    <mergeCell ref="B193:F193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  <rowBreaks count="2" manualBreakCount="2">
    <brk id="29" max="6" man="1"/>
    <brk id="70" max="6" man="1"/>
  </rowBreaks>
  <colBreaks count="1" manualBreakCount="1">
    <brk id="6" max="1048575" man="1"/>
  </colBreaks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0000"/>
  </sheetPr>
  <dimension ref="A1:I40"/>
  <sheetViews>
    <sheetView workbookViewId="0"/>
  </sheetViews>
  <sheetFormatPr baseColWidth="10" defaultColWidth="9.140625" defaultRowHeight="15"/>
  <cols>
    <col min="1" max="1" width="8.42578125" style="142" customWidth="1"/>
    <col min="2" max="2" width="4.42578125" style="142" customWidth="1"/>
    <col min="3" max="3" width="68.42578125" style="142" customWidth="1"/>
    <col min="4" max="4" width="10.85546875" style="142" customWidth="1"/>
    <col min="5" max="5" width="15.42578125" style="142" customWidth="1"/>
    <col min="6" max="6" width="17.140625" style="142" customWidth="1"/>
    <col min="7" max="7" width="26.140625" style="142" customWidth="1"/>
    <col min="8" max="8" width="17.28515625" style="142" customWidth="1"/>
    <col min="9" max="9" width="25.7109375" style="142" customWidth="1"/>
    <col min="10" max="16384" width="9.140625" style="142"/>
  </cols>
  <sheetData>
    <row r="1" spans="1:9" ht="20.25" thickBot="1">
      <c r="A1" s="90" t="s">
        <v>105</v>
      </c>
      <c r="G1" s="62"/>
      <c r="H1" s="62"/>
      <c r="I1" s="99"/>
    </row>
    <row r="2" spans="1:9" ht="25.5" thickBot="1">
      <c r="A2" s="1860" t="s">
        <v>478</v>
      </c>
      <c r="B2" s="1861"/>
      <c r="C2" s="1861"/>
      <c r="D2" s="1861"/>
      <c r="E2" s="1861"/>
      <c r="F2" s="1861"/>
      <c r="G2" s="1862"/>
      <c r="H2" s="135"/>
      <c r="I2" s="135"/>
    </row>
    <row r="4" spans="1:9">
      <c r="F4" s="99" t="s">
        <v>177</v>
      </c>
      <c r="G4" s="136" t="e">
        <f>#REF!</f>
        <v>#REF!</v>
      </c>
    </row>
    <row r="5" spans="1:9">
      <c r="F5" s="99" t="s">
        <v>176</v>
      </c>
      <c r="G5" s="136" t="e">
        <f>#REF!</f>
        <v>#REF!</v>
      </c>
    </row>
    <row r="6" spans="1:9">
      <c r="F6" s="99" t="s">
        <v>198</v>
      </c>
      <c r="G6" s="136" t="e">
        <f>#REF!</f>
        <v>#REF!</v>
      </c>
    </row>
    <row r="7" spans="1:9">
      <c r="F7" s="99" t="s">
        <v>197</v>
      </c>
      <c r="G7" s="136" t="e">
        <f>#REF!</f>
        <v>#REF!</v>
      </c>
    </row>
    <row r="8" spans="1:9">
      <c r="F8" s="99" t="s">
        <v>277</v>
      </c>
      <c r="G8" s="136" t="e">
        <f>#REF!</f>
        <v>#REF!</v>
      </c>
    </row>
    <row r="9" spans="1:9" ht="22.5" customHeight="1">
      <c r="A9" s="1" t="s">
        <v>166</v>
      </c>
      <c r="B9" s="2"/>
      <c r="C9" s="3"/>
      <c r="D9" s="52" t="s">
        <v>98</v>
      </c>
      <c r="E9" s="70" t="s">
        <v>99</v>
      </c>
      <c r="F9" s="71" t="s">
        <v>100</v>
      </c>
      <c r="G9" s="71" t="s">
        <v>114</v>
      </c>
    </row>
    <row r="10" spans="1:9" ht="15.75">
      <c r="A10" s="4" t="s">
        <v>0</v>
      </c>
      <c r="B10" s="5"/>
      <c r="C10" s="6" t="s">
        <v>168</v>
      </c>
      <c r="D10" s="158"/>
      <c r="E10" s="159"/>
      <c r="F10" s="160"/>
      <c r="G10" s="161"/>
    </row>
    <row r="11" spans="1:9" ht="15.75">
      <c r="A11" s="4" t="s">
        <v>167</v>
      </c>
      <c r="B11" s="5"/>
      <c r="C11" s="12" t="s">
        <v>171</v>
      </c>
      <c r="D11" s="162" t="s">
        <v>94</v>
      </c>
      <c r="E11" s="163" t="e">
        <f>G4</f>
        <v>#REF!</v>
      </c>
      <c r="F11" s="164">
        <f>'[3]BPU préf'!E8</f>
        <v>11000</v>
      </c>
      <c r="G11" s="164" t="e">
        <f>E11*F11</f>
        <v>#REF!</v>
      </c>
    </row>
    <row r="12" spans="1:9" ht="15.75">
      <c r="A12" s="22" t="s">
        <v>169</v>
      </c>
      <c r="B12" s="30"/>
      <c r="C12" s="24" t="s">
        <v>170</v>
      </c>
      <c r="D12" s="165" t="s">
        <v>94</v>
      </c>
      <c r="E12" s="166" t="e">
        <f>G5</f>
        <v>#REF!</v>
      </c>
      <c r="F12" s="167">
        <f>'[3]BPU préf'!E9</f>
        <v>9300</v>
      </c>
      <c r="G12" s="167" t="e">
        <f>E12*F12</f>
        <v>#REF!</v>
      </c>
    </row>
    <row r="13" spans="1:9" ht="18.75">
      <c r="A13" s="110"/>
      <c r="B13" s="5"/>
      <c r="C13" s="12"/>
      <c r="D13" s="95"/>
      <c r="E13" s="92"/>
      <c r="F13" s="93" t="s">
        <v>106</v>
      </c>
      <c r="G13" s="94" t="e">
        <f>SUM(G11:G12)</f>
        <v>#REF!</v>
      </c>
    </row>
    <row r="14" spans="1:9" ht="15.75">
      <c r="A14" s="10"/>
      <c r="B14" s="11"/>
      <c r="C14" s="12"/>
      <c r="D14" s="51"/>
      <c r="E14" s="12"/>
      <c r="F14" s="51"/>
      <c r="G14" s="121"/>
    </row>
    <row r="15" spans="1:9" ht="22.5" customHeight="1">
      <c r="A15" s="1" t="s">
        <v>175</v>
      </c>
      <c r="B15" s="2"/>
      <c r="C15" s="3"/>
      <c r="D15" s="52" t="s">
        <v>98</v>
      </c>
      <c r="E15" s="70" t="s">
        <v>99</v>
      </c>
      <c r="F15" s="71" t="s">
        <v>100</v>
      </c>
      <c r="G15" s="71" t="s">
        <v>114</v>
      </c>
    </row>
    <row r="16" spans="1:9" ht="15.75">
      <c r="A16" s="41">
        <v>201</v>
      </c>
      <c r="B16" s="42"/>
      <c r="C16" s="43" t="s">
        <v>199</v>
      </c>
      <c r="D16" s="170" t="s">
        <v>1</v>
      </c>
      <c r="E16" s="171" t="e">
        <f>G7</f>
        <v>#REF!</v>
      </c>
      <c r="F16" s="172">
        <f>'[3]BPU préf'!E12</f>
        <v>7514</v>
      </c>
      <c r="G16" s="173" t="e">
        <f>E16*F16</f>
        <v>#REF!</v>
      </c>
    </row>
    <row r="17" spans="1:7" ht="15.75">
      <c r="A17" s="17">
        <v>202</v>
      </c>
      <c r="B17" s="5"/>
      <c r="C17" s="26" t="s">
        <v>200</v>
      </c>
      <c r="D17" s="272" t="s">
        <v>1</v>
      </c>
      <c r="E17" s="273" t="e">
        <f>+G6</f>
        <v>#REF!</v>
      </c>
      <c r="F17" s="274">
        <f>'[3]BPU préf'!E13</f>
        <v>5700</v>
      </c>
      <c r="G17" s="164" t="e">
        <f>E17*F17</f>
        <v>#REF!</v>
      </c>
    </row>
    <row r="18" spans="1:7" ht="15.75">
      <c r="A18" s="36">
        <v>203</v>
      </c>
      <c r="B18" s="30"/>
      <c r="C18" s="169" t="s">
        <v>246</v>
      </c>
      <c r="D18" s="168" t="s">
        <v>1</v>
      </c>
      <c r="E18" s="174" t="e">
        <f>G8</f>
        <v>#REF!</v>
      </c>
      <c r="F18" s="147">
        <f>'BPU préf'!E16</f>
        <v>6315</v>
      </c>
      <c r="G18" s="167" t="e">
        <f>E18*F18</f>
        <v>#REF!</v>
      </c>
    </row>
    <row r="19" spans="1:7" ht="18.75">
      <c r="A19" s="10"/>
      <c r="B19" s="21"/>
      <c r="C19" s="12"/>
      <c r="D19" s="157"/>
      <c r="E19" s="130"/>
      <c r="F19" s="131" t="s">
        <v>111</v>
      </c>
      <c r="G19" s="132" t="e">
        <f>SUM(G16:G18)</f>
        <v>#REF!</v>
      </c>
    </row>
    <row r="21" spans="1:7" ht="25.5" customHeight="1">
      <c r="D21" s="95"/>
      <c r="E21" s="92"/>
      <c r="F21" s="93" t="s">
        <v>172</v>
      </c>
      <c r="G21" s="94" t="e">
        <f>+G13+G19</f>
        <v>#REF!</v>
      </c>
    </row>
    <row r="40" spans="3:3">
      <c r="C40" s="149"/>
    </row>
  </sheetData>
  <mergeCells count="1">
    <mergeCell ref="A2:G2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0000"/>
  </sheetPr>
  <dimension ref="B1:F7"/>
  <sheetViews>
    <sheetView workbookViewId="0"/>
  </sheetViews>
  <sheetFormatPr baseColWidth="10" defaultColWidth="9.140625" defaultRowHeight="15"/>
  <cols>
    <col min="1" max="1" width="9.140625" style="142"/>
    <col min="2" max="2" width="5.42578125" style="142" customWidth="1"/>
    <col min="3" max="3" width="20.28515625" style="142" customWidth="1"/>
    <col min="4" max="4" width="30.7109375" style="142" customWidth="1"/>
    <col min="5" max="5" width="16.7109375" style="142" customWidth="1"/>
    <col min="6" max="10" width="9.140625" style="142"/>
    <col min="11" max="11" width="20.5703125" style="142" customWidth="1"/>
    <col min="12" max="16384" width="9.140625" style="142"/>
  </cols>
  <sheetData>
    <row r="1" spans="2:6" ht="19.5">
      <c r="B1" s="90" t="s">
        <v>479</v>
      </c>
    </row>
    <row r="3" spans="2:6" s="225" customFormat="1" ht="18.75">
      <c r="C3" s="1872" t="s">
        <v>217</v>
      </c>
      <c r="D3" s="509" t="s">
        <v>291</v>
      </c>
      <c r="E3" s="509" t="s">
        <v>232</v>
      </c>
      <c r="F3" s="521"/>
    </row>
    <row r="4" spans="2:6" s="225" customFormat="1" ht="18.75">
      <c r="C4" s="1873"/>
      <c r="D4" s="509" t="s">
        <v>607</v>
      </c>
      <c r="E4" s="509" t="s">
        <v>231</v>
      </c>
    </row>
    <row r="5" spans="2:6">
      <c r="C5" s="379" t="s">
        <v>215</v>
      </c>
      <c r="D5" s="101" t="e">
        <f>#REF!</f>
        <v>#REF!</v>
      </c>
      <c r="E5" s="101" t="e">
        <f>D5/656</f>
        <v>#REF!</v>
      </c>
    </row>
    <row r="6" spans="2:6">
      <c r="C6" s="379" t="s">
        <v>216</v>
      </c>
      <c r="D6" s="101" t="e">
        <f>'Préf AAc'!G21</f>
        <v>#REF!</v>
      </c>
      <c r="E6" s="101" t="e">
        <f>D6/656</f>
        <v>#REF!</v>
      </c>
    </row>
    <row r="7" spans="2:6" ht="18.75">
      <c r="C7" s="380" t="s">
        <v>218</v>
      </c>
      <c r="D7" s="377" t="e">
        <f>SUM(D5:D6)</f>
        <v>#REF!</v>
      </c>
      <c r="E7" s="378" t="e">
        <f>D7/656</f>
        <v>#REF!</v>
      </c>
    </row>
  </sheetData>
  <mergeCells count="1">
    <mergeCell ref="C3:C4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7" tint="-0.249977111117893"/>
  </sheetPr>
  <dimension ref="A1:I40"/>
  <sheetViews>
    <sheetView workbookViewId="0"/>
  </sheetViews>
  <sheetFormatPr baseColWidth="10" defaultColWidth="9.140625" defaultRowHeight="15"/>
  <cols>
    <col min="1" max="1" width="8.42578125" style="142" customWidth="1"/>
    <col min="2" max="2" width="4.42578125" style="142" customWidth="1"/>
    <col min="3" max="3" width="68.42578125" style="142" customWidth="1"/>
    <col min="4" max="4" width="10.85546875" style="142" customWidth="1"/>
    <col min="5" max="5" width="15.42578125" style="142" customWidth="1"/>
    <col min="6" max="6" width="17.140625" style="142" customWidth="1"/>
    <col min="7" max="7" width="26.140625" style="142" customWidth="1"/>
    <col min="8" max="8" width="17.28515625" style="142" customWidth="1"/>
    <col min="9" max="9" width="25.7109375" style="142" customWidth="1"/>
    <col min="10" max="16384" width="9.140625" style="142"/>
  </cols>
  <sheetData>
    <row r="1" spans="1:9" ht="20.25" thickBot="1">
      <c r="A1" s="90" t="s">
        <v>105</v>
      </c>
      <c r="G1" s="62"/>
      <c r="H1" s="62"/>
      <c r="I1" s="99"/>
    </row>
    <row r="2" spans="1:9" ht="25.5" thickBot="1">
      <c r="A2" s="1860" t="s">
        <v>489</v>
      </c>
      <c r="B2" s="1861"/>
      <c r="C2" s="1861"/>
      <c r="D2" s="1861"/>
      <c r="E2" s="1861"/>
      <c r="F2" s="1861"/>
      <c r="G2" s="1862"/>
      <c r="H2" s="135"/>
      <c r="I2" s="135"/>
    </row>
    <row r="4" spans="1:9">
      <c r="F4" s="99" t="s">
        <v>177</v>
      </c>
      <c r="G4" s="136">
        <f>'Pa 3'!D108</f>
        <v>66955.798800000004</v>
      </c>
    </row>
    <row r="5" spans="1:9">
      <c r="F5" s="99" t="s">
        <v>176</v>
      </c>
      <c r="G5" s="136">
        <f>'Pa 3'!D109</f>
        <v>37342.171439999998</v>
      </c>
    </row>
    <row r="6" spans="1:9">
      <c r="F6" s="99" t="s">
        <v>198</v>
      </c>
      <c r="G6" s="136">
        <f>'Pa 3'!D118</f>
        <v>16016.04</v>
      </c>
    </row>
    <row r="7" spans="1:9">
      <c r="F7" s="99" t="s">
        <v>197</v>
      </c>
      <c r="G7" s="136">
        <f>'Pa 3'!D117</f>
        <v>1198.5</v>
      </c>
    </row>
    <row r="8" spans="1:9">
      <c r="F8" s="99" t="s">
        <v>277</v>
      </c>
      <c r="G8" s="136">
        <f>'Pa 3'!D119</f>
        <v>0</v>
      </c>
    </row>
    <row r="9" spans="1:9" ht="22.5" customHeight="1">
      <c r="A9" s="1" t="s">
        <v>166</v>
      </c>
      <c r="B9" s="2"/>
      <c r="C9" s="3"/>
      <c r="D9" s="52" t="s">
        <v>98</v>
      </c>
      <c r="E9" s="70" t="s">
        <v>99</v>
      </c>
      <c r="F9" s="71" t="s">
        <v>100</v>
      </c>
      <c r="G9" s="71" t="s">
        <v>114</v>
      </c>
    </row>
    <row r="10" spans="1:9" ht="15.75">
      <c r="A10" s="4" t="s">
        <v>0</v>
      </c>
      <c r="B10" s="5"/>
      <c r="C10" s="6" t="s">
        <v>168</v>
      </c>
      <c r="D10" s="158"/>
      <c r="E10" s="159"/>
      <c r="F10" s="160"/>
      <c r="G10" s="161"/>
    </row>
    <row r="11" spans="1:9" ht="15.75">
      <c r="A11" s="4" t="s">
        <v>167</v>
      </c>
      <c r="B11" s="5"/>
      <c r="C11" s="12" t="s">
        <v>171</v>
      </c>
      <c r="D11" s="162" t="s">
        <v>94</v>
      </c>
      <c r="E11" s="163">
        <f>G4</f>
        <v>66955.798800000004</v>
      </c>
      <c r="F11" s="164">
        <f>'[3]BPU préf'!E8</f>
        <v>11000</v>
      </c>
      <c r="G11" s="164">
        <f>E11*F11</f>
        <v>736513786.80000007</v>
      </c>
    </row>
    <row r="12" spans="1:9" ht="15.75">
      <c r="A12" s="22" t="s">
        <v>169</v>
      </c>
      <c r="B12" s="30"/>
      <c r="C12" s="24" t="s">
        <v>170</v>
      </c>
      <c r="D12" s="165" t="s">
        <v>94</v>
      </c>
      <c r="E12" s="166">
        <f>G5</f>
        <v>37342.171439999998</v>
      </c>
      <c r="F12" s="167">
        <f>'[3]BPU préf'!E9</f>
        <v>9300</v>
      </c>
      <c r="G12" s="167">
        <f>E12*F12</f>
        <v>347282194.39199996</v>
      </c>
    </row>
    <row r="13" spans="1:9" ht="18.75">
      <c r="A13" s="110"/>
      <c r="B13" s="5"/>
      <c r="C13" s="12"/>
      <c r="D13" s="95"/>
      <c r="E13" s="92"/>
      <c r="F13" s="93" t="s">
        <v>106</v>
      </c>
      <c r="G13" s="94">
        <f>SUM(G11:G12)</f>
        <v>1083795981.1919999</v>
      </c>
    </row>
    <row r="14" spans="1:9" ht="15.75">
      <c r="A14" s="10"/>
      <c r="B14" s="11"/>
      <c r="C14" s="12"/>
      <c r="D14" s="51"/>
      <c r="E14" s="12"/>
      <c r="F14" s="51"/>
      <c r="G14" s="121"/>
    </row>
    <row r="15" spans="1:9" ht="22.5" customHeight="1">
      <c r="A15" s="1" t="s">
        <v>175</v>
      </c>
      <c r="B15" s="2"/>
      <c r="C15" s="3"/>
      <c r="D15" s="52" t="s">
        <v>98</v>
      </c>
      <c r="E15" s="70" t="s">
        <v>99</v>
      </c>
      <c r="F15" s="71" t="s">
        <v>100</v>
      </c>
      <c r="G15" s="71" t="s">
        <v>114</v>
      </c>
    </row>
    <row r="16" spans="1:9" ht="15.75">
      <c r="A16" s="41">
        <v>201</v>
      </c>
      <c r="B16" s="42"/>
      <c r="C16" s="43" t="s">
        <v>199</v>
      </c>
      <c r="D16" s="170" t="s">
        <v>1</v>
      </c>
      <c r="E16" s="171">
        <f>G7</f>
        <v>1198.5</v>
      </c>
      <c r="F16" s="172">
        <f>'[3]BPU préf'!E12</f>
        <v>7514</v>
      </c>
      <c r="G16" s="173">
        <f>E16*F16</f>
        <v>9005529</v>
      </c>
    </row>
    <row r="17" spans="1:7" ht="15.75">
      <c r="A17" s="17">
        <v>202</v>
      </c>
      <c r="B17" s="5"/>
      <c r="C17" s="26" t="s">
        <v>200</v>
      </c>
      <c r="D17" s="272" t="s">
        <v>1</v>
      </c>
      <c r="E17" s="273">
        <f>+G6</f>
        <v>16016.04</v>
      </c>
      <c r="F17" s="274">
        <f>'[3]BPU préf'!E13</f>
        <v>5700</v>
      </c>
      <c r="G17" s="164">
        <f>E17*F17</f>
        <v>91291428</v>
      </c>
    </row>
    <row r="18" spans="1:7" ht="15.75">
      <c r="A18" s="36">
        <v>203</v>
      </c>
      <c r="B18" s="30"/>
      <c r="C18" s="169" t="s">
        <v>246</v>
      </c>
      <c r="D18" s="168" t="s">
        <v>1</v>
      </c>
      <c r="E18" s="174">
        <f>G8</f>
        <v>0</v>
      </c>
      <c r="F18" s="147">
        <f>'BPU préf'!E16</f>
        <v>6315</v>
      </c>
      <c r="G18" s="167">
        <f>E18*F18</f>
        <v>0</v>
      </c>
    </row>
    <row r="19" spans="1:7" ht="18.75">
      <c r="A19" s="10"/>
      <c r="B19" s="21"/>
      <c r="C19" s="12"/>
      <c r="D19" s="157"/>
      <c r="E19" s="130"/>
      <c r="F19" s="131" t="s">
        <v>111</v>
      </c>
      <c r="G19" s="132">
        <f>SUM(G16:G18)</f>
        <v>100296957</v>
      </c>
    </row>
    <row r="21" spans="1:7" ht="25.5" customHeight="1">
      <c r="D21" s="95"/>
      <c r="E21" s="92"/>
      <c r="F21" s="93" t="s">
        <v>172</v>
      </c>
      <c r="G21" s="94">
        <f>+G13+G19</f>
        <v>1184092938.1919999</v>
      </c>
    </row>
    <row r="40" spans="3:3">
      <c r="C40" s="149"/>
    </row>
  </sheetData>
  <mergeCells count="1">
    <mergeCell ref="A2:G2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1" tint="4.9989318521683403E-2"/>
  </sheetPr>
  <dimension ref="B1:F7"/>
  <sheetViews>
    <sheetView workbookViewId="0"/>
  </sheetViews>
  <sheetFormatPr baseColWidth="10" defaultColWidth="9.140625" defaultRowHeight="15"/>
  <cols>
    <col min="1" max="1" width="9.140625" style="142"/>
    <col min="2" max="2" width="5.42578125" style="142" customWidth="1"/>
    <col min="3" max="3" width="20.28515625" style="142" customWidth="1"/>
    <col min="4" max="4" width="30.7109375" style="142" customWidth="1"/>
    <col min="5" max="5" width="16.7109375" style="142" customWidth="1"/>
    <col min="6" max="10" width="9.140625" style="142"/>
    <col min="11" max="11" width="20.5703125" style="142" customWidth="1"/>
    <col min="12" max="16384" width="9.140625" style="142"/>
  </cols>
  <sheetData>
    <row r="1" spans="2:6" ht="19.5">
      <c r="B1" s="90" t="s">
        <v>490</v>
      </c>
    </row>
    <row r="3" spans="2:6" ht="18.75">
      <c r="C3" s="1874" t="s">
        <v>217</v>
      </c>
      <c r="D3" s="376" t="s">
        <v>291</v>
      </c>
      <c r="E3" s="376" t="s">
        <v>232</v>
      </c>
      <c r="F3" s="100"/>
    </row>
    <row r="4" spans="2:6" ht="18.75">
      <c r="C4" s="1875"/>
      <c r="D4" s="376" t="s">
        <v>607</v>
      </c>
      <c r="E4" s="376" t="s">
        <v>231</v>
      </c>
    </row>
    <row r="5" spans="2:6">
      <c r="C5" s="379" t="s">
        <v>215</v>
      </c>
      <c r="D5" s="101" t="e">
        <f>'Pa 3'!F205</f>
        <v>#REF!</v>
      </c>
      <c r="E5" s="101" t="e">
        <f>D5/656</f>
        <v>#REF!</v>
      </c>
    </row>
    <row r="6" spans="2:6">
      <c r="C6" s="379" t="s">
        <v>216</v>
      </c>
      <c r="D6" s="101">
        <f>'Préf Pa 3'!G21</f>
        <v>1184092938.1919999</v>
      </c>
      <c r="E6" s="101">
        <f>D6/656</f>
        <v>1805019.7228536585</v>
      </c>
    </row>
    <row r="7" spans="2:6" ht="18.75">
      <c r="C7" s="380" t="s">
        <v>218</v>
      </c>
      <c r="D7" s="377" t="e">
        <f>SUM(D5:D6)</f>
        <v>#REF!</v>
      </c>
      <c r="E7" s="378" t="e">
        <f>D7/656</f>
        <v>#REF!</v>
      </c>
    </row>
  </sheetData>
  <mergeCells count="1">
    <mergeCell ref="C3:C4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7" tint="-0.249977111117893"/>
  </sheetPr>
  <dimension ref="A1:I40"/>
  <sheetViews>
    <sheetView workbookViewId="0"/>
  </sheetViews>
  <sheetFormatPr baseColWidth="10" defaultColWidth="9.140625" defaultRowHeight="15"/>
  <cols>
    <col min="1" max="1" width="8.42578125" style="142" customWidth="1"/>
    <col min="2" max="2" width="4.42578125" style="142" customWidth="1"/>
    <col min="3" max="3" width="58.42578125" style="142" customWidth="1"/>
    <col min="4" max="4" width="10.85546875" style="142" customWidth="1"/>
    <col min="5" max="5" width="15.42578125" style="142" customWidth="1"/>
    <col min="6" max="6" width="17.140625" style="142" customWidth="1"/>
    <col min="7" max="7" width="26.140625" style="142" customWidth="1"/>
    <col min="8" max="8" width="17.28515625" style="142" customWidth="1"/>
    <col min="9" max="9" width="25.7109375" style="142" customWidth="1"/>
    <col min="10" max="16384" width="9.140625" style="142"/>
  </cols>
  <sheetData>
    <row r="1" spans="1:9" ht="20.25" thickBot="1">
      <c r="A1" s="90" t="s">
        <v>105</v>
      </c>
      <c r="G1" s="62"/>
      <c r="H1" s="62"/>
      <c r="I1" s="99"/>
    </row>
    <row r="2" spans="1:9" ht="25.5" thickBot="1">
      <c r="A2" s="1860" t="s">
        <v>361</v>
      </c>
      <c r="B2" s="1861"/>
      <c r="C2" s="1861"/>
      <c r="D2" s="1861"/>
      <c r="E2" s="1861"/>
      <c r="F2" s="1861"/>
      <c r="G2" s="1862"/>
      <c r="H2" s="135"/>
      <c r="I2" s="135"/>
    </row>
    <row r="4" spans="1:9">
      <c r="F4" s="99" t="s">
        <v>177</v>
      </c>
      <c r="G4" s="136">
        <f>Y!D93</f>
        <v>14780.556</v>
      </c>
    </row>
    <row r="5" spans="1:9">
      <c r="F5" s="99" t="s">
        <v>176</v>
      </c>
      <c r="G5" s="136">
        <f>Y!D94</f>
        <v>9411.5028000000002</v>
      </c>
    </row>
    <row r="6" spans="1:9">
      <c r="F6" s="99" t="s">
        <v>198</v>
      </c>
      <c r="G6" s="136">
        <f>Y!D103</f>
        <v>3440</v>
      </c>
    </row>
    <row r="7" spans="1:9">
      <c r="F7" s="99" t="s">
        <v>197</v>
      </c>
      <c r="G7" s="136">
        <f>Y!D102</f>
        <v>612</v>
      </c>
    </row>
    <row r="8" spans="1:9">
      <c r="F8" s="99" t="s">
        <v>277</v>
      </c>
      <c r="G8" s="136">
        <f>Y!D104</f>
        <v>0</v>
      </c>
    </row>
    <row r="9" spans="1:9" ht="22.5" customHeight="1">
      <c r="A9" s="1" t="s">
        <v>166</v>
      </c>
      <c r="B9" s="2"/>
      <c r="C9" s="3"/>
      <c r="D9" s="52" t="s">
        <v>98</v>
      </c>
      <c r="E9" s="70" t="s">
        <v>99</v>
      </c>
      <c r="F9" s="71" t="s">
        <v>100</v>
      </c>
      <c r="G9" s="71" t="s">
        <v>114</v>
      </c>
    </row>
    <row r="10" spans="1:9" ht="15.75">
      <c r="A10" s="4" t="s">
        <v>0</v>
      </c>
      <c r="B10" s="5"/>
      <c r="C10" s="6" t="s">
        <v>168</v>
      </c>
      <c r="D10" s="158"/>
      <c r="E10" s="159"/>
      <c r="F10" s="160"/>
      <c r="G10" s="161"/>
    </row>
    <row r="11" spans="1:9" ht="15.75">
      <c r="A11" s="4" t="s">
        <v>167</v>
      </c>
      <c r="B11" s="5"/>
      <c r="C11" s="12" t="s">
        <v>171</v>
      </c>
      <c r="D11" s="162" t="s">
        <v>94</v>
      </c>
      <c r="E11" s="163">
        <f>G4</f>
        <v>14780.556</v>
      </c>
      <c r="F11" s="164">
        <f>'[3]BPU préf'!E8</f>
        <v>11000</v>
      </c>
      <c r="G11" s="164">
        <f>E11*F11</f>
        <v>162586116</v>
      </c>
    </row>
    <row r="12" spans="1:9" ht="15.75">
      <c r="A12" s="22" t="s">
        <v>169</v>
      </c>
      <c r="B12" s="30"/>
      <c r="C12" s="24" t="s">
        <v>170</v>
      </c>
      <c r="D12" s="165" t="s">
        <v>94</v>
      </c>
      <c r="E12" s="166">
        <f>G5</f>
        <v>9411.5028000000002</v>
      </c>
      <c r="F12" s="167">
        <f>'[3]BPU préf'!E9</f>
        <v>9300</v>
      </c>
      <c r="G12" s="167">
        <f>E12*F12</f>
        <v>87526976.040000007</v>
      </c>
    </row>
    <row r="13" spans="1:9" ht="18.75">
      <c r="A13" s="110"/>
      <c r="B13" s="5"/>
      <c r="C13" s="12"/>
      <c r="D13" s="95"/>
      <c r="E13" s="92"/>
      <c r="F13" s="93" t="s">
        <v>106</v>
      </c>
      <c r="G13" s="94">
        <f>SUM(G11:G12)</f>
        <v>250113092.04000002</v>
      </c>
    </row>
    <row r="14" spans="1:9" ht="15.75">
      <c r="A14" s="10"/>
      <c r="B14" s="11"/>
      <c r="C14" s="12"/>
      <c r="D14" s="51"/>
      <c r="E14" s="12"/>
      <c r="F14" s="51"/>
      <c r="G14" s="121"/>
    </row>
    <row r="15" spans="1:9" ht="22.5" customHeight="1">
      <c r="A15" s="1" t="s">
        <v>175</v>
      </c>
      <c r="B15" s="2"/>
      <c r="C15" s="3"/>
      <c r="D15" s="52" t="s">
        <v>98</v>
      </c>
      <c r="E15" s="70" t="s">
        <v>99</v>
      </c>
      <c r="F15" s="71" t="s">
        <v>100</v>
      </c>
      <c r="G15" s="71" t="s">
        <v>114</v>
      </c>
    </row>
    <row r="16" spans="1:9" ht="15.75">
      <c r="A16" s="41">
        <v>201</v>
      </c>
      <c r="B16" s="42"/>
      <c r="C16" s="43" t="s">
        <v>199</v>
      </c>
      <c r="D16" s="170" t="s">
        <v>1</v>
      </c>
      <c r="E16" s="171">
        <f>G7</f>
        <v>612</v>
      </c>
      <c r="F16" s="172">
        <f>'[3]BPU préf'!E12</f>
        <v>7514</v>
      </c>
      <c r="G16" s="173">
        <f>E16*F16</f>
        <v>4598568</v>
      </c>
    </row>
    <row r="17" spans="1:7" ht="15.75">
      <c r="A17" s="17">
        <v>202</v>
      </c>
      <c r="B17" s="5"/>
      <c r="C17" s="26" t="s">
        <v>200</v>
      </c>
      <c r="D17" s="272" t="s">
        <v>1</v>
      </c>
      <c r="E17" s="273">
        <f>+G6</f>
        <v>3440</v>
      </c>
      <c r="F17" s="274">
        <f>'[3]BPU préf'!E13</f>
        <v>5700</v>
      </c>
      <c r="G17" s="164">
        <f>E17*F17</f>
        <v>19608000</v>
      </c>
    </row>
    <row r="18" spans="1:7" ht="15.75">
      <c r="A18" s="36">
        <v>203</v>
      </c>
      <c r="B18" s="30"/>
      <c r="C18" s="169" t="s">
        <v>246</v>
      </c>
      <c r="D18" s="168" t="s">
        <v>1</v>
      </c>
      <c r="E18" s="174">
        <f>G8</f>
        <v>0</v>
      </c>
      <c r="F18" s="147">
        <f>'BPU préf'!E16</f>
        <v>6315</v>
      </c>
      <c r="G18" s="167">
        <f>E18*F18</f>
        <v>0</v>
      </c>
    </row>
    <row r="19" spans="1:7" ht="18.75">
      <c r="A19" s="10"/>
      <c r="B19" s="21"/>
      <c r="C19" s="12"/>
      <c r="D19" s="157"/>
      <c r="E19" s="130"/>
      <c r="F19" s="131" t="s">
        <v>111</v>
      </c>
      <c r="G19" s="132">
        <f>SUM(G16:G18)</f>
        <v>24206568</v>
      </c>
    </row>
    <row r="21" spans="1:7" ht="25.5" customHeight="1">
      <c r="D21" s="95"/>
      <c r="E21" s="92"/>
      <c r="F21" s="93" t="s">
        <v>172</v>
      </c>
      <c r="G21" s="94">
        <f>+G13+G19</f>
        <v>274319660.04000002</v>
      </c>
    </row>
    <row r="40" spans="3:3">
      <c r="C40" s="149"/>
    </row>
  </sheetData>
  <mergeCells count="1">
    <mergeCell ref="A2:G2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1" tint="4.9989318521683403E-2"/>
  </sheetPr>
  <dimension ref="B1:F7"/>
  <sheetViews>
    <sheetView workbookViewId="0"/>
  </sheetViews>
  <sheetFormatPr baseColWidth="10" defaultColWidth="9.140625" defaultRowHeight="15"/>
  <cols>
    <col min="1" max="1" width="9.140625" style="142"/>
    <col min="2" max="2" width="5.42578125" style="142" customWidth="1"/>
    <col min="3" max="3" width="20.28515625" style="142" customWidth="1"/>
    <col min="4" max="4" width="30.7109375" style="142" customWidth="1"/>
    <col min="5" max="5" width="16.7109375" style="142" customWidth="1"/>
    <col min="6" max="10" width="9.140625" style="142"/>
    <col min="11" max="11" width="20.5703125" style="142" customWidth="1"/>
    <col min="12" max="16384" width="9.140625" style="142"/>
  </cols>
  <sheetData>
    <row r="1" spans="2:6" ht="19.5">
      <c r="B1" s="90" t="s">
        <v>342</v>
      </c>
    </row>
    <row r="2" spans="2:6" ht="15.75" thickBot="1"/>
    <row r="3" spans="2:6" ht="19.5" thickBot="1">
      <c r="C3" s="243" t="s">
        <v>217</v>
      </c>
      <c r="D3" s="326" t="s">
        <v>291</v>
      </c>
      <c r="E3" s="302" t="s">
        <v>232</v>
      </c>
      <c r="F3" s="100"/>
    </row>
    <row r="4" spans="2:6" ht="19.5" thickBot="1">
      <c r="C4" s="245"/>
      <c r="D4" s="327" t="s">
        <v>103</v>
      </c>
      <c r="E4" s="303" t="s">
        <v>231</v>
      </c>
    </row>
    <row r="5" spans="2:6">
      <c r="C5" s="246" t="s">
        <v>215</v>
      </c>
      <c r="D5" s="101" t="e">
        <f>Y!F172</f>
        <v>#REF!</v>
      </c>
      <c r="E5" s="266" t="e">
        <f>D5/656</f>
        <v>#REF!</v>
      </c>
    </row>
    <row r="6" spans="2:6" ht="15.75" thickBot="1">
      <c r="C6" s="246" t="s">
        <v>216</v>
      </c>
      <c r="D6" s="101">
        <f>'Préf Y'!G21</f>
        <v>274319660.04000002</v>
      </c>
      <c r="E6" s="266">
        <f>D6/656</f>
        <v>418170.21347560978</v>
      </c>
    </row>
    <row r="7" spans="2:6" ht="19.5" thickBot="1">
      <c r="C7" s="104" t="s">
        <v>218</v>
      </c>
      <c r="D7" s="105" t="e">
        <f>SUM(D5:D6)</f>
        <v>#REF!</v>
      </c>
      <c r="E7" s="267" t="e">
        <f>D7/656</f>
        <v>#REF!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FFFF00"/>
  </sheetPr>
  <dimension ref="A1:H39"/>
  <sheetViews>
    <sheetView topLeftCell="A16" workbookViewId="0">
      <selection activeCell="A13" sqref="A13:B17"/>
    </sheetView>
  </sheetViews>
  <sheetFormatPr baseColWidth="10" defaultColWidth="9.140625" defaultRowHeight="15"/>
  <cols>
    <col min="1" max="1" width="8.42578125" style="142" customWidth="1"/>
    <col min="2" max="2" width="4.42578125" style="142" customWidth="1"/>
    <col min="3" max="3" width="68.42578125" style="142" customWidth="1"/>
    <col min="4" max="4" width="10.85546875" style="142" customWidth="1"/>
    <col min="5" max="5" width="15.42578125" style="142" customWidth="1"/>
    <col min="6" max="6" width="17.140625" style="142" customWidth="1"/>
    <col min="7" max="7" width="26.140625" style="142" customWidth="1"/>
    <col min="8" max="8" width="17.28515625" style="142" customWidth="1"/>
    <col min="9" max="16384" width="9.140625" style="142"/>
  </cols>
  <sheetData>
    <row r="1" spans="1:8" ht="20.25" thickBot="1">
      <c r="A1" s="90" t="s">
        <v>105</v>
      </c>
      <c r="G1" s="62"/>
      <c r="H1" s="62"/>
    </row>
    <row r="2" spans="1:8" ht="25.5" thickBot="1">
      <c r="A2" s="1860" t="s">
        <v>258</v>
      </c>
      <c r="B2" s="1861"/>
      <c r="C2" s="1861"/>
      <c r="D2" s="1861"/>
      <c r="E2" s="1861"/>
      <c r="F2" s="1861"/>
      <c r="G2" s="1862"/>
      <c r="H2" s="135"/>
    </row>
    <row r="4" spans="1:8">
      <c r="F4" s="99" t="s">
        <v>177</v>
      </c>
      <c r="G4" s="136" t="e">
        <f>#REF!</f>
        <v>#REF!</v>
      </c>
    </row>
    <row r="5" spans="1:8">
      <c r="F5" s="99" t="s">
        <v>176</v>
      </c>
      <c r="G5" s="136" t="e">
        <f>#REF!</f>
        <v>#REF!</v>
      </c>
    </row>
    <row r="6" spans="1:8">
      <c r="F6" s="99" t="s">
        <v>198</v>
      </c>
      <c r="G6" s="136" t="e">
        <f>#REF!</f>
        <v>#REF!</v>
      </c>
    </row>
    <row r="7" spans="1:8">
      <c r="F7" s="99" t="s">
        <v>197</v>
      </c>
      <c r="G7" s="136" t="e">
        <f>#REF!</f>
        <v>#REF!</v>
      </c>
    </row>
    <row r="8" spans="1:8" ht="22.5" customHeight="1">
      <c r="A8" s="1" t="s">
        <v>166</v>
      </c>
      <c r="B8" s="2"/>
      <c r="C8" s="3"/>
      <c r="D8" s="52" t="s">
        <v>98</v>
      </c>
      <c r="E8" s="70" t="s">
        <v>99</v>
      </c>
      <c r="F8" s="71" t="s">
        <v>100</v>
      </c>
      <c r="G8" s="71" t="s">
        <v>114</v>
      </c>
    </row>
    <row r="9" spans="1:8" ht="15.75">
      <c r="A9" s="4" t="s">
        <v>0</v>
      </c>
      <c r="B9" s="5"/>
      <c r="C9" s="6" t="s">
        <v>168</v>
      </c>
      <c r="D9" s="158"/>
      <c r="E9" s="159"/>
      <c r="F9" s="160"/>
      <c r="G9" s="161"/>
    </row>
    <row r="10" spans="1:8" ht="15.75">
      <c r="A10" s="4" t="s">
        <v>167</v>
      </c>
      <c r="B10" s="5"/>
      <c r="C10" s="12" t="s">
        <v>171</v>
      </c>
      <c r="D10" s="162" t="s">
        <v>94</v>
      </c>
      <c r="E10" s="163" t="e">
        <f>G4</f>
        <v>#REF!</v>
      </c>
      <c r="F10" s="164">
        <f>'BPU préf'!E9</f>
        <v>11000</v>
      </c>
      <c r="G10" s="164" t="e">
        <f>E10*F10</f>
        <v>#REF!</v>
      </c>
    </row>
    <row r="11" spans="1:8" ht="15.75">
      <c r="A11" s="22" t="s">
        <v>169</v>
      </c>
      <c r="B11" s="30"/>
      <c r="C11" s="24" t="s">
        <v>170</v>
      </c>
      <c r="D11" s="165" t="s">
        <v>94</v>
      </c>
      <c r="E11" s="166" t="e">
        <f>#REF!</f>
        <v>#REF!</v>
      </c>
      <c r="F11" s="167">
        <f>'BPU préf'!E10</f>
        <v>9300</v>
      </c>
      <c r="G11" s="167" t="e">
        <f>E11*F11</f>
        <v>#REF!</v>
      </c>
    </row>
    <row r="12" spans="1:8" ht="18.75">
      <c r="A12" s="110"/>
      <c r="B12" s="5"/>
      <c r="C12" s="12"/>
      <c r="D12" s="95"/>
      <c r="E12" s="92"/>
      <c r="F12" s="93" t="s">
        <v>106</v>
      </c>
      <c r="G12" s="94" t="e">
        <f>SUM(G10:G11)</f>
        <v>#REF!</v>
      </c>
    </row>
    <row r="13" spans="1:8" ht="15.75">
      <c r="A13" s="10"/>
      <c r="B13" s="11"/>
      <c r="C13" s="12"/>
      <c r="D13" s="51"/>
      <c r="E13" s="12"/>
      <c r="F13" s="51"/>
      <c r="G13" s="121"/>
    </row>
    <row r="14" spans="1:8" ht="22.5" customHeight="1">
      <c r="A14" s="1" t="s">
        <v>175</v>
      </c>
      <c r="B14" s="2"/>
      <c r="C14" s="3"/>
      <c r="D14" s="52" t="s">
        <v>98</v>
      </c>
      <c r="E14" s="70" t="s">
        <v>99</v>
      </c>
      <c r="F14" s="71" t="s">
        <v>100</v>
      </c>
      <c r="G14" s="71" t="s">
        <v>114</v>
      </c>
    </row>
    <row r="15" spans="1:8" ht="15.75">
      <c r="A15" s="4">
        <v>201</v>
      </c>
      <c r="B15" s="42"/>
      <c r="C15" s="43" t="s">
        <v>199</v>
      </c>
      <c r="D15" s="170" t="s">
        <v>1</v>
      </c>
      <c r="E15" s="171" t="e">
        <f>#REF!</f>
        <v>#REF!</v>
      </c>
      <c r="F15" s="172">
        <f>'BPU préf'!E14</f>
        <v>7514</v>
      </c>
      <c r="G15" s="173" t="e">
        <f>E15*F15</f>
        <v>#REF!</v>
      </c>
    </row>
    <row r="16" spans="1:8" ht="15.75">
      <c r="A16" s="4">
        <v>202</v>
      </c>
      <c r="B16" s="5"/>
      <c r="C16" s="26" t="s">
        <v>200</v>
      </c>
      <c r="D16" s="272" t="s">
        <v>1</v>
      </c>
      <c r="E16" s="273" t="e">
        <f>#REF!</f>
        <v>#REF!</v>
      </c>
      <c r="F16" s="274">
        <f>'BPU préf'!E15</f>
        <v>5700</v>
      </c>
      <c r="G16" s="164" t="e">
        <f>E16*F16</f>
        <v>#REF!</v>
      </c>
    </row>
    <row r="17" spans="1:7" ht="15.75">
      <c r="A17" s="22">
        <v>203</v>
      </c>
      <c r="B17" s="30"/>
      <c r="C17" s="169" t="s">
        <v>246</v>
      </c>
      <c r="D17" s="168" t="s">
        <v>1</v>
      </c>
      <c r="E17" s="174" t="e">
        <f>#REF!</f>
        <v>#REF!</v>
      </c>
      <c r="F17" s="147">
        <f>'BPU préf'!E16</f>
        <v>6315</v>
      </c>
      <c r="G17" s="167" t="e">
        <f>E17*F17</f>
        <v>#REF!</v>
      </c>
    </row>
    <row r="18" spans="1:7" ht="18.75">
      <c r="A18" s="10"/>
      <c r="B18" s="21"/>
      <c r="C18" s="12"/>
      <c r="D18" s="157"/>
      <c r="E18" s="130"/>
      <c r="F18" s="131" t="s">
        <v>111</v>
      </c>
      <c r="G18" s="132" t="e">
        <f>SUM(G15:G17)</f>
        <v>#REF!</v>
      </c>
    </row>
    <row r="20" spans="1:7" ht="25.5" customHeight="1">
      <c r="D20" s="95"/>
      <c r="E20" s="92"/>
      <c r="F20" s="93" t="s">
        <v>172</v>
      </c>
      <c r="G20" s="94" t="e">
        <f>+G12+G18</f>
        <v>#REF!</v>
      </c>
    </row>
    <row r="39" spans="3:3">
      <c r="C39" s="149"/>
    </row>
  </sheetData>
  <mergeCells count="1">
    <mergeCell ref="A2:G2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FF00"/>
  </sheetPr>
  <dimension ref="B1:F7"/>
  <sheetViews>
    <sheetView workbookViewId="0">
      <selection activeCell="A13" sqref="A13:B17"/>
    </sheetView>
  </sheetViews>
  <sheetFormatPr baseColWidth="10" defaultColWidth="9.140625" defaultRowHeight="15"/>
  <cols>
    <col min="1" max="1" width="9.140625" style="142"/>
    <col min="2" max="2" width="5.42578125" style="142" customWidth="1"/>
    <col min="3" max="3" width="20.28515625" style="142" customWidth="1"/>
    <col min="4" max="4" width="30.7109375" style="142" customWidth="1"/>
    <col min="5" max="5" width="16.7109375" style="142" customWidth="1"/>
    <col min="6" max="10" width="9.140625" style="142"/>
    <col min="11" max="11" width="20.5703125" style="142" customWidth="1"/>
    <col min="12" max="16384" width="9.140625" style="142"/>
  </cols>
  <sheetData>
    <row r="1" spans="2:6" ht="19.5">
      <c r="B1" s="90" t="s">
        <v>494</v>
      </c>
    </row>
    <row r="3" spans="2:6" ht="18.75">
      <c r="C3" s="1872" t="s">
        <v>217</v>
      </c>
      <c r="D3" s="509" t="s">
        <v>291</v>
      </c>
      <c r="E3" s="509" t="s">
        <v>232</v>
      </c>
      <c r="F3" s="100"/>
    </row>
    <row r="4" spans="2:6" ht="18.75">
      <c r="C4" s="1873"/>
      <c r="D4" s="509" t="s">
        <v>607</v>
      </c>
      <c r="E4" s="509" t="s">
        <v>231</v>
      </c>
    </row>
    <row r="5" spans="2:6">
      <c r="C5" s="510" t="s">
        <v>215</v>
      </c>
      <c r="D5" s="511" t="e">
        <f>#REF!</f>
        <v>#REF!</v>
      </c>
      <c r="E5" s="511" t="e">
        <f>D5/656</f>
        <v>#REF!</v>
      </c>
    </row>
    <row r="6" spans="2:6">
      <c r="C6" s="510" t="s">
        <v>216</v>
      </c>
      <c r="D6" s="511" t="e">
        <f>'Pref Qa et Qc'!G20</f>
        <v>#REF!</v>
      </c>
      <c r="E6" s="511" t="e">
        <f>D6/656</f>
        <v>#REF!</v>
      </c>
    </row>
    <row r="7" spans="2:6" ht="18.75">
      <c r="C7" s="512" t="s">
        <v>218</v>
      </c>
      <c r="D7" s="513" t="e">
        <f>SUM(D5:D6)</f>
        <v>#REF!</v>
      </c>
      <c r="E7" s="514" t="e">
        <f>D7/656</f>
        <v>#REF!</v>
      </c>
    </row>
  </sheetData>
  <mergeCells count="1">
    <mergeCell ref="C3:C4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7" tint="-0.249977111117893"/>
  </sheetPr>
  <dimension ref="A1:I40"/>
  <sheetViews>
    <sheetView topLeftCell="A4" workbookViewId="0">
      <selection activeCell="A17" sqref="A17"/>
    </sheetView>
  </sheetViews>
  <sheetFormatPr baseColWidth="10" defaultColWidth="9.140625" defaultRowHeight="15"/>
  <cols>
    <col min="1" max="1" width="8.42578125" style="142" customWidth="1"/>
    <col min="2" max="2" width="4.42578125" style="142" customWidth="1"/>
    <col min="3" max="3" width="51" style="142" customWidth="1"/>
    <col min="4" max="4" width="9" style="142" customWidth="1"/>
    <col min="5" max="6" width="15.42578125" style="142" customWidth="1"/>
    <col min="7" max="7" width="26.140625" style="142" customWidth="1"/>
    <col min="8" max="8" width="17.28515625" style="142" customWidth="1"/>
    <col min="9" max="9" width="25.7109375" style="142" customWidth="1"/>
    <col min="10" max="16384" width="9.140625" style="142"/>
  </cols>
  <sheetData>
    <row r="1" spans="1:9" ht="20.25" thickBot="1">
      <c r="A1" s="90" t="s">
        <v>105</v>
      </c>
      <c r="G1" s="62"/>
      <c r="H1" s="62"/>
      <c r="I1" s="99"/>
    </row>
    <row r="2" spans="1:9" ht="25.5" thickBot="1">
      <c r="A2" s="1860" t="s">
        <v>491</v>
      </c>
      <c r="B2" s="1861"/>
      <c r="C2" s="1861"/>
      <c r="D2" s="1861"/>
      <c r="E2" s="1861"/>
      <c r="F2" s="1861"/>
      <c r="G2" s="1862"/>
      <c r="H2" s="135"/>
      <c r="I2" s="135"/>
    </row>
    <row r="4" spans="1:9">
      <c r="F4" s="99" t="s">
        <v>177</v>
      </c>
      <c r="G4" s="136" t="e">
        <f>#REF!</f>
        <v>#REF!</v>
      </c>
    </row>
    <row r="5" spans="1:9">
      <c r="F5" s="99" t="s">
        <v>176</v>
      </c>
      <c r="G5" s="136" t="e">
        <f>#REF!</f>
        <v>#REF!</v>
      </c>
    </row>
    <row r="6" spans="1:9">
      <c r="F6" s="99" t="s">
        <v>198</v>
      </c>
      <c r="G6" s="136" t="e">
        <f>#REF!</f>
        <v>#REF!</v>
      </c>
    </row>
    <row r="7" spans="1:9">
      <c r="F7" s="99" t="s">
        <v>197</v>
      </c>
      <c r="G7" s="136" t="e">
        <f>#REF!</f>
        <v>#REF!</v>
      </c>
    </row>
    <row r="8" spans="1:9">
      <c r="F8" s="99" t="s">
        <v>277</v>
      </c>
      <c r="G8" s="136" t="e">
        <f>#REF!</f>
        <v>#REF!</v>
      </c>
    </row>
    <row r="9" spans="1:9" ht="22.5" customHeight="1">
      <c r="A9" s="1" t="s">
        <v>166</v>
      </c>
      <c r="B9" s="2"/>
      <c r="C9" s="3"/>
      <c r="D9" s="52" t="s">
        <v>98</v>
      </c>
      <c r="E9" s="70" t="s">
        <v>99</v>
      </c>
      <c r="F9" s="71" t="s">
        <v>100</v>
      </c>
      <c r="G9" s="71" t="s">
        <v>114</v>
      </c>
    </row>
    <row r="10" spans="1:9" ht="15.75">
      <c r="A10" s="4" t="s">
        <v>0</v>
      </c>
      <c r="B10" s="5"/>
      <c r="C10" s="6" t="s">
        <v>168</v>
      </c>
      <c r="D10" s="158"/>
      <c r="E10" s="159"/>
      <c r="F10" s="160"/>
      <c r="G10" s="161"/>
    </row>
    <row r="11" spans="1:9" ht="15.75">
      <c r="A11" s="4" t="s">
        <v>167</v>
      </c>
      <c r="B11" s="5"/>
      <c r="C11" s="12" t="s">
        <v>171</v>
      </c>
      <c r="D11" s="162" t="s">
        <v>94</v>
      </c>
      <c r="E11" s="163" t="e">
        <f>G4</f>
        <v>#REF!</v>
      </c>
      <c r="F11" s="164">
        <f>'[3]BPU préf'!E8</f>
        <v>11000</v>
      </c>
      <c r="G11" s="164" t="e">
        <f>E11*F11</f>
        <v>#REF!</v>
      </c>
    </row>
    <row r="12" spans="1:9" ht="15.75">
      <c r="A12" s="22" t="s">
        <v>169</v>
      </c>
      <c r="B12" s="30"/>
      <c r="C12" s="24" t="s">
        <v>170</v>
      </c>
      <c r="D12" s="165" t="s">
        <v>94</v>
      </c>
      <c r="E12" s="166" t="e">
        <f>G5</f>
        <v>#REF!</v>
      </c>
      <c r="F12" s="167">
        <f>'[3]BPU préf'!E9</f>
        <v>9300</v>
      </c>
      <c r="G12" s="167" t="e">
        <f>E12*F12</f>
        <v>#REF!</v>
      </c>
    </row>
    <row r="13" spans="1:9" ht="18.75">
      <c r="A13" s="110"/>
      <c r="B13" s="5"/>
      <c r="C13" s="12"/>
      <c r="D13" s="95"/>
      <c r="E13" s="92"/>
      <c r="F13" s="93" t="s">
        <v>106</v>
      </c>
      <c r="G13" s="94" t="e">
        <f>SUM(G11:G12)</f>
        <v>#REF!</v>
      </c>
    </row>
    <row r="14" spans="1:9" ht="15.75">
      <c r="A14" s="10"/>
      <c r="B14" s="11"/>
      <c r="C14" s="12"/>
      <c r="D14" s="51"/>
      <c r="E14" s="12"/>
      <c r="F14" s="51"/>
      <c r="G14" s="121"/>
    </row>
    <row r="15" spans="1:9" ht="22.5" customHeight="1">
      <c r="A15" s="1" t="s">
        <v>175</v>
      </c>
      <c r="B15" s="2"/>
      <c r="C15" s="3"/>
      <c r="D15" s="52" t="s">
        <v>98</v>
      </c>
      <c r="E15" s="70" t="s">
        <v>99</v>
      </c>
      <c r="F15" s="71" t="s">
        <v>100</v>
      </c>
      <c r="G15" s="71" t="s">
        <v>114</v>
      </c>
    </row>
    <row r="16" spans="1:9" ht="15.75">
      <c r="A16" s="41">
        <v>201</v>
      </c>
      <c r="B16" s="42"/>
      <c r="C16" s="43" t="s">
        <v>199</v>
      </c>
      <c r="D16" s="170" t="s">
        <v>1</v>
      </c>
      <c r="E16" s="171" t="e">
        <f>G7</f>
        <v>#REF!</v>
      </c>
      <c r="F16" s="172">
        <f>'[3]BPU préf'!E12</f>
        <v>7514</v>
      </c>
      <c r="G16" s="173" t="e">
        <f>E16*F16</f>
        <v>#REF!</v>
      </c>
    </row>
    <row r="17" spans="1:7" ht="15.75">
      <c r="A17" s="17">
        <v>202</v>
      </c>
      <c r="B17" s="5"/>
      <c r="C17" s="26" t="s">
        <v>200</v>
      </c>
      <c r="D17" s="272" t="s">
        <v>1</v>
      </c>
      <c r="E17" s="273" t="e">
        <f>+G6</f>
        <v>#REF!</v>
      </c>
      <c r="F17" s="274">
        <f>'[3]BPU préf'!E13</f>
        <v>5700</v>
      </c>
      <c r="G17" s="164" t="e">
        <f>E17*F17</f>
        <v>#REF!</v>
      </c>
    </row>
    <row r="18" spans="1:7" ht="15.75">
      <c r="A18" s="36">
        <v>203</v>
      </c>
      <c r="B18" s="30"/>
      <c r="C18" s="169" t="s">
        <v>246</v>
      </c>
      <c r="D18" s="168" t="s">
        <v>1</v>
      </c>
      <c r="E18" s="174" t="e">
        <f>G8</f>
        <v>#REF!</v>
      </c>
      <c r="F18" s="147">
        <f>'BPU préf'!E16</f>
        <v>6315</v>
      </c>
      <c r="G18" s="167" t="e">
        <f>E18*F18</f>
        <v>#REF!</v>
      </c>
    </row>
    <row r="19" spans="1:7" ht="18.75">
      <c r="A19" s="10"/>
      <c r="B19" s="21"/>
      <c r="C19" s="12"/>
      <c r="D19" s="157"/>
      <c r="E19" s="130"/>
      <c r="F19" s="131" t="s">
        <v>111</v>
      </c>
      <c r="G19" s="132" t="e">
        <f>SUM(G16:G18)</f>
        <v>#REF!</v>
      </c>
    </row>
    <row r="21" spans="1:7" ht="25.5" customHeight="1">
      <c r="D21" s="95"/>
      <c r="E21" s="92"/>
      <c r="F21" s="93" t="s">
        <v>172</v>
      </c>
      <c r="G21" s="94" t="e">
        <f>+G13+G19</f>
        <v>#REF!</v>
      </c>
    </row>
    <row r="40" spans="3:3">
      <c r="C40" s="149"/>
    </row>
  </sheetData>
  <mergeCells count="1">
    <mergeCell ref="A2:G2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FF00"/>
  </sheetPr>
  <dimension ref="A1:GG223"/>
  <sheetViews>
    <sheetView topLeftCell="A166" workbookViewId="0">
      <selection activeCell="B184" sqref="B184"/>
    </sheetView>
  </sheetViews>
  <sheetFormatPr baseColWidth="10" defaultColWidth="9.140625" defaultRowHeight="15"/>
  <cols>
    <col min="1" max="1" width="12.28515625" style="142" customWidth="1"/>
    <col min="2" max="2" width="79.140625" style="142" customWidth="1"/>
    <col min="3" max="3" width="11" style="142" customWidth="1"/>
    <col min="4" max="4" width="14.85546875" style="142" customWidth="1"/>
    <col min="5" max="5" width="20" style="142" customWidth="1"/>
    <col min="6" max="6" width="32.85546875" style="142" customWidth="1"/>
    <col min="7" max="7" width="9.140625" style="142"/>
    <col min="8" max="8" width="23.5703125" style="255" bestFit="1" customWidth="1"/>
    <col min="9" max="9" width="23.140625" style="262" bestFit="1" customWidth="1"/>
    <col min="10" max="10" width="16" style="255" bestFit="1" customWidth="1"/>
    <col min="11" max="11" width="9.140625" style="129"/>
    <col min="12" max="12" width="9.28515625" style="129" bestFit="1" customWidth="1"/>
    <col min="13" max="189" width="9.140625" style="129"/>
    <col min="190" max="16384" width="9.140625" style="142"/>
  </cols>
  <sheetData>
    <row r="1" spans="1:10" ht="20.25" thickBot="1">
      <c r="A1" s="90" t="s">
        <v>184</v>
      </c>
      <c r="D1" s="62"/>
      <c r="E1" s="62"/>
      <c r="F1" s="99"/>
    </row>
    <row r="2" spans="1:10" s="129" customFormat="1" ht="25.5" thickBot="1">
      <c r="A2" s="1856" t="s">
        <v>363</v>
      </c>
      <c r="B2" s="1857"/>
      <c r="C2" s="1857"/>
      <c r="D2" s="1857"/>
      <c r="E2" s="1857"/>
      <c r="F2" s="1858"/>
      <c r="G2" s="119"/>
      <c r="H2" s="255"/>
      <c r="I2" s="262"/>
      <c r="J2" s="255"/>
    </row>
    <row r="3" spans="1:10" s="129" customFormat="1" ht="24.75">
      <c r="A3" s="329"/>
      <c r="B3" s="329"/>
      <c r="C3" s="329"/>
      <c r="D3" s="329"/>
      <c r="E3" s="339" t="s">
        <v>365</v>
      </c>
      <c r="F3" s="341">
        <v>470</v>
      </c>
      <c r="G3" s="119"/>
      <c r="H3" s="255"/>
      <c r="I3" s="262"/>
      <c r="J3" s="255"/>
    </row>
    <row r="4" spans="1:10" s="129" customFormat="1" ht="19.5">
      <c r="A4" s="90"/>
      <c r="B4" s="142"/>
      <c r="C4" s="142"/>
      <c r="D4" s="62"/>
      <c r="E4" s="339" t="s">
        <v>313</v>
      </c>
      <c r="F4" s="341">
        <v>290</v>
      </c>
      <c r="G4" s="142"/>
      <c r="H4" s="255"/>
      <c r="I4" s="262"/>
      <c r="J4" s="255"/>
    </row>
    <row r="5" spans="1:10" s="129" customFormat="1" ht="19.5">
      <c r="A5" s="90"/>
      <c r="B5" s="142"/>
      <c r="C5" s="142"/>
      <c r="D5" s="62"/>
      <c r="E5" s="339" t="s">
        <v>369</v>
      </c>
      <c r="F5" s="341">
        <v>3430</v>
      </c>
      <c r="G5" s="142"/>
      <c r="H5" s="277">
        <f>1.7*0.25*0.6</f>
        <v>0.255</v>
      </c>
      <c r="I5" s="262"/>
      <c r="J5" s="255"/>
    </row>
    <row r="6" spans="1:10" s="129" customFormat="1" ht="19.5">
      <c r="A6" s="90"/>
      <c r="B6" s="142"/>
      <c r="C6" s="142"/>
      <c r="D6" s="62"/>
      <c r="E6" s="339" t="s">
        <v>248</v>
      </c>
      <c r="F6" s="340">
        <v>12144</v>
      </c>
      <c r="G6" s="142"/>
      <c r="H6" s="255"/>
      <c r="I6" s="262"/>
      <c r="J6" s="255"/>
    </row>
    <row r="7" spans="1:10" s="129" customFormat="1" ht="19.5">
      <c r="A7" s="90"/>
      <c r="B7" s="142"/>
      <c r="C7" s="142"/>
      <c r="D7" s="62"/>
      <c r="E7" s="339" t="s">
        <v>366</v>
      </c>
      <c r="F7" s="340">
        <v>250</v>
      </c>
      <c r="G7" s="142"/>
      <c r="H7" s="255"/>
      <c r="I7" s="262"/>
      <c r="J7" s="255"/>
    </row>
    <row r="8" spans="1:10" s="129" customFormat="1" ht="19.5">
      <c r="A8" s="90"/>
      <c r="B8" s="142"/>
      <c r="C8" s="142"/>
      <c r="D8" s="340"/>
      <c r="E8" s="339" t="s">
        <v>249</v>
      </c>
      <c r="F8" s="340">
        <v>4554</v>
      </c>
      <c r="G8" s="142"/>
      <c r="H8" s="255"/>
      <c r="I8" s="262"/>
      <c r="J8" s="255"/>
    </row>
    <row r="9" spans="1:10" s="129" customFormat="1" ht="19.5">
      <c r="A9" s="90"/>
      <c r="B9" s="142"/>
      <c r="C9" s="142"/>
      <c r="D9" s="340"/>
      <c r="E9" s="339" t="s">
        <v>367</v>
      </c>
      <c r="F9" s="340">
        <v>1270</v>
      </c>
      <c r="G9" s="142"/>
      <c r="H9" s="255"/>
      <c r="I9" s="262"/>
      <c r="J9" s="255"/>
    </row>
    <row r="10" spans="1:10" s="129" customFormat="1" ht="19.5">
      <c r="A10" s="90"/>
      <c r="B10" s="142"/>
      <c r="C10" s="142"/>
      <c r="D10" s="340"/>
      <c r="E10" s="339" t="s">
        <v>368</v>
      </c>
      <c r="F10" s="340">
        <v>670</v>
      </c>
      <c r="G10" s="142" t="s">
        <v>364</v>
      </c>
      <c r="H10" s="255"/>
      <c r="I10" s="262"/>
      <c r="J10" s="255"/>
    </row>
    <row r="11" spans="1:10" s="129" customFormat="1" ht="19.5">
      <c r="A11" s="90"/>
      <c r="B11" s="142"/>
      <c r="C11" s="142"/>
      <c r="D11" s="340"/>
      <c r="E11" s="339" t="s">
        <v>378</v>
      </c>
      <c r="F11" s="340">
        <f>850*2</f>
        <v>1700</v>
      </c>
      <c r="G11" s="142"/>
      <c r="H11" s="255"/>
      <c r="I11" s="262"/>
      <c r="J11" s="255"/>
    </row>
    <row r="12" spans="1:10" s="129" customFormat="1" ht="19.5">
      <c r="A12" s="90"/>
      <c r="B12" s="142"/>
      <c r="C12" s="142"/>
      <c r="D12" s="340"/>
      <c r="E12" s="339" t="s">
        <v>250</v>
      </c>
      <c r="F12" s="144">
        <f>850+1017+(470-100)</f>
        <v>2237</v>
      </c>
      <c r="G12" s="129">
        <v>40</v>
      </c>
      <c r="H12" s="255" t="s">
        <v>374</v>
      </c>
      <c r="I12" s="262">
        <v>20</v>
      </c>
      <c r="J12" s="255"/>
    </row>
    <row r="13" spans="1:10" s="129" customFormat="1" ht="19.5">
      <c r="A13" s="90"/>
      <c r="B13" s="142"/>
      <c r="C13" s="142"/>
      <c r="D13" s="62"/>
      <c r="E13" s="99" t="s">
        <v>370</v>
      </c>
      <c r="F13" s="144">
        <v>3910</v>
      </c>
      <c r="G13" s="142">
        <v>10</v>
      </c>
      <c r="H13" s="262">
        <v>6</v>
      </c>
      <c r="I13" s="262"/>
      <c r="J13" s="255"/>
    </row>
    <row r="14" spans="1:10" s="129" customFormat="1" ht="19.5">
      <c r="A14" s="90"/>
      <c r="B14" s="142"/>
      <c r="C14" s="142"/>
      <c r="D14" s="62"/>
      <c r="E14" s="99" t="s">
        <v>371</v>
      </c>
      <c r="F14" s="144">
        <f>955+420</f>
        <v>1375</v>
      </c>
      <c r="G14" s="142">
        <v>12</v>
      </c>
      <c r="H14" s="262">
        <v>7</v>
      </c>
      <c r="I14" s="262"/>
      <c r="J14" s="255"/>
    </row>
    <row r="15" spans="1:10" s="129" customFormat="1" ht="19.5">
      <c r="A15" s="90"/>
      <c r="B15" s="142"/>
      <c r="C15" s="142"/>
      <c r="D15" s="62"/>
      <c r="E15" s="99" t="s">
        <v>372</v>
      </c>
      <c r="F15" s="144">
        <v>3805</v>
      </c>
      <c r="G15" s="142">
        <v>15</v>
      </c>
      <c r="H15" s="262">
        <v>9.84</v>
      </c>
      <c r="I15" s="262"/>
      <c r="J15" s="255"/>
    </row>
    <row r="16" spans="1:10" s="129" customFormat="1" ht="19.5">
      <c r="A16" s="90"/>
      <c r="B16" s="142"/>
      <c r="C16" s="142"/>
      <c r="D16" s="62"/>
      <c r="E16" s="99" t="s">
        <v>373</v>
      </c>
      <c r="F16" s="144">
        <v>2275</v>
      </c>
      <c r="G16" s="142">
        <v>20</v>
      </c>
      <c r="H16" s="262">
        <v>11.84</v>
      </c>
      <c r="I16" s="262"/>
      <c r="J16" s="255"/>
    </row>
    <row r="17" spans="1:189" s="129" customFormat="1">
      <c r="A17" s="44"/>
      <c r="B17" s="142"/>
      <c r="C17" s="142"/>
      <c r="D17" s="62"/>
      <c r="E17" s="337"/>
      <c r="F17" s="338">
        <f>SUM(F13:F16)</f>
        <v>11365</v>
      </c>
      <c r="G17" s="89"/>
      <c r="H17" s="255"/>
      <c r="I17" s="262"/>
      <c r="J17" s="255"/>
    </row>
    <row r="18" spans="1:189" s="129" customFormat="1">
      <c r="A18" s="44"/>
      <c r="B18" s="142"/>
      <c r="C18" s="142"/>
      <c r="D18" s="62"/>
      <c r="E18" s="337"/>
      <c r="F18" s="338"/>
      <c r="G18" s="89"/>
      <c r="H18" s="255"/>
      <c r="I18" s="262"/>
      <c r="J18" s="255"/>
    </row>
    <row r="19" spans="1:189" s="129" customFormat="1" ht="15" customHeight="1">
      <c r="A19" s="106"/>
      <c r="B19" s="142"/>
      <c r="C19" s="142"/>
      <c r="D19" s="62"/>
      <c r="E19" s="99"/>
      <c r="F19" s="144"/>
      <c r="G19" s="89"/>
      <c r="H19" s="255" t="s">
        <v>186</v>
      </c>
      <c r="I19" s="262" t="s">
        <v>187</v>
      </c>
      <c r="J19" s="255" t="s">
        <v>188</v>
      </c>
    </row>
    <row r="20" spans="1:189" s="495" customFormat="1" ht="24.95" customHeight="1">
      <c r="A20" s="693" t="s">
        <v>585</v>
      </c>
      <c r="B20" s="693" t="s">
        <v>602</v>
      </c>
      <c r="C20" s="693" t="s">
        <v>98</v>
      </c>
      <c r="D20" s="693" t="s">
        <v>99</v>
      </c>
      <c r="E20" s="694" t="s">
        <v>100</v>
      </c>
      <c r="F20" s="694" t="s">
        <v>603</v>
      </c>
      <c r="G20" s="773"/>
      <c r="H20" s="493"/>
      <c r="I20" s="494"/>
      <c r="J20" s="493"/>
    </row>
    <row r="21" spans="1:189" s="495" customFormat="1" ht="24.95" customHeight="1">
      <c r="A21" s="772" t="e">
        <f>#REF!</f>
        <v>#REF!</v>
      </c>
      <c r="B21" s="457"/>
      <c r="C21" s="692" t="s">
        <v>98</v>
      </c>
      <c r="D21" s="693" t="s">
        <v>99</v>
      </c>
      <c r="E21" s="694" t="s">
        <v>100</v>
      </c>
      <c r="F21" s="694" t="s">
        <v>114</v>
      </c>
      <c r="G21" s="456"/>
      <c r="H21" s="493"/>
      <c r="I21" s="494"/>
      <c r="J21" s="493"/>
    </row>
    <row r="22" spans="1:189" s="495" customFormat="1" ht="39.950000000000003" customHeight="1">
      <c r="A22" s="678" t="e">
        <f>#REF!</f>
        <v>#REF!</v>
      </c>
      <c r="B22" s="748" t="e">
        <f>#REF!</f>
        <v>#REF!</v>
      </c>
      <c r="C22" s="542"/>
      <c r="D22" s="543"/>
      <c r="E22" s="632"/>
      <c r="F22" s="544"/>
      <c r="G22" s="456"/>
      <c r="H22" s="493"/>
      <c r="I22" s="494"/>
      <c r="J22" s="493"/>
    </row>
    <row r="23" spans="1:189" s="495" customFormat="1">
      <c r="A23" s="691"/>
      <c r="B23" s="691"/>
      <c r="C23" s="545" t="e">
        <f>#REF!</f>
        <v>#REF!</v>
      </c>
      <c r="D23" s="546">
        <v>1</v>
      </c>
      <c r="E23" s="547">
        <f>J23</f>
        <v>2150000000</v>
      </c>
      <c r="F23" s="547">
        <f>+D23*E23</f>
        <v>2150000000</v>
      </c>
      <c r="G23" s="456"/>
      <c r="H23" s="493">
        <f>2150000000</f>
        <v>2150000000</v>
      </c>
      <c r="I23" s="494">
        <v>1</v>
      </c>
      <c r="J23" s="493">
        <f>H23*I23</f>
        <v>2150000000</v>
      </c>
    </row>
    <row r="24" spans="1:189" s="495" customFormat="1">
      <c r="A24" s="683" t="e">
        <f>#REF!</f>
        <v>#REF!</v>
      </c>
      <c r="B24" s="683" t="e">
        <f>#REF!</f>
        <v>#REF!</v>
      </c>
      <c r="C24" s="659"/>
      <c r="D24" s="660"/>
      <c r="E24" s="633"/>
      <c r="F24" s="633"/>
      <c r="G24" s="456"/>
      <c r="H24" s="493"/>
      <c r="I24" s="494"/>
      <c r="J24" s="493"/>
    </row>
    <row r="25" spans="1:189" s="495" customFormat="1">
      <c r="A25" s="771"/>
      <c r="B25" s="691"/>
      <c r="C25" s="545" t="e">
        <f>#REF!</f>
        <v>#REF!</v>
      </c>
      <c r="D25" s="546">
        <f>J25+F11</f>
        <v>15982.1</v>
      </c>
      <c r="E25" s="527" t="e">
        <f>#REF!</f>
        <v>#REF!</v>
      </c>
      <c r="F25" s="527" t="e">
        <f>+D25*E25</f>
        <v>#REF!</v>
      </c>
      <c r="G25" s="456"/>
      <c r="H25" s="493">
        <f>F17+F12</f>
        <v>13602</v>
      </c>
      <c r="I25" s="494">
        <v>1.05</v>
      </c>
      <c r="J25" s="493">
        <f>H25*I25</f>
        <v>14282.1</v>
      </c>
    </row>
    <row r="26" spans="1:189" s="456" customFormat="1" ht="18.75">
      <c r="A26" s="747"/>
      <c r="B26" s="458"/>
      <c r="C26" s="686"/>
      <c r="D26" s="635"/>
      <c r="E26" s="636" t="s">
        <v>108</v>
      </c>
      <c r="F26" s="637" t="e">
        <f>SUM(F22:F25)</f>
        <v>#REF!</v>
      </c>
      <c r="H26" s="493"/>
      <c r="I26" s="494"/>
      <c r="J26" s="493"/>
      <c r="K26" s="495"/>
      <c r="L26" s="495"/>
      <c r="M26" s="495"/>
      <c r="N26" s="495"/>
      <c r="O26" s="495"/>
      <c r="P26" s="495"/>
      <c r="Q26" s="495"/>
      <c r="R26" s="495"/>
      <c r="S26" s="495"/>
      <c r="T26" s="495"/>
      <c r="U26" s="495"/>
      <c r="V26" s="495"/>
      <c r="W26" s="495"/>
      <c r="X26" s="495"/>
      <c r="Y26" s="495"/>
      <c r="Z26" s="495"/>
      <c r="AA26" s="495"/>
      <c r="AB26" s="495"/>
      <c r="AC26" s="495"/>
      <c r="AD26" s="495"/>
      <c r="AE26" s="495"/>
      <c r="AF26" s="495"/>
      <c r="AG26" s="495"/>
      <c r="AH26" s="495"/>
      <c r="AI26" s="495"/>
      <c r="AJ26" s="495"/>
      <c r="AK26" s="495"/>
      <c r="AL26" s="495"/>
      <c r="AM26" s="495"/>
      <c r="AN26" s="495"/>
      <c r="AO26" s="495"/>
      <c r="AP26" s="495"/>
      <c r="AQ26" s="495"/>
      <c r="AR26" s="495"/>
      <c r="AS26" s="495"/>
      <c r="AT26" s="495"/>
      <c r="AU26" s="495"/>
      <c r="AV26" s="495"/>
      <c r="AW26" s="495"/>
      <c r="AX26" s="495"/>
      <c r="AY26" s="495"/>
      <c r="AZ26" s="495"/>
      <c r="BA26" s="495"/>
      <c r="BB26" s="495"/>
      <c r="BC26" s="495"/>
      <c r="BD26" s="495"/>
      <c r="BE26" s="495"/>
      <c r="BF26" s="495"/>
      <c r="BG26" s="495"/>
      <c r="BH26" s="495"/>
      <c r="BI26" s="495"/>
      <c r="BJ26" s="495"/>
      <c r="BK26" s="495"/>
      <c r="BL26" s="495"/>
      <c r="BM26" s="495"/>
      <c r="BN26" s="495"/>
      <c r="BO26" s="495"/>
      <c r="BP26" s="495"/>
      <c r="BQ26" s="495"/>
      <c r="BR26" s="495"/>
      <c r="BS26" s="495"/>
      <c r="BT26" s="495"/>
      <c r="BU26" s="495"/>
      <c r="BV26" s="495"/>
      <c r="BW26" s="495"/>
      <c r="BX26" s="495"/>
      <c r="BY26" s="495"/>
      <c r="BZ26" s="495"/>
      <c r="CA26" s="495"/>
      <c r="CB26" s="495"/>
      <c r="CC26" s="495"/>
      <c r="CD26" s="495"/>
      <c r="CE26" s="495"/>
      <c r="CF26" s="495"/>
      <c r="CG26" s="495"/>
      <c r="CH26" s="495"/>
      <c r="CI26" s="495"/>
      <c r="CJ26" s="495"/>
      <c r="CK26" s="495"/>
      <c r="CL26" s="495"/>
      <c r="CM26" s="495"/>
      <c r="CN26" s="495"/>
      <c r="CO26" s="495"/>
      <c r="CP26" s="495"/>
      <c r="CQ26" s="495"/>
      <c r="CR26" s="495"/>
      <c r="CS26" s="495"/>
      <c r="CT26" s="495"/>
      <c r="CU26" s="495"/>
      <c r="CV26" s="495"/>
      <c r="CW26" s="495"/>
      <c r="CX26" s="495"/>
      <c r="CY26" s="495"/>
      <c r="CZ26" s="495"/>
      <c r="DA26" s="495"/>
      <c r="DB26" s="495"/>
      <c r="DC26" s="495"/>
      <c r="DD26" s="495"/>
      <c r="DE26" s="495"/>
      <c r="DF26" s="495"/>
      <c r="DG26" s="495"/>
      <c r="DH26" s="495"/>
      <c r="DI26" s="495"/>
      <c r="DJ26" s="495"/>
      <c r="DK26" s="495"/>
      <c r="DL26" s="495"/>
      <c r="DM26" s="495"/>
      <c r="DN26" s="495"/>
      <c r="DO26" s="495"/>
      <c r="DP26" s="495"/>
      <c r="DQ26" s="495"/>
      <c r="DR26" s="495"/>
      <c r="DS26" s="495"/>
      <c r="DT26" s="495"/>
      <c r="DU26" s="495"/>
      <c r="DV26" s="495"/>
      <c r="DW26" s="495"/>
      <c r="DX26" s="495"/>
      <c r="DY26" s="495"/>
      <c r="DZ26" s="495"/>
      <c r="EA26" s="495"/>
      <c r="EB26" s="495"/>
      <c r="EC26" s="495"/>
      <c r="ED26" s="495"/>
      <c r="EE26" s="495"/>
      <c r="EF26" s="495"/>
      <c r="EG26" s="495"/>
      <c r="EH26" s="495"/>
      <c r="EI26" s="495"/>
      <c r="EJ26" s="495"/>
      <c r="EK26" s="495"/>
      <c r="EL26" s="495"/>
      <c r="EM26" s="495"/>
      <c r="EN26" s="495"/>
      <c r="EO26" s="495"/>
      <c r="EP26" s="495"/>
      <c r="EQ26" s="495"/>
      <c r="ER26" s="495"/>
      <c r="ES26" s="495"/>
      <c r="ET26" s="495"/>
      <c r="EU26" s="495"/>
      <c r="EV26" s="495"/>
      <c r="EW26" s="495"/>
      <c r="EX26" s="495"/>
      <c r="EY26" s="495"/>
      <c r="EZ26" s="495"/>
      <c r="FA26" s="495"/>
      <c r="FB26" s="495"/>
      <c r="FC26" s="495"/>
      <c r="FD26" s="495"/>
      <c r="FE26" s="495"/>
      <c r="FF26" s="495"/>
      <c r="FG26" s="495"/>
      <c r="FH26" s="495"/>
      <c r="FI26" s="495"/>
      <c r="FJ26" s="495"/>
      <c r="FK26" s="495"/>
      <c r="FL26" s="495"/>
      <c r="FM26" s="495"/>
      <c r="FN26" s="495"/>
      <c r="FO26" s="495"/>
      <c r="FP26" s="495"/>
      <c r="FQ26" s="495"/>
      <c r="FR26" s="495"/>
      <c r="FS26" s="495"/>
      <c r="FT26" s="495"/>
      <c r="FU26" s="495"/>
      <c r="FV26" s="495"/>
      <c r="FW26" s="495"/>
      <c r="FX26" s="495"/>
      <c r="FY26" s="495"/>
      <c r="FZ26" s="495"/>
      <c r="GA26" s="495"/>
      <c r="GB26" s="495"/>
      <c r="GC26" s="495"/>
      <c r="GD26" s="495"/>
      <c r="GE26" s="495"/>
      <c r="GF26" s="495"/>
      <c r="GG26" s="495"/>
    </row>
    <row r="27" spans="1:189" ht="24.95" customHeight="1">
      <c r="D27" s="75"/>
      <c r="E27" s="62"/>
      <c r="F27" s="62"/>
    </row>
    <row r="28" spans="1:189" s="456" customFormat="1" ht="24.95" customHeight="1">
      <c r="A28" s="772" t="e">
        <f>#REF!</f>
        <v>#REF!</v>
      </c>
      <c r="B28" s="459"/>
      <c r="C28" s="692" t="s">
        <v>98</v>
      </c>
      <c r="D28" s="695" t="s">
        <v>99</v>
      </c>
      <c r="E28" s="694" t="s">
        <v>100</v>
      </c>
      <c r="F28" s="694" t="s">
        <v>114</v>
      </c>
      <c r="H28" s="493"/>
      <c r="I28" s="494">
        <f>24780</f>
        <v>24780</v>
      </c>
      <c r="J28" s="493"/>
      <c r="K28" s="495"/>
      <c r="L28" s="495"/>
      <c r="M28" s="495"/>
      <c r="N28" s="495"/>
      <c r="O28" s="495"/>
      <c r="P28" s="495"/>
      <c r="Q28" s="495"/>
      <c r="R28" s="495"/>
      <c r="S28" s="495"/>
      <c r="T28" s="495"/>
      <c r="U28" s="495"/>
      <c r="V28" s="495"/>
      <c r="W28" s="495"/>
      <c r="X28" s="495"/>
      <c r="Y28" s="495"/>
      <c r="Z28" s="495"/>
      <c r="AA28" s="495"/>
      <c r="AB28" s="495"/>
      <c r="AC28" s="495"/>
      <c r="AD28" s="495"/>
      <c r="AE28" s="495"/>
      <c r="AF28" s="495"/>
      <c r="AG28" s="495"/>
      <c r="AH28" s="495"/>
      <c r="AI28" s="495"/>
      <c r="AJ28" s="495"/>
      <c r="AK28" s="495"/>
      <c r="AL28" s="495"/>
      <c r="AM28" s="495"/>
      <c r="AN28" s="495"/>
      <c r="AO28" s="495"/>
      <c r="AP28" s="495"/>
      <c r="AQ28" s="495"/>
      <c r="AR28" s="495"/>
      <c r="AS28" s="495"/>
      <c r="AT28" s="495"/>
      <c r="AU28" s="495"/>
      <c r="AV28" s="495"/>
      <c r="AW28" s="495"/>
      <c r="AX28" s="495"/>
      <c r="AY28" s="495"/>
      <c r="AZ28" s="495"/>
      <c r="BA28" s="495"/>
      <c r="BB28" s="495"/>
      <c r="BC28" s="495"/>
      <c r="BD28" s="495"/>
      <c r="BE28" s="495"/>
      <c r="BF28" s="495"/>
      <c r="BG28" s="495"/>
      <c r="BH28" s="495"/>
      <c r="BI28" s="495"/>
      <c r="BJ28" s="495"/>
      <c r="BK28" s="495"/>
      <c r="BL28" s="495"/>
      <c r="BM28" s="495"/>
      <c r="BN28" s="495"/>
      <c r="BO28" s="495"/>
      <c r="BP28" s="495"/>
      <c r="BQ28" s="495"/>
      <c r="BR28" s="495"/>
      <c r="BS28" s="495"/>
      <c r="BT28" s="495"/>
      <c r="BU28" s="495"/>
      <c r="BV28" s="495"/>
      <c r="BW28" s="495"/>
      <c r="BX28" s="495"/>
      <c r="BY28" s="495"/>
      <c r="BZ28" s="495"/>
      <c r="CA28" s="495"/>
      <c r="CB28" s="495"/>
      <c r="CC28" s="495"/>
      <c r="CD28" s="495"/>
      <c r="CE28" s="495"/>
      <c r="CF28" s="495"/>
      <c r="CG28" s="495"/>
      <c r="CH28" s="495"/>
      <c r="CI28" s="495"/>
      <c r="CJ28" s="495"/>
      <c r="CK28" s="495"/>
      <c r="CL28" s="495"/>
      <c r="CM28" s="495"/>
      <c r="CN28" s="495"/>
      <c r="CO28" s="495"/>
      <c r="CP28" s="495"/>
      <c r="CQ28" s="495"/>
      <c r="CR28" s="495"/>
      <c r="CS28" s="495"/>
      <c r="CT28" s="495"/>
      <c r="CU28" s="495"/>
      <c r="CV28" s="495"/>
      <c r="CW28" s="495"/>
      <c r="CX28" s="495"/>
      <c r="CY28" s="495"/>
      <c r="CZ28" s="495"/>
      <c r="DA28" s="495"/>
      <c r="DB28" s="495"/>
      <c r="DC28" s="495"/>
      <c r="DD28" s="495"/>
      <c r="DE28" s="495"/>
      <c r="DF28" s="495"/>
      <c r="DG28" s="495"/>
      <c r="DH28" s="495"/>
      <c r="DI28" s="495"/>
      <c r="DJ28" s="495"/>
      <c r="DK28" s="495"/>
      <c r="DL28" s="495"/>
      <c r="DM28" s="495"/>
      <c r="DN28" s="495"/>
      <c r="DO28" s="495"/>
      <c r="DP28" s="495"/>
      <c r="DQ28" s="495"/>
      <c r="DR28" s="495"/>
      <c r="DS28" s="495"/>
      <c r="DT28" s="495"/>
      <c r="DU28" s="495"/>
      <c r="DV28" s="495"/>
      <c r="DW28" s="495"/>
      <c r="DX28" s="495"/>
      <c r="DY28" s="495"/>
      <c r="DZ28" s="495"/>
      <c r="EA28" s="495"/>
      <c r="EB28" s="495"/>
      <c r="EC28" s="495"/>
      <c r="ED28" s="495"/>
      <c r="EE28" s="495"/>
      <c r="EF28" s="495"/>
      <c r="EG28" s="495"/>
      <c r="EH28" s="495"/>
      <c r="EI28" s="495"/>
      <c r="EJ28" s="495"/>
      <c r="EK28" s="495"/>
      <c r="EL28" s="495"/>
      <c r="EM28" s="495"/>
      <c r="EN28" s="495"/>
      <c r="EO28" s="495"/>
      <c r="EP28" s="495"/>
      <c r="EQ28" s="495"/>
      <c r="ER28" s="495"/>
      <c r="ES28" s="495"/>
      <c r="ET28" s="495"/>
      <c r="EU28" s="495"/>
      <c r="EV28" s="495"/>
      <c r="EW28" s="495"/>
      <c r="EX28" s="495"/>
      <c r="EY28" s="495"/>
      <c r="EZ28" s="495"/>
      <c r="FA28" s="495"/>
      <c r="FB28" s="495"/>
      <c r="FC28" s="495"/>
      <c r="FD28" s="495"/>
      <c r="FE28" s="495"/>
      <c r="FF28" s="495"/>
      <c r="FG28" s="495"/>
      <c r="FH28" s="495"/>
      <c r="FI28" s="495"/>
      <c r="FJ28" s="495"/>
      <c r="FK28" s="495"/>
      <c r="FL28" s="495"/>
      <c r="FM28" s="495"/>
      <c r="FN28" s="495"/>
      <c r="FO28" s="495"/>
      <c r="FP28" s="495"/>
      <c r="FQ28" s="495"/>
      <c r="FR28" s="495"/>
      <c r="FS28" s="495"/>
      <c r="FT28" s="495"/>
      <c r="FU28" s="495"/>
      <c r="FV28" s="495"/>
      <c r="FW28" s="495"/>
      <c r="FX28" s="495"/>
      <c r="FY28" s="495"/>
      <c r="FZ28" s="495"/>
      <c r="GA28" s="495"/>
      <c r="GB28" s="495"/>
      <c r="GC28" s="495"/>
      <c r="GD28" s="495"/>
      <c r="GE28" s="495"/>
      <c r="GF28" s="495"/>
      <c r="GG28" s="495"/>
    </row>
    <row r="29" spans="1:189">
      <c r="A29" s="6" t="e">
        <f>#REF!</f>
        <v>#REF!</v>
      </c>
      <c r="B29" s="6" t="e">
        <f>#REF!</f>
        <v>#REF!</v>
      </c>
      <c r="C29" s="7"/>
      <c r="D29" s="74"/>
      <c r="E29" s="63"/>
      <c r="F29" s="63"/>
      <c r="I29" s="262">
        <f>11800*4</f>
        <v>47200</v>
      </c>
    </row>
    <row r="30" spans="1:189" ht="15.75">
      <c r="A30" s="22"/>
      <c r="B30" s="31"/>
      <c r="C30" s="32" t="e">
        <f>#REF!</f>
        <v>#REF!</v>
      </c>
      <c r="D30" s="237">
        <v>9</v>
      </c>
      <c r="E30" s="107" t="e">
        <f>#REF!</f>
        <v>#REF!</v>
      </c>
      <c r="F30" s="64" t="e">
        <f>+D30*E30</f>
        <v>#REF!</v>
      </c>
    </row>
    <row r="31" spans="1:189" s="205" customFormat="1" ht="21.75" customHeight="1">
      <c r="A31" s="181" t="s">
        <v>201</v>
      </c>
      <c r="B31" s="159" t="s">
        <v>202</v>
      </c>
      <c r="C31" s="160"/>
      <c r="D31" s="213"/>
      <c r="E31" s="204"/>
      <c r="F31" s="204"/>
      <c r="H31" s="258"/>
      <c r="I31" s="264"/>
      <c r="J31" s="258"/>
    </row>
    <row r="32" spans="1:189" s="205" customFormat="1" ht="21.75" customHeight="1">
      <c r="A32" s="183"/>
      <c r="B32" s="318"/>
      <c r="C32" s="160" t="s">
        <v>27</v>
      </c>
      <c r="D32" s="237">
        <v>12</v>
      </c>
      <c r="E32" s="185">
        <v>316210</v>
      </c>
      <c r="F32" s="208">
        <f>+D32*E32</f>
        <v>3794520</v>
      </c>
      <c r="H32" s="258">
        <f>E32*1.1</f>
        <v>347831</v>
      </c>
      <c r="I32" s="264">
        <v>1.05</v>
      </c>
      <c r="J32" s="258">
        <f t="shared" ref="J32:J37" si="0">H32*I32</f>
        <v>365222.55</v>
      </c>
    </row>
    <row r="33" spans="1:189" s="225" customFormat="1" ht="21.75" customHeight="1">
      <c r="A33" s="41">
        <v>103</v>
      </c>
      <c r="B33" s="125" t="s">
        <v>28</v>
      </c>
      <c r="C33" s="317"/>
      <c r="D33" s="315"/>
      <c r="E33" s="109"/>
      <c r="F33" s="63"/>
      <c r="H33" s="259"/>
      <c r="I33" s="264">
        <v>1.05</v>
      </c>
      <c r="J33" s="258">
        <f t="shared" si="0"/>
        <v>0</v>
      </c>
      <c r="K33" s="226"/>
      <c r="L33" s="226"/>
      <c r="M33" s="226"/>
      <c r="N33" s="226"/>
      <c r="O33" s="226"/>
      <c r="P33" s="226"/>
      <c r="Q33" s="226"/>
      <c r="R33" s="226"/>
      <c r="S33" s="226"/>
      <c r="T33" s="226"/>
      <c r="U33" s="226"/>
      <c r="V33" s="226"/>
      <c r="W33" s="226"/>
      <c r="X33" s="226"/>
      <c r="Y33" s="226"/>
      <c r="Z33" s="226"/>
      <c r="AA33" s="226"/>
      <c r="AB33" s="226"/>
      <c r="AC33" s="226"/>
      <c r="AD33" s="226"/>
      <c r="AE33" s="226"/>
      <c r="AF33" s="226"/>
      <c r="AG33" s="226"/>
      <c r="AH33" s="226"/>
      <c r="AI33" s="226"/>
      <c r="AJ33" s="226"/>
      <c r="AK33" s="226"/>
      <c r="AL33" s="226"/>
      <c r="AM33" s="226"/>
      <c r="AN33" s="226"/>
      <c r="AO33" s="226"/>
      <c r="AP33" s="226"/>
      <c r="AQ33" s="226"/>
      <c r="AR33" s="226"/>
      <c r="AS33" s="226"/>
      <c r="AT33" s="226"/>
      <c r="AU33" s="226"/>
      <c r="AV33" s="226"/>
      <c r="AW33" s="226"/>
      <c r="AX33" s="226"/>
      <c r="AY33" s="226"/>
      <c r="AZ33" s="226"/>
      <c r="BA33" s="226"/>
      <c r="BB33" s="226"/>
      <c r="BC33" s="226"/>
      <c r="BD33" s="226"/>
      <c r="BE33" s="226"/>
      <c r="BF33" s="226"/>
      <c r="BG33" s="226"/>
      <c r="BH33" s="226"/>
      <c r="BI33" s="226"/>
      <c r="BJ33" s="226"/>
      <c r="BK33" s="226"/>
      <c r="BL33" s="226"/>
      <c r="BM33" s="226"/>
      <c r="BN33" s="226"/>
      <c r="BO33" s="226"/>
      <c r="BP33" s="226"/>
      <c r="BQ33" s="226"/>
      <c r="BR33" s="226"/>
      <c r="BS33" s="226"/>
      <c r="BT33" s="226"/>
      <c r="BU33" s="226"/>
      <c r="BV33" s="226"/>
      <c r="BW33" s="226"/>
      <c r="BX33" s="226"/>
      <c r="BY33" s="226"/>
      <c r="BZ33" s="226"/>
      <c r="CA33" s="226"/>
      <c r="CB33" s="226"/>
      <c r="CC33" s="226"/>
      <c r="CD33" s="226"/>
      <c r="CE33" s="226"/>
      <c r="CF33" s="226"/>
      <c r="CG33" s="226"/>
      <c r="CH33" s="226"/>
      <c r="CI33" s="226"/>
      <c r="CJ33" s="226"/>
      <c r="CK33" s="226"/>
      <c r="CL33" s="226"/>
      <c r="CM33" s="226"/>
      <c r="CN33" s="226"/>
      <c r="CO33" s="226"/>
      <c r="CP33" s="226"/>
      <c r="CQ33" s="226"/>
      <c r="CR33" s="226"/>
      <c r="CS33" s="226"/>
      <c r="CT33" s="226"/>
      <c r="CU33" s="226"/>
      <c r="CV33" s="226"/>
      <c r="CW33" s="226"/>
      <c r="CX33" s="226"/>
      <c r="CY33" s="226"/>
      <c r="CZ33" s="226"/>
      <c r="DA33" s="226"/>
      <c r="DB33" s="226"/>
      <c r="DC33" s="226"/>
      <c r="DD33" s="226"/>
      <c r="DE33" s="226"/>
      <c r="DF33" s="226"/>
      <c r="DG33" s="226"/>
      <c r="DH33" s="226"/>
      <c r="DI33" s="226"/>
      <c r="DJ33" s="226"/>
      <c r="DK33" s="226"/>
      <c r="DL33" s="226"/>
      <c r="DM33" s="226"/>
      <c r="DN33" s="226"/>
      <c r="DO33" s="226"/>
      <c r="DP33" s="226"/>
      <c r="DQ33" s="226"/>
      <c r="DR33" s="226"/>
      <c r="DS33" s="226"/>
      <c r="DT33" s="226"/>
      <c r="DU33" s="226"/>
      <c r="DV33" s="226"/>
      <c r="DW33" s="226"/>
      <c r="DX33" s="226"/>
      <c r="DY33" s="226"/>
      <c r="DZ33" s="226"/>
      <c r="EA33" s="226"/>
      <c r="EB33" s="226"/>
      <c r="EC33" s="226"/>
      <c r="ED33" s="226"/>
      <c r="EE33" s="226"/>
      <c r="EF33" s="226"/>
      <c r="EG33" s="226"/>
      <c r="EH33" s="226"/>
      <c r="EI33" s="226"/>
      <c r="EJ33" s="226"/>
      <c r="EK33" s="226"/>
      <c r="EL33" s="226"/>
      <c r="EM33" s="226"/>
      <c r="EN33" s="226"/>
      <c r="EO33" s="226"/>
      <c r="EP33" s="226"/>
      <c r="EQ33" s="226"/>
      <c r="ER33" s="226"/>
      <c r="ES33" s="226"/>
      <c r="ET33" s="226"/>
      <c r="EU33" s="226"/>
      <c r="EV33" s="226"/>
      <c r="EW33" s="226"/>
      <c r="EX33" s="226"/>
      <c r="EY33" s="226"/>
      <c r="EZ33" s="226"/>
      <c r="FA33" s="226"/>
      <c r="FB33" s="226"/>
      <c r="FC33" s="226"/>
      <c r="FD33" s="226"/>
      <c r="FE33" s="226"/>
      <c r="FF33" s="226"/>
      <c r="FG33" s="226"/>
      <c r="FH33" s="226"/>
      <c r="FI33" s="226"/>
      <c r="FJ33" s="226"/>
      <c r="FK33" s="226"/>
      <c r="FL33" s="226"/>
      <c r="FM33" s="226"/>
      <c r="FN33" s="226"/>
      <c r="FO33" s="226"/>
      <c r="FP33" s="226"/>
      <c r="FQ33" s="226"/>
      <c r="FR33" s="226"/>
      <c r="FS33" s="226"/>
      <c r="FT33" s="226"/>
      <c r="FU33" s="226"/>
      <c r="FV33" s="226"/>
      <c r="FW33" s="226"/>
      <c r="FX33" s="226"/>
      <c r="FY33" s="226"/>
      <c r="FZ33" s="226"/>
      <c r="GA33" s="226"/>
      <c r="GB33" s="226"/>
      <c r="GC33" s="226"/>
      <c r="GD33" s="226"/>
      <c r="GE33" s="226"/>
      <c r="GF33" s="226"/>
      <c r="GG33" s="226"/>
    </row>
    <row r="34" spans="1:189" ht="21.75" customHeight="1">
      <c r="A34" s="17" t="s">
        <v>29</v>
      </c>
      <c r="B34" s="12" t="s">
        <v>30</v>
      </c>
      <c r="C34" s="235" t="s">
        <v>27</v>
      </c>
      <c r="D34" s="316">
        <f>J34</f>
        <v>57.128400000000006</v>
      </c>
      <c r="E34" s="108" t="e">
        <f>#REF!</f>
        <v>#REF!</v>
      </c>
      <c r="F34" s="65" t="e">
        <f>+D34*E34</f>
        <v>#REF!</v>
      </c>
      <c r="H34" s="255">
        <f>20%*H25/50</f>
        <v>54.408000000000001</v>
      </c>
      <c r="I34" s="264">
        <v>1.05</v>
      </c>
      <c r="J34" s="258">
        <f t="shared" si="0"/>
        <v>57.128400000000006</v>
      </c>
    </row>
    <row r="35" spans="1:189" ht="21.75" customHeight="1">
      <c r="A35" s="17" t="s">
        <v>31</v>
      </c>
      <c r="B35" s="12" t="s">
        <v>32</v>
      </c>
      <c r="C35" s="153" t="s">
        <v>27</v>
      </c>
      <c r="D35" s="316">
        <f>J35</f>
        <v>57.128400000000006</v>
      </c>
      <c r="E35" s="108" t="e">
        <f>E34</f>
        <v>#REF!</v>
      </c>
      <c r="F35" s="65" t="e">
        <f>+D35*E35</f>
        <v>#REF!</v>
      </c>
      <c r="H35" s="255">
        <f>20%*H25/50</f>
        <v>54.408000000000001</v>
      </c>
      <c r="I35" s="264">
        <v>1.05</v>
      </c>
      <c r="J35" s="258">
        <f t="shared" si="0"/>
        <v>57.128400000000006</v>
      </c>
    </row>
    <row r="36" spans="1:189" ht="21.75" customHeight="1">
      <c r="A36" s="17" t="s">
        <v>227</v>
      </c>
      <c r="B36" s="12" t="s">
        <v>33</v>
      </c>
      <c r="C36" s="153" t="s">
        <v>27</v>
      </c>
      <c r="D36" s="316">
        <f>J36</f>
        <v>114.25680000000001</v>
      </c>
      <c r="E36" s="108" t="e">
        <f>#REF!</f>
        <v>#REF!</v>
      </c>
      <c r="F36" s="65" t="e">
        <f>+D36*E36</f>
        <v>#REF!</v>
      </c>
      <c r="H36" s="255">
        <f>20%*H25/25</f>
        <v>108.816</v>
      </c>
      <c r="I36" s="264">
        <v>1.05</v>
      </c>
      <c r="J36" s="258">
        <f t="shared" si="0"/>
        <v>114.25680000000001</v>
      </c>
    </row>
    <row r="37" spans="1:189" ht="21.75" customHeight="1">
      <c r="A37" s="36" t="s">
        <v>259</v>
      </c>
      <c r="B37" s="9" t="s">
        <v>260</v>
      </c>
      <c r="C37" s="113" t="s">
        <v>27</v>
      </c>
      <c r="D37" s="301">
        <f>J37</f>
        <v>57.128400000000006</v>
      </c>
      <c r="E37" s="107" t="e">
        <f>#REF!</f>
        <v>#REF!</v>
      </c>
      <c r="F37" s="64" t="e">
        <f>+D37*E37</f>
        <v>#REF!</v>
      </c>
      <c r="H37" s="255">
        <f>10%*H25/25</f>
        <v>54.408000000000001</v>
      </c>
      <c r="I37" s="264">
        <v>1.05</v>
      </c>
      <c r="J37" s="258">
        <f t="shared" si="0"/>
        <v>57.128400000000006</v>
      </c>
    </row>
    <row r="38" spans="1:189" ht="18.75" customHeight="1">
      <c r="A38" s="17">
        <v>104</v>
      </c>
      <c r="B38" s="6" t="s">
        <v>34</v>
      </c>
      <c r="C38" s="108"/>
      <c r="D38" s="161"/>
      <c r="E38" s="109"/>
      <c r="F38" s="65"/>
    </row>
    <row r="39" spans="1:189" ht="16.5" customHeight="1">
      <c r="A39" s="36"/>
      <c r="B39" s="31"/>
      <c r="C39" s="113" t="s">
        <v>1</v>
      </c>
      <c r="D39" s="107">
        <f>J39</f>
        <v>1193.325</v>
      </c>
      <c r="E39" s="107" t="e">
        <f>#REF!</f>
        <v>#REF!</v>
      </c>
      <c r="F39" s="64" t="e">
        <f>+D39*E39</f>
        <v>#REF!</v>
      </c>
      <c r="H39" s="255">
        <f>F17*10%</f>
        <v>1136.5</v>
      </c>
      <c r="I39" s="262">
        <f>1.05</f>
        <v>1.05</v>
      </c>
      <c r="J39" s="255">
        <f>H39*I39</f>
        <v>1193.325</v>
      </c>
    </row>
    <row r="40" spans="1:189" ht="21.75" customHeight="1">
      <c r="A40" s="17">
        <v>105</v>
      </c>
      <c r="B40" s="6" t="s">
        <v>35</v>
      </c>
      <c r="C40" s="280"/>
      <c r="D40" s="109"/>
      <c r="E40" s="109"/>
      <c r="F40" s="65"/>
    </row>
    <row r="41" spans="1:189" ht="16.5" customHeight="1">
      <c r="A41" s="36"/>
      <c r="B41" s="31"/>
      <c r="C41" s="113" t="s">
        <v>25</v>
      </c>
      <c r="D41" s="107">
        <v>0</v>
      </c>
      <c r="E41" s="107">
        <v>500000000</v>
      </c>
      <c r="F41" s="64">
        <f>+D41*E41</f>
        <v>0</v>
      </c>
    </row>
    <row r="42" spans="1:189" ht="21.75" customHeight="1">
      <c r="A42" s="17">
        <v>106</v>
      </c>
      <c r="B42" s="6" t="s">
        <v>36</v>
      </c>
      <c r="C42" s="280"/>
      <c r="D42" s="109"/>
      <c r="E42" s="109"/>
      <c r="F42" s="65"/>
    </row>
    <row r="43" spans="1:189" ht="15" customHeight="1">
      <c r="A43" s="36"/>
      <c r="B43" s="31"/>
      <c r="C43" s="113" t="s">
        <v>25</v>
      </c>
      <c r="D43" s="107">
        <v>1</v>
      </c>
      <c r="E43" s="107">
        <v>41258620</v>
      </c>
      <c r="F43" s="64">
        <f>+D43*E43</f>
        <v>41258620</v>
      </c>
    </row>
    <row r="44" spans="1:189" ht="28.5" customHeight="1">
      <c r="C44" s="95"/>
      <c r="D44" s="92"/>
      <c r="E44" s="93" t="s">
        <v>106</v>
      </c>
      <c r="F44" s="94" t="e">
        <f>SUM(F29:F43)</f>
        <v>#REF!</v>
      </c>
    </row>
    <row r="46" spans="1:189" ht="27" customHeight="1">
      <c r="C46" s="95"/>
      <c r="D46" s="92"/>
      <c r="E46" s="93" t="s">
        <v>107</v>
      </c>
      <c r="F46" s="94" t="e">
        <f>+F26+F44</f>
        <v>#REF!</v>
      </c>
      <c r="I46" s="262">
        <v>47200</v>
      </c>
    </row>
    <row r="47" spans="1:189" s="114" customFormat="1" ht="27" customHeight="1">
      <c r="C47" s="115"/>
      <c r="D47" s="116"/>
      <c r="E47" s="117"/>
      <c r="F47" s="118"/>
      <c r="H47" s="257"/>
      <c r="I47" s="263">
        <f>3540*5</f>
        <v>17700</v>
      </c>
      <c r="J47" s="257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29"/>
      <c r="W47" s="129"/>
      <c r="X47" s="129"/>
      <c r="Y47" s="129"/>
      <c r="Z47" s="129"/>
      <c r="AA47" s="129"/>
      <c r="AB47" s="129"/>
      <c r="AC47" s="129"/>
      <c r="AD47" s="129"/>
      <c r="AE47" s="129"/>
      <c r="AF47" s="129"/>
      <c r="AG47" s="129"/>
      <c r="AH47" s="129"/>
      <c r="AI47" s="129"/>
      <c r="AJ47" s="129"/>
      <c r="AK47" s="129"/>
      <c r="AL47" s="129"/>
      <c r="AM47" s="129"/>
      <c r="AN47" s="129"/>
      <c r="AO47" s="129"/>
      <c r="AP47" s="129"/>
      <c r="AQ47" s="129"/>
      <c r="AR47" s="129"/>
      <c r="AS47" s="129"/>
      <c r="AT47" s="129"/>
      <c r="AU47" s="129"/>
      <c r="AV47" s="129"/>
      <c r="AW47" s="129"/>
      <c r="AX47" s="129"/>
      <c r="AY47" s="129"/>
      <c r="AZ47" s="129"/>
      <c r="BA47" s="129"/>
      <c r="BB47" s="129"/>
      <c r="BC47" s="129"/>
      <c r="BD47" s="129"/>
      <c r="BE47" s="129"/>
      <c r="BF47" s="129"/>
      <c r="BG47" s="129"/>
      <c r="BH47" s="129"/>
      <c r="BI47" s="129"/>
      <c r="BJ47" s="129"/>
      <c r="BK47" s="129"/>
      <c r="BL47" s="129"/>
      <c r="BM47" s="129"/>
      <c r="BN47" s="129"/>
      <c r="BO47" s="129"/>
      <c r="BP47" s="129"/>
      <c r="BQ47" s="129"/>
      <c r="BR47" s="129"/>
      <c r="BS47" s="129"/>
      <c r="BT47" s="129"/>
      <c r="BU47" s="129"/>
      <c r="BV47" s="129"/>
      <c r="BW47" s="129"/>
      <c r="BX47" s="129"/>
      <c r="BY47" s="129"/>
      <c r="BZ47" s="129"/>
      <c r="CA47" s="129"/>
      <c r="CB47" s="129"/>
      <c r="CC47" s="129"/>
      <c r="CD47" s="129"/>
      <c r="CE47" s="129"/>
      <c r="CF47" s="129"/>
      <c r="CG47" s="129"/>
      <c r="CH47" s="129"/>
      <c r="CI47" s="129"/>
      <c r="CJ47" s="129"/>
      <c r="CK47" s="129"/>
      <c r="CL47" s="129"/>
      <c r="CM47" s="129"/>
      <c r="CN47" s="129"/>
      <c r="CO47" s="129"/>
      <c r="CP47" s="129"/>
      <c r="CQ47" s="129"/>
      <c r="CR47" s="129"/>
      <c r="CS47" s="129"/>
      <c r="CT47" s="129"/>
      <c r="CU47" s="129"/>
      <c r="CV47" s="129"/>
      <c r="CW47" s="129"/>
      <c r="CX47" s="129"/>
      <c r="CY47" s="129"/>
      <c r="CZ47" s="129"/>
      <c r="DA47" s="129"/>
      <c r="DB47" s="129"/>
      <c r="DC47" s="129"/>
      <c r="DD47" s="129"/>
      <c r="DE47" s="129"/>
      <c r="DF47" s="129"/>
      <c r="DG47" s="129"/>
      <c r="DH47" s="129"/>
      <c r="DI47" s="129"/>
      <c r="DJ47" s="129"/>
      <c r="DK47" s="129"/>
      <c r="DL47" s="129"/>
      <c r="DM47" s="129"/>
      <c r="DN47" s="129"/>
      <c r="DO47" s="129"/>
      <c r="DP47" s="129"/>
      <c r="DQ47" s="129"/>
      <c r="DR47" s="129"/>
      <c r="DS47" s="129"/>
      <c r="DT47" s="129"/>
      <c r="DU47" s="129"/>
      <c r="DV47" s="129"/>
      <c r="DW47" s="129"/>
      <c r="DX47" s="129"/>
      <c r="DY47" s="129"/>
      <c r="DZ47" s="129"/>
      <c r="EA47" s="129"/>
      <c r="EB47" s="129"/>
      <c r="EC47" s="129"/>
      <c r="ED47" s="129"/>
      <c r="EE47" s="129"/>
      <c r="EF47" s="129"/>
      <c r="EG47" s="129"/>
      <c r="EH47" s="129"/>
      <c r="EI47" s="129"/>
      <c r="EJ47" s="129"/>
      <c r="EK47" s="129"/>
      <c r="EL47" s="129"/>
      <c r="EM47" s="129"/>
      <c r="EN47" s="129"/>
      <c r="EO47" s="129"/>
      <c r="EP47" s="129"/>
      <c r="EQ47" s="129"/>
      <c r="ER47" s="129"/>
      <c r="ES47" s="129"/>
      <c r="ET47" s="129"/>
      <c r="EU47" s="129"/>
      <c r="EV47" s="129"/>
      <c r="EW47" s="129"/>
      <c r="EX47" s="129"/>
      <c r="EY47" s="129"/>
      <c r="EZ47" s="129"/>
      <c r="FA47" s="129"/>
      <c r="FB47" s="129"/>
      <c r="FC47" s="129"/>
      <c r="FD47" s="129"/>
      <c r="FE47" s="129"/>
      <c r="FF47" s="129"/>
      <c r="FG47" s="129"/>
      <c r="FH47" s="129"/>
      <c r="FI47" s="129"/>
      <c r="FJ47" s="129"/>
      <c r="FK47" s="129"/>
      <c r="FL47" s="129"/>
      <c r="FM47" s="129"/>
      <c r="FN47" s="129"/>
      <c r="FO47" s="129"/>
      <c r="FP47" s="129"/>
      <c r="FQ47" s="129"/>
      <c r="FR47" s="129"/>
      <c r="FS47" s="129"/>
      <c r="FT47" s="129"/>
      <c r="FU47" s="129"/>
      <c r="FV47" s="129"/>
      <c r="FW47" s="129"/>
      <c r="FX47" s="129"/>
      <c r="FY47" s="129"/>
      <c r="FZ47" s="129"/>
      <c r="GA47" s="129"/>
      <c r="GB47" s="129"/>
      <c r="GC47" s="129"/>
      <c r="GD47" s="129"/>
      <c r="GE47" s="129"/>
      <c r="GF47" s="129"/>
      <c r="GG47" s="129"/>
    </row>
    <row r="48" spans="1:189" ht="8.25" customHeight="1">
      <c r="A48" s="10"/>
      <c r="B48" s="12"/>
      <c r="C48" s="51"/>
      <c r="D48" s="76"/>
      <c r="E48" s="66"/>
      <c r="F48" s="66"/>
    </row>
    <row r="49" spans="1:189" ht="23.25" customHeight="1">
      <c r="A49" s="1" t="s">
        <v>41</v>
      </c>
      <c r="B49" s="3"/>
      <c r="C49" s="52" t="s">
        <v>98</v>
      </c>
      <c r="D49" s="86" t="s">
        <v>99</v>
      </c>
      <c r="E49" s="86" t="s">
        <v>100</v>
      </c>
      <c r="F49" s="86" t="s">
        <v>114</v>
      </c>
    </row>
    <row r="50" spans="1:189" ht="15.95" customHeight="1">
      <c r="A50" s="4" t="s">
        <v>2</v>
      </c>
      <c r="B50" s="14" t="s">
        <v>38</v>
      </c>
      <c r="C50" s="7"/>
      <c r="D50" s="74"/>
      <c r="E50" s="109"/>
      <c r="F50" s="65"/>
    </row>
    <row r="51" spans="1:189" ht="15.95" customHeight="1">
      <c r="A51" s="8"/>
      <c r="B51" s="9"/>
      <c r="C51" s="53" t="s">
        <v>19</v>
      </c>
      <c r="D51" s="77">
        <v>1</v>
      </c>
      <c r="E51" s="107">
        <f>H51</f>
        <v>49531000</v>
      </c>
      <c r="F51" s="64">
        <f>+D51*E51</f>
        <v>49531000</v>
      </c>
      <c r="H51" s="255">
        <f>200*(F13*G13+F14*G14+F15*G15+F16*G16+F12*G12)</f>
        <v>49531000</v>
      </c>
    </row>
    <row r="52" spans="1:189" ht="15.95" customHeight="1">
      <c r="A52" s="4" t="s">
        <v>3</v>
      </c>
      <c r="B52" s="14" t="s">
        <v>37</v>
      </c>
      <c r="C52" s="54"/>
      <c r="D52" s="78"/>
      <c r="E52" s="109"/>
      <c r="F52" s="65"/>
    </row>
    <row r="53" spans="1:189" ht="15.95" customHeight="1">
      <c r="A53" s="4" t="s">
        <v>39</v>
      </c>
      <c r="B53" s="193" t="s">
        <v>40</v>
      </c>
      <c r="C53" s="282" t="s">
        <v>94</v>
      </c>
      <c r="D53" s="299">
        <f>J53</f>
        <v>166083.75</v>
      </c>
      <c r="E53" s="108" t="e">
        <f>#REF!</f>
        <v>#REF!</v>
      </c>
      <c r="F53" s="65" t="e">
        <f>+D53*E53</f>
        <v>#REF!</v>
      </c>
      <c r="H53" s="255">
        <f>F13*G13+F14*G14+F15*G15+F16*G16</f>
        <v>158175</v>
      </c>
      <c r="I53" s="262">
        <v>1.05</v>
      </c>
      <c r="J53" s="255">
        <f>H53*I53</f>
        <v>166083.75</v>
      </c>
    </row>
    <row r="54" spans="1:189" s="198" customFormat="1" ht="15.95" customHeight="1">
      <c r="A54" s="342" t="s">
        <v>127</v>
      </c>
      <c r="B54" s="344" t="s">
        <v>128</v>
      </c>
      <c r="C54" s="345" t="s">
        <v>377</v>
      </c>
      <c r="D54" s="346">
        <f>J54</f>
        <v>257726.70000000004</v>
      </c>
      <c r="E54" s="201" t="e">
        <f>#REF!</f>
        <v>#REF!</v>
      </c>
      <c r="F54" s="347" t="e">
        <f>+D54*E54</f>
        <v>#REF!</v>
      </c>
      <c r="H54" s="256">
        <f>(F12*0.5+F11+870+1890)*G12*1.1</f>
        <v>245454.00000000003</v>
      </c>
      <c r="I54" s="330">
        <v>1.05</v>
      </c>
      <c r="J54" s="256">
        <f>H54*I54</f>
        <v>257726.70000000004</v>
      </c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  <c r="DQ54" s="199"/>
      <c r="DR54" s="199"/>
      <c r="DS54" s="199"/>
      <c r="DT54" s="199"/>
      <c r="DU54" s="199"/>
      <c r="DV54" s="199"/>
      <c r="DW54" s="199"/>
      <c r="DX54" s="199"/>
      <c r="DY54" s="199"/>
      <c r="DZ54" s="199"/>
      <c r="EA54" s="199"/>
      <c r="EB54" s="199"/>
      <c r="EC54" s="199"/>
      <c r="ED54" s="199"/>
      <c r="EE54" s="199"/>
      <c r="EF54" s="199"/>
      <c r="EG54" s="199"/>
      <c r="EH54" s="199"/>
      <c r="EI54" s="199"/>
      <c r="EJ54" s="199"/>
      <c r="EK54" s="199"/>
      <c r="EL54" s="199"/>
      <c r="EM54" s="199"/>
      <c r="EN54" s="199"/>
      <c r="EO54" s="199"/>
      <c r="EP54" s="199"/>
      <c r="EQ54" s="199"/>
      <c r="ER54" s="199"/>
      <c r="ES54" s="199"/>
      <c r="ET54" s="199"/>
      <c r="EU54" s="199"/>
      <c r="EV54" s="199"/>
      <c r="EW54" s="199"/>
      <c r="EX54" s="199"/>
      <c r="EY54" s="199"/>
      <c r="EZ54" s="199"/>
      <c r="FA54" s="199"/>
      <c r="FB54" s="199"/>
      <c r="FC54" s="199"/>
      <c r="FD54" s="199"/>
      <c r="FE54" s="199"/>
      <c r="FF54" s="199"/>
      <c r="FG54" s="199"/>
      <c r="FH54" s="199"/>
      <c r="FI54" s="199"/>
      <c r="FJ54" s="199"/>
      <c r="FK54" s="199"/>
      <c r="FL54" s="199"/>
      <c r="FM54" s="199"/>
      <c r="FN54" s="199"/>
      <c r="FO54" s="199"/>
      <c r="FP54" s="199"/>
      <c r="FQ54" s="199"/>
      <c r="FR54" s="199"/>
      <c r="FS54" s="199"/>
      <c r="FT54" s="199"/>
      <c r="FU54" s="199"/>
      <c r="FV54" s="199"/>
      <c r="FW54" s="199"/>
      <c r="FX54" s="199"/>
      <c r="FY54" s="199"/>
      <c r="FZ54" s="199"/>
      <c r="GA54" s="199"/>
      <c r="GB54" s="199"/>
      <c r="GC54" s="199"/>
      <c r="GD54" s="199"/>
      <c r="GE54" s="199"/>
      <c r="GF54" s="199"/>
      <c r="GG54" s="199"/>
    </row>
    <row r="55" spans="1:189" ht="15.95" customHeight="1">
      <c r="A55" s="17">
        <v>203</v>
      </c>
      <c r="B55" s="14" t="s">
        <v>42</v>
      </c>
      <c r="C55" s="54"/>
      <c r="D55" s="78"/>
      <c r="E55" s="109"/>
      <c r="F55" s="63"/>
    </row>
    <row r="56" spans="1:189" ht="15.95" customHeight="1">
      <c r="A56" s="22"/>
      <c r="B56" s="38"/>
      <c r="C56" s="53" t="s">
        <v>27</v>
      </c>
      <c r="D56" s="77">
        <f>H56</f>
        <v>300</v>
      </c>
      <c r="E56" s="107" t="e">
        <f>#REF!</f>
        <v>#REF!</v>
      </c>
      <c r="F56" s="64" t="e">
        <f>+D56*E56</f>
        <v>#REF!</v>
      </c>
      <c r="H56" s="255">
        <f>300</f>
        <v>300</v>
      </c>
    </row>
    <row r="57" spans="1:189" ht="15.95" customHeight="1">
      <c r="A57" s="87" t="s">
        <v>4</v>
      </c>
      <c r="B57" s="125" t="s">
        <v>43</v>
      </c>
      <c r="C57" s="57"/>
      <c r="D57" s="81"/>
      <c r="E57" s="109"/>
      <c r="F57" s="63"/>
    </row>
    <row r="58" spans="1:189" ht="15.95" customHeight="1">
      <c r="A58" s="4" t="s">
        <v>44</v>
      </c>
      <c r="B58" s="123" t="s">
        <v>46</v>
      </c>
      <c r="C58" s="272" t="s">
        <v>251</v>
      </c>
      <c r="D58" s="275">
        <f>J58</f>
        <v>14.282100000000002</v>
      </c>
      <c r="E58" s="108" t="e">
        <f>#REF!</f>
        <v>#REF!</v>
      </c>
      <c r="F58" s="65" t="e">
        <f>+D58*E58</f>
        <v>#REF!</v>
      </c>
      <c r="H58" s="262">
        <f>(F17+F12)/1000</f>
        <v>13.602</v>
      </c>
      <c r="I58" s="262">
        <v>1.05</v>
      </c>
      <c r="J58" s="277">
        <f>H58*I58</f>
        <v>14.282100000000002</v>
      </c>
    </row>
    <row r="59" spans="1:189" s="129" customFormat="1" ht="15.95" customHeight="1">
      <c r="A59" s="4" t="s">
        <v>45</v>
      </c>
      <c r="B59" s="123" t="s">
        <v>47</v>
      </c>
      <c r="C59" s="272" t="s">
        <v>251</v>
      </c>
      <c r="D59" s="275">
        <f>J59</f>
        <v>14.282100000000002</v>
      </c>
      <c r="E59" s="108" t="e">
        <f>#REF!</f>
        <v>#REF!</v>
      </c>
      <c r="F59" s="65" t="e">
        <f>+D59*E59</f>
        <v>#REF!</v>
      </c>
      <c r="G59" s="142"/>
      <c r="H59" s="262">
        <f>H58</f>
        <v>13.602</v>
      </c>
      <c r="I59" s="262">
        <v>1.05</v>
      </c>
      <c r="J59" s="277">
        <f>H59*I59</f>
        <v>14.282100000000002</v>
      </c>
    </row>
    <row r="60" spans="1:189" s="129" customFormat="1" ht="15.95" customHeight="1">
      <c r="A60" s="4" t="s">
        <v>48</v>
      </c>
      <c r="B60" s="123" t="s">
        <v>204</v>
      </c>
      <c r="C60" s="272" t="s">
        <v>205</v>
      </c>
      <c r="D60" s="275">
        <f>J60</f>
        <v>588.5</v>
      </c>
      <c r="E60" s="108" t="e">
        <f>#REF!</f>
        <v>#REF!</v>
      </c>
      <c r="F60" s="65" t="e">
        <f>+D60*E60</f>
        <v>#REF!</v>
      </c>
      <c r="G60" s="142"/>
      <c r="H60" s="262">
        <f>147+85+303</f>
        <v>535</v>
      </c>
      <c r="I60" s="262">
        <v>1.1000000000000001</v>
      </c>
      <c r="J60" s="277">
        <f>H60*I60</f>
        <v>588.5</v>
      </c>
    </row>
    <row r="61" spans="1:189" s="129" customFormat="1" ht="15.95" customHeight="1">
      <c r="A61" s="22" t="s">
        <v>203</v>
      </c>
      <c r="B61" s="24" t="s">
        <v>49</v>
      </c>
      <c r="C61" s="168" t="s">
        <v>251</v>
      </c>
      <c r="D61" s="276">
        <f>J61</f>
        <v>14.282100000000002</v>
      </c>
      <c r="E61" s="108" t="e">
        <f>#REF!</f>
        <v>#REF!</v>
      </c>
      <c r="F61" s="64" t="e">
        <f>+D61*E61</f>
        <v>#REF!</v>
      </c>
      <c r="G61" s="142"/>
      <c r="H61" s="262">
        <f>H59</f>
        <v>13.602</v>
      </c>
      <c r="I61" s="262">
        <v>1.05</v>
      </c>
      <c r="J61" s="277">
        <f>H61*I61</f>
        <v>14.282100000000002</v>
      </c>
    </row>
    <row r="62" spans="1:189" s="129" customFormat="1" ht="15.95" customHeight="1">
      <c r="A62" s="17">
        <v>206</v>
      </c>
      <c r="B62" s="14" t="s">
        <v>123</v>
      </c>
      <c r="C62" s="56"/>
      <c r="D62" s="80"/>
      <c r="E62" s="109"/>
      <c r="F62" s="65"/>
      <c r="G62" s="142"/>
      <c r="H62" s="255"/>
      <c r="I62" s="262"/>
      <c r="J62" s="255"/>
    </row>
    <row r="63" spans="1:189" s="129" customFormat="1" ht="15.95" customHeight="1">
      <c r="A63" s="8"/>
      <c r="B63" s="16"/>
      <c r="C63" s="53" t="s">
        <v>94</v>
      </c>
      <c r="D63" s="150">
        <f>J63</f>
        <v>3300.0000000000005</v>
      </c>
      <c r="E63" s="107" t="e">
        <f>#REF!</f>
        <v>#REF!</v>
      </c>
      <c r="F63" s="64" t="e">
        <f>+D63*E63</f>
        <v>#REF!</v>
      </c>
      <c r="G63" s="142"/>
      <c r="H63" s="255">
        <f>10*300</f>
        <v>3000</v>
      </c>
      <c r="I63" s="262">
        <v>1.1000000000000001</v>
      </c>
      <c r="J63" s="255">
        <f>H63*I63</f>
        <v>3300.0000000000005</v>
      </c>
    </row>
    <row r="64" spans="1:189" s="129" customFormat="1" ht="15.95" customHeight="1">
      <c r="A64" s="41" t="s">
        <v>50</v>
      </c>
      <c r="B64" s="43" t="s">
        <v>51</v>
      </c>
      <c r="C64" s="57"/>
      <c r="D64" s="311"/>
      <c r="E64" s="109"/>
      <c r="F64" s="63"/>
      <c r="G64" s="142"/>
      <c r="H64" s="255"/>
      <c r="I64" s="262"/>
      <c r="J64" s="255"/>
    </row>
    <row r="65" spans="1:10" s="129" customFormat="1" ht="15.95" customHeight="1">
      <c r="A65" s="8"/>
      <c r="B65" s="16"/>
      <c r="C65" s="53" t="s">
        <v>1</v>
      </c>
      <c r="D65" s="150">
        <f>J65</f>
        <v>1100</v>
      </c>
      <c r="E65" s="107" t="e">
        <f>#REF!</f>
        <v>#REF!</v>
      </c>
      <c r="F65" s="64" t="e">
        <f>+D65*E65</f>
        <v>#REF!</v>
      </c>
      <c r="G65" s="142"/>
      <c r="H65" s="255">
        <f>1000</f>
        <v>1000</v>
      </c>
      <c r="I65" s="262">
        <v>1.1000000000000001</v>
      </c>
      <c r="J65" s="255">
        <f>H65*I65</f>
        <v>1100</v>
      </c>
    </row>
    <row r="66" spans="1:10" s="129" customFormat="1" ht="15.95" customHeight="1">
      <c r="A66" s="41" t="s">
        <v>52</v>
      </c>
      <c r="B66" s="43" t="s">
        <v>53</v>
      </c>
      <c r="C66" s="57"/>
      <c r="D66" s="81"/>
      <c r="E66" s="109"/>
      <c r="F66" s="63"/>
      <c r="G66" s="142"/>
      <c r="H66" s="255"/>
      <c r="I66" s="262"/>
      <c r="J66" s="255"/>
    </row>
    <row r="67" spans="1:10" s="129" customFormat="1" ht="15.95" customHeight="1">
      <c r="A67" s="17" t="s">
        <v>54</v>
      </c>
      <c r="B67" s="39" t="s">
        <v>97</v>
      </c>
      <c r="C67" s="50" t="s">
        <v>1</v>
      </c>
      <c r="D67" s="83">
        <f>J67</f>
        <v>24840.2</v>
      </c>
      <c r="E67" s="108" t="e">
        <f>#REF!</f>
        <v>#REF!</v>
      </c>
      <c r="F67" s="65" t="e">
        <f>+D67*E67</f>
        <v>#REF!</v>
      </c>
      <c r="G67" s="142"/>
      <c r="H67" s="83">
        <f>150+266+325+420+309+309+82+800+800+992+490+287+287+240+240+367+90+660+127+560+157+560+157+80+302+248+248+392+240+333+335+335+615+502+235+150+192+255+255+384+384+738+738+131+798+150+120+120+460+109+140+594+420+420+466+466+132+538+243+355+355+300+325+166+138</f>
        <v>22582</v>
      </c>
      <c r="I67" s="262">
        <v>1.1000000000000001</v>
      </c>
      <c r="J67" s="255">
        <f>H67*I67</f>
        <v>24840.2</v>
      </c>
    </row>
    <row r="68" spans="1:10" s="129" customFormat="1" ht="15.95" customHeight="1">
      <c r="A68" s="17" t="s">
        <v>56</v>
      </c>
      <c r="B68" s="39" t="s">
        <v>55</v>
      </c>
      <c r="C68" s="50" t="s">
        <v>1</v>
      </c>
      <c r="D68" s="83">
        <f>J68</f>
        <v>2202.2000000000003</v>
      </c>
      <c r="E68" s="108" t="e">
        <f>#REF!</f>
        <v>#REF!</v>
      </c>
      <c r="F68" s="64" t="e">
        <f>+D68*E68</f>
        <v>#REF!</v>
      </c>
      <c r="G68" s="142"/>
      <c r="H68" s="255">
        <f>305+490+1207</f>
        <v>2002</v>
      </c>
      <c r="I68" s="262">
        <v>1.1000000000000001</v>
      </c>
      <c r="J68" s="255">
        <f>H68*I68</f>
        <v>2202.2000000000003</v>
      </c>
    </row>
    <row r="69" spans="1:10" s="129" customFormat="1" ht="15.95" customHeight="1">
      <c r="A69" s="41">
        <v>210</v>
      </c>
      <c r="B69" s="43" t="s">
        <v>57</v>
      </c>
      <c r="C69" s="57"/>
      <c r="D69" s="84"/>
      <c r="E69" s="109"/>
      <c r="F69" s="63"/>
      <c r="G69" s="142"/>
      <c r="H69" s="255"/>
      <c r="I69" s="262"/>
      <c r="J69" s="255"/>
    </row>
    <row r="70" spans="1:10" s="129" customFormat="1" ht="15.95" customHeight="1">
      <c r="A70" s="8"/>
      <c r="B70" s="16"/>
      <c r="C70" s="53" t="s">
        <v>94</v>
      </c>
      <c r="D70" s="150">
        <f>J70</f>
        <v>0</v>
      </c>
      <c r="E70" s="107" t="e">
        <f>#REF!</f>
        <v>#REF!</v>
      </c>
      <c r="F70" s="64" t="e">
        <f>+D70*E70</f>
        <v>#REF!</v>
      </c>
      <c r="G70" s="142"/>
      <c r="H70" s="255">
        <v>0</v>
      </c>
      <c r="I70" s="262">
        <v>1.05</v>
      </c>
      <c r="J70" s="255">
        <f>H70*I70</f>
        <v>0</v>
      </c>
    </row>
    <row r="71" spans="1:10" s="129" customFormat="1" ht="15.95" customHeight="1">
      <c r="A71" s="41">
        <v>212</v>
      </c>
      <c r="B71" s="43" t="s">
        <v>58</v>
      </c>
      <c r="C71" s="57"/>
      <c r="D71" s="84"/>
      <c r="E71" s="109"/>
      <c r="F71" s="63"/>
      <c r="G71" s="142"/>
      <c r="H71" s="255"/>
      <c r="I71" s="262"/>
      <c r="J71" s="255"/>
    </row>
    <row r="72" spans="1:10" s="129" customFormat="1" ht="15.95" customHeight="1">
      <c r="A72" s="8"/>
      <c r="B72" s="16"/>
      <c r="C72" s="53" t="s">
        <v>94</v>
      </c>
      <c r="D72" s="77">
        <v>0</v>
      </c>
      <c r="E72" s="107" t="e">
        <f>#REF!</f>
        <v>#REF!</v>
      </c>
      <c r="F72" s="64" t="e">
        <f>+D72*E72</f>
        <v>#REF!</v>
      </c>
      <c r="G72" s="142"/>
      <c r="H72" s="255"/>
      <c r="I72" s="262"/>
      <c r="J72" s="255"/>
    </row>
    <row r="73" spans="1:10" s="129" customFormat="1" ht="15.95" customHeight="1">
      <c r="A73" s="41">
        <v>215</v>
      </c>
      <c r="B73" s="43" t="s">
        <v>59</v>
      </c>
      <c r="C73" s="57"/>
      <c r="D73" s="84"/>
      <c r="E73" s="109"/>
      <c r="F73" s="63"/>
      <c r="G73" s="142"/>
      <c r="H73" s="255"/>
      <c r="I73" s="262"/>
      <c r="J73" s="255"/>
    </row>
    <row r="74" spans="1:10" s="129" customFormat="1" ht="15.95" customHeight="1">
      <c r="A74" s="8"/>
      <c r="B74" s="16"/>
      <c r="C74" s="53" t="s">
        <v>1</v>
      </c>
      <c r="D74" s="77">
        <v>0</v>
      </c>
      <c r="E74" s="107" t="e">
        <f>#REF!</f>
        <v>#REF!</v>
      </c>
      <c r="F74" s="64" t="e">
        <f>+D74*E74</f>
        <v>#REF!</v>
      </c>
      <c r="G74" s="142"/>
      <c r="H74" s="255"/>
      <c r="I74" s="262"/>
      <c r="J74" s="255"/>
    </row>
    <row r="75" spans="1:10" s="129" customFormat="1" ht="25.5" customHeight="1">
      <c r="A75" s="10"/>
      <c r="B75" s="40"/>
      <c r="C75" s="95"/>
      <c r="D75" s="92"/>
      <c r="E75" s="93" t="s">
        <v>111</v>
      </c>
      <c r="F75" s="94" t="e">
        <f>SUM(F50:F74)</f>
        <v>#REF!</v>
      </c>
      <c r="G75" s="142"/>
      <c r="H75" s="255"/>
      <c r="I75" s="262"/>
      <c r="J75" s="255"/>
    </row>
    <row r="76" spans="1:10" s="129" customFormat="1" ht="15.95" customHeight="1">
      <c r="A76" s="10"/>
      <c r="B76" s="40"/>
      <c r="C76" s="51"/>
      <c r="D76" s="76"/>
      <c r="E76" s="66"/>
      <c r="F76" s="66"/>
      <c r="G76" s="142"/>
      <c r="H76" s="255"/>
      <c r="I76" s="262"/>
      <c r="J76" s="255"/>
    </row>
    <row r="77" spans="1:10" s="129" customFormat="1" ht="23.25" customHeight="1">
      <c r="A77" s="1" t="s">
        <v>5</v>
      </c>
      <c r="B77" s="3"/>
      <c r="C77" s="52" t="s">
        <v>98</v>
      </c>
      <c r="D77" s="86" t="s">
        <v>99</v>
      </c>
      <c r="E77" s="71" t="s">
        <v>100</v>
      </c>
      <c r="F77" s="71" t="s">
        <v>114</v>
      </c>
      <c r="G77" s="142"/>
      <c r="H77" s="255"/>
      <c r="I77" s="262"/>
      <c r="J77" s="255"/>
    </row>
    <row r="78" spans="1:10" s="129" customFormat="1" ht="15.95" customHeight="1">
      <c r="A78" s="41" t="s">
        <v>6</v>
      </c>
      <c r="B78" s="19" t="s">
        <v>60</v>
      </c>
      <c r="C78" s="160"/>
      <c r="D78" s="213"/>
      <c r="E78" s="109"/>
      <c r="F78" s="63"/>
      <c r="G78" s="142"/>
      <c r="H78" s="255"/>
      <c r="I78" s="262"/>
      <c r="J78" s="255"/>
    </row>
    <row r="79" spans="1:10" s="129" customFormat="1" ht="15.95" customHeight="1">
      <c r="A79" s="17" t="s">
        <v>61</v>
      </c>
      <c r="B79" s="12" t="s">
        <v>62</v>
      </c>
      <c r="C79" s="298" t="s">
        <v>95</v>
      </c>
      <c r="D79" s="316">
        <f>J79</f>
        <v>86996.25</v>
      </c>
      <c r="E79" s="108" t="e">
        <f>#REF!</f>
        <v>#REF!</v>
      </c>
      <c r="F79" s="65" t="e">
        <f>D79*E79</f>
        <v>#REF!</v>
      </c>
      <c r="G79" s="142"/>
      <c r="H79" s="268">
        <f>H53*0.5</f>
        <v>79087.5</v>
      </c>
      <c r="I79" s="262">
        <f>1.1</f>
        <v>1.1000000000000001</v>
      </c>
      <c r="J79" s="255">
        <f>H79*I79</f>
        <v>86996.25</v>
      </c>
    </row>
    <row r="80" spans="1:10" s="129" customFormat="1" ht="15.95" customHeight="1">
      <c r="A80" s="36" t="s">
        <v>130</v>
      </c>
      <c r="B80" s="24" t="s">
        <v>131</v>
      </c>
      <c r="C80" s="148" t="s">
        <v>95</v>
      </c>
      <c r="D80" s="148">
        <f>J80</f>
        <v>24607.000000000004</v>
      </c>
      <c r="E80" s="107" t="e">
        <f>#REF!</f>
        <v>#REF!</v>
      </c>
      <c r="F80" s="64" t="e">
        <f>+D80*E80</f>
        <v>#REF!</v>
      </c>
      <c r="G80" s="142"/>
      <c r="H80" s="268">
        <f>(40-I12)*0.5*F12</f>
        <v>22370</v>
      </c>
      <c r="I80" s="262">
        <v>1.1000000000000001</v>
      </c>
      <c r="J80" s="255">
        <f>H80*I80</f>
        <v>24607.000000000004</v>
      </c>
    </row>
    <row r="81" spans="1:12" s="129" customFormat="1" ht="15.95" customHeight="1">
      <c r="A81" s="4" t="s">
        <v>7</v>
      </c>
      <c r="B81" s="14" t="s">
        <v>63</v>
      </c>
      <c r="C81" s="56"/>
      <c r="D81" s="297"/>
      <c r="E81" s="108"/>
      <c r="F81" s="65"/>
      <c r="G81" s="142"/>
      <c r="H81" s="255"/>
      <c r="I81" s="262"/>
      <c r="J81" s="255"/>
    </row>
    <row r="82" spans="1:12" s="129" customFormat="1" ht="15.95" customHeight="1">
      <c r="A82" s="8"/>
      <c r="B82" s="16"/>
      <c r="C82" s="53" t="s">
        <v>95</v>
      </c>
      <c r="D82" s="147">
        <f>J82</f>
        <v>0</v>
      </c>
      <c r="E82" s="107" t="e">
        <f>#REF!</f>
        <v>#REF!</v>
      </c>
      <c r="F82" s="64" t="e">
        <f>+D82*E82</f>
        <v>#REF!</v>
      </c>
      <c r="G82" s="142"/>
      <c r="H82" s="255">
        <v>0</v>
      </c>
      <c r="I82" s="262">
        <v>1.1499999999999999</v>
      </c>
      <c r="J82" s="255">
        <f>H82*I82</f>
        <v>0</v>
      </c>
    </row>
    <row r="83" spans="1:12" s="129" customFormat="1" ht="15.95" customHeight="1">
      <c r="A83" s="4" t="s">
        <v>8</v>
      </c>
      <c r="B83" s="14" t="s">
        <v>64</v>
      </c>
      <c r="C83" s="56"/>
      <c r="D83" s="297"/>
      <c r="E83" s="109"/>
      <c r="F83" s="63"/>
      <c r="G83" s="142"/>
      <c r="H83" s="255"/>
      <c r="I83" s="262"/>
      <c r="J83" s="255"/>
      <c r="L83" s="270">
        <f>J86-J84</f>
        <v>-205182.07500000001</v>
      </c>
    </row>
    <row r="84" spans="1:12" s="129" customFormat="1" ht="15.95" customHeight="1">
      <c r="A84" s="8"/>
      <c r="B84" s="20"/>
      <c r="C84" s="53" t="s">
        <v>95</v>
      </c>
      <c r="D84" s="150">
        <f>J84</f>
        <v>358689.45</v>
      </c>
      <c r="E84" s="107" t="e">
        <f>#REF!</f>
        <v>#REF!</v>
      </c>
      <c r="F84" s="64" t="e">
        <f>+D84*E84</f>
        <v>#REF!</v>
      </c>
      <c r="G84" s="142"/>
      <c r="H84" s="256">
        <f>H86+H88+H80+H79</f>
        <v>341609</v>
      </c>
      <c r="I84" s="262">
        <v>1.05</v>
      </c>
      <c r="J84" s="255">
        <f>H84*I84</f>
        <v>358689.45</v>
      </c>
      <c r="K84" s="270"/>
    </row>
    <row r="85" spans="1:12" s="205" customFormat="1" ht="15.95" customHeight="1">
      <c r="A85" s="181" t="s">
        <v>189</v>
      </c>
      <c r="B85" s="190" t="s">
        <v>132</v>
      </c>
      <c r="C85" s="203"/>
      <c r="D85" s="283"/>
      <c r="E85" s="161"/>
      <c r="F85" s="204"/>
      <c r="H85" s="258"/>
      <c r="I85" s="264"/>
      <c r="J85" s="258"/>
    </row>
    <row r="86" spans="1:12" s="205" customFormat="1" ht="15.95" customHeight="1">
      <c r="A86" s="206"/>
      <c r="B86" s="207"/>
      <c r="C86" s="191" t="s">
        <v>95</v>
      </c>
      <c r="D86" s="150">
        <f>J86</f>
        <v>153507.375</v>
      </c>
      <c r="E86" s="185" t="e">
        <f>#REF!</f>
        <v>#REF!</v>
      </c>
      <c r="F86" s="208" t="e">
        <f>+D86*E86</f>
        <v>#REF!</v>
      </c>
      <c r="H86" s="258">
        <f>(40-I12)*1.5*F12+50%*1*(F13*G13+F14*G14+F15*G15+F16*G16)</f>
        <v>146197.5</v>
      </c>
      <c r="I86" s="264">
        <v>1.05</v>
      </c>
      <c r="J86" s="258">
        <f>H86*I86</f>
        <v>153507.375</v>
      </c>
      <c r="K86" s="205" t="s">
        <v>375</v>
      </c>
    </row>
    <row r="87" spans="1:12" s="205" customFormat="1" ht="15.95" customHeight="1">
      <c r="A87" s="181" t="s">
        <v>257</v>
      </c>
      <c r="B87" s="122" t="s">
        <v>133</v>
      </c>
      <c r="C87" s="203"/>
      <c r="D87" s="283"/>
      <c r="E87" s="161"/>
      <c r="F87" s="204"/>
      <c r="H87" s="258"/>
      <c r="I87" s="264"/>
      <c r="J87" s="258"/>
    </row>
    <row r="88" spans="1:12" s="205" customFormat="1" ht="15.95" customHeight="1">
      <c r="A88" s="206"/>
      <c r="B88" s="207"/>
      <c r="C88" s="191" t="s">
        <v>94</v>
      </c>
      <c r="D88" s="150">
        <f>J88</f>
        <v>98651.7</v>
      </c>
      <c r="E88" s="185" t="e">
        <f>#REF!</f>
        <v>#REF!</v>
      </c>
      <c r="F88" s="208" t="e">
        <f>D88*E88</f>
        <v>#REF!</v>
      </c>
      <c r="H88" s="258">
        <f>3.5*I12*F12*60%</f>
        <v>93954</v>
      </c>
      <c r="I88" s="264">
        <v>1.05</v>
      </c>
      <c r="J88" s="258">
        <f>H88*I88</f>
        <v>98651.7</v>
      </c>
      <c r="K88" s="205" t="s">
        <v>376</v>
      </c>
    </row>
    <row r="89" spans="1:12" s="205" customFormat="1" ht="15.95" customHeight="1">
      <c r="A89" s="181" t="s">
        <v>254</v>
      </c>
      <c r="B89" s="190" t="s">
        <v>134</v>
      </c>
      <c r="C89" s="203"/>
      <c r="D89" s="283"/>
      <c r="E89" s="161"/>
      <c r="F89" s="204"/>
      <c r="H89" s="258"/>
      <c r="I89" s="264"/>
      <c r="J89" s="258"/>
    </row>
    <row r="90" spans="1:12" s="205" customFormat="1" ht="15.95" customHeight="1">
      <c r="A90" s="206"/>
      <c r="B90" s="207"/>
      <c r="C90" s="191" t="s">
        <v>94</v>
      </c>
      <c r="D90" s="150">
        <f>J90</f>
        <v>46977</v>
      </c>
      <c r="E90" s="185">
        <v>1840</v>
      </c>
      <c r="F90" s="208">
        <f>D90*E90</f>
        <v>86437680</v>
      </c>
      <c r="H90" s="278">
        <f>(40-I12)*F12</f>
        <v>44740</v>
      </c>
      <c r="I90" s="264">
        <v>1.05</v>
      </c>
      <c r="J90" s="258">
        <f>H90*I90</f>
        <v>46977</v>
      </c>
    </row>
    <row r="91" spans="1:12" s="205" customFormat="1" ht="15.95" customHeight="1">
      <c r="A91" s="181" t="s">
        <v>255</v>
      </c>
      <c r="B91" s="190" t="s">
        <v>135</v>
      </c>
      <c r="C91" s="203"/>
      <c r="D91" s="283"/>
      <c r="E91" s="161"/>
      <c r="F91" s="204"/>
      <c r="H91" s="258"/>
      <c r="I91" s="264"/>
      <c r="J91" s="258"/>
    </row>
    <row r="92" spans="1:12" s="205" customFormat="1" ht="15.95" customHeight="1">
      <c r="A92" s="206"/>
      <c r="B92" s="207"/>
      <c r="C92" s="191" t="s">
        <v>94</v>
      </c>
      <c r="D92" s="150">
        <f>J92</f>
        <v>46977</v>
      </c>
      <c r="E92" s="185" t="e">
        <f>#REF!</f>
        <v>#REF!</v>
      </c>
      <c r="F92" s="208" t="e">
        <f>+D92*E92</f>
        <v>#REF!</v>
      </c>
      <c r="H92" s="258">
        <f>10*2*F12</f>
        <v>44740</v>
      </c>
      <c r="I92" s="264">
        <v>1.05</v>
      </c>
      <c r="J92" s="258">
        <f>H92*I92</f>
        <v>46977</v>
      </c>
    </row>
    <row r="93" spans="1:12" s="205" customFormat="1" ht="15.95" customHeight="1">
      <c r="A93" s="181" t="s">
        <v>256</v>
      </c>
      <c r="B93" s="190" t="s">
        <v>136</v>
      </c>
      <c r="C93" s="203"/>
      <c r="D93" s="283"/>
      <c r="E93" s="161"/>
      <c r="F93" s="204"/>
      <c r="H93" s="258"/>
      <c r="I93" s="264"/>
      <c r="J93" s="258"/>
    </row>
    <row r="94" spans="1:12" s="205" customFormat="1" ht="15.95" customHeight="1">
      <c r="A94" s="206"/>
      <c r="B94" s="207"/>
      <c r="C94" s="191" t="s">
        <v>94</v>
      </c>
      <c r="D94" s="150">
        <f>J94</f>
        <v>46977</v>
      </c>
      <c r="E94" s="185" t="e">
        <f>#REF!</f>
        <v>#REF!</v>
      </c>
      <c r="F94" s="208" t="e">
        <f>+D94*E94</f>
        <v>#REF!</v>
      </c>
      <c r="H94" s="258">
        <f>H92</f>
        <v>44740</v>
      </c>
      <c r="I94" s="264">
        <v>1.05</v>
      </c>
      <c r="J94" s="258">
        <f>H94*I94</f>
        <v>46977</v>
      </c>
    </row>
    <row r="95" spans="1:12" s="205" customFormat="1" ht="15.95" customHeight="1">
      <c r="A95" s="181" t="s">
        <v>459</v>
      </c>
      <c r="B95" s="190" t="s">
        <v>137</v>
      </c>
      <c r="C95" s="203"/>
      <c r="D95" s="283"/>
      <c r="E95" s="161"/>
      <c r="F95" s="204"/>
      <c r="H95" s="258"/>
      <c r="I95" s="264"/>
      <c r="J95" s="258"/>
    </row>
    <row r="96" spans="1:12" s="205" customFormat="1" ht="15.95" customHeight="1">
      <c r="A96" s="206"/>
      <c r="B96" s="207"/>
      <c r="C96" s="53" t="s">
        <v>138</v>
      </c>
      <c r="D96" s="150">
        <v>1</v>
      </c>
      <c r="E96" s="185" t="e">
        <f>#REF!</f>
        <v>#REF!</v>
      </c>
      <c r="F96" s="208" t="e">
        <f>+D96*E96</f>
        <v>#REF!</v>
      </c>
      <c r="H96" s="258"/>
      <c r="I96" s="264">
        <v>1.05</v>
      </c>
      <c r="J96" s="258">
        <f>H96*I96</f>
        <v>0</v>
      </c>
    </row>
    <row r="97" spans="1:11" s="129" customFormat="1" ht="27" customHeight="1">
      <c r="A97" s="142"/>
      <c r="B97" s="18"/>
      <c r="C97" s="95"/>
      <c r="D97" s="92"/>
      <c r="E97" s="93" t="s">
        <v>110</v>
      </c>
      <c r="F97" s="94" t="e">
        <f>SUM(F78:F96)</f>
        <v>#REF!</v>
      </c>
      <c r="G97" s="142"/>
      <c r="H97" s="255"/>
      <c r="I97" s="262"/>
      <c r="J97" s="255"/>
    </row>
    <row r="98" spans="1:11" s="129" customFormat="1" ht="15.95" customHeight="1">
      <c r="A98" s="142"/>
      <c r="B98" s="18"/>
      <c r="C98" s="48"/>
      <c r="D98" s="111"/>
      <c r="E98" s="142"/>
      <c r="F98" s="112"/>
      <c r="G98" s="142"/>
      <c r="H98" s="255">
        <f>0.15*(F13*H13+F14*H14+F15*H15+F16*H16)+100*20*9.84*0.15</f>
        <v>17571.330000000002</v>
      </c>
      <c r="I98" s="262" t="s">
        <v>243</v>
      </c>
      <c r="J98" s="255"/>
    </row>
    <row r="99" spans="1:11" s="129" customFormat="1" ht="23.25" customHeight="1">
      <c r="A99" s="1" t="s">
        <v>9</v>
      </c>
      <c r="B99" s="3"/>
      <c r="C99" s="52" t="s">
        <v>98</v>
      </c>
      <c r="D99" s="86" t="s">
        <v>99</v>
      </c>
      <c r="E99" s="71" t="s">
        <v>100</v>
      </c>
      <c r="F99" s="71" t="s">
        <v>114</v>
      </c>
      <c r="G99" s="142"/>
      <c r="H99" s="255">
        <f>0.2*(H13*F13+F14*H14+F15*H15+F16*H16+7*2*F12)+100*20*0.2*9.84</f>
        <v>29692.04</v>
      </c>
      <c r="I99" s="262" t="s">
        <v>244</v>
      </c>
      <c r="J99" s="255"/>
    </row>
    <row r="100" spans="1:11" s="129" customFormat="1" ht="29.25" customHeight="1">
      <c r="A100" s="46" t="s">
        <v>10</v>
      </c>
      <c r="B100" s="19" t="s">
        <v>65</v>
      </c>
      <c r="C100" s="209"/>
      <c r="D100" s="210"/>
      <c r="E100" s="161"/>
      <c r="F100" s="204"/>
      <c r="G100" s="142"/>
      <c r="H100" s="145">
        <f>0.2*(F13*(G13-H13)+F14*(G14-H14)+F15*(G15-H15)+F16*(G16-H16)+100*20*(15-9.84))</f>
        <v>14206.560000000001</v>
      </c>
      <c r="I100" s="262" t="s">
        <v>245</v>
      </c>
      <c r="J100" s="255"/>
    </row>
    <row r="101" spans="1:11" s="129" customFormat="1" ht="15.95" customHeight="1">
      <c r="A101" s="8" t="s">
        <v>66</v>
      </c>
      <c r="B101" s="24" t="s">
        <v>67</v>
      </c>
      <c r="C101" s="211" t="s">
        <v>95</v>
      </c>
      <c r="D101" s="147">
        <f>J101</f>
        <v>67616.92300000001</v>
      </c>
      <c r="E101" s="185" t="e">
        <f>#REF!</f>
        <v>#REF!</v>
      </c>
      <c r="F101" s="208" t="e">
        <f>+D101*E101</f>
        <v>#REF!</v>
      </c>
      <c r="G101" s="142"/>
      <c r="H101" s="145">
        <f>SUM(H98:H100)</f>
        <v>61469.930000000008</v>
      </c>
      <c r="I101" s="262">
        <f>1.1</f>
        <v>1.1000000000000001</v>
      </c>
      <c r="J101" s="255">
        <f>H101*I101</f>
        <v>67616.92300000001</v>
      </c>
    </row>
    <row r="102" spans="1:11" s="129" customFormat="1" ht="15.95" customHeight="1">
      <c r="A102" s="4" t="s">
        <v>11</v>
      </c>
      <c r="B102" s="19" t="s">
        <v>68</v>
      </c>
      <c r="C102" s="109"/>
      <c r="D102" s="109"/>
      <c r="E102" s="109"/>
      <c r="F102" s="63"/>
      <c r="G102" s="142"/>
      <c r="H102" s="255"/>
      <c r="I102" s="262"/>
      <c r="J102" s="255"/>
    </row>
    <row r="103" spans="1:11" s="129" customFormat="1" ht="15.95" customHeight="1">
      <c r="A103" s="8"/>
      <c r="B103" s="24"/>
      <c r="C103" s="211" t="s">
        <v>94</v>
      </c>
      <c r="D103" s="107">
        <f>J103</f>
        <v>311766.42000000004</v>
      </c>
      <c r="E103" s="107" t="e">
        <f>#REF!</f>
        <v>#REF!</v>
      </c>
      <c r="F103" s="64" t="e">
        <f>+D103*E103</f>
        <v>#REF!</v>
      </c>
      <c r="G103" s="142"/>
      <c r="H103" s="255">
        <f>(2*7*F12+F13*H13+F14*H14+F15*H15+F16*H16+100*9.84*20)*2</f>
        <v>296920.40000000002</v>
      </c>
      <c r="I103" s="262">
        <f>1.05</f>
        <v>1.05</v>
      </c>
      <c r="J103" s="255">
        <f>H103*I103</f>
        <v>311766.42000000004</v>
      </c>
      <c r="K103" s="129" t="s">
        <v>261</v>
      </c>
    </row>
    <row r="104" spans="1:11" s="129" customFormat="1" ht="15.95" customHeight="1">
      <c r="A104" s="17">
        <v>404</v>
      </c>
      <c r="B104" s="19" t="s">
        <v>69</v>
      </c>
      <c r="C104" s="109"/>
      <c r="D104" s="109"/>
      <c r="E104" s="109"/>
      <c r="F104" s="63"/>
      <c r="G104" s="142"/>
      <c r="H104" s="255"/>
      <c r="I104" s="262"/>
      <c r="J104" s="255"/>
    </row>
    <row r="105" spans="1:11" s="129" customFormat="1" ht="15.95" customHeight="1">
      <c r="A105" s="28"/>
      <c r="B105" s="24"/>
      <c r="C105" s="211" t="s">
        <v>94</v>
      </c>
      <c r="D105" s="107">
        <f>+D103</f>
        <v>311766.42000000004</v>
      </c>
      <c r="E105" s="107" t="e">
        <f>#REF!</f>
        <v>#REF!</v>
      </c>
      <c r="F105" s="64" t="e">
        <f>+D105*E105</f>
        <v>#REF!</v>
      </c>
      <c r="G105" s="142"/>
      <c r="H105" s="255"/>
      <c r="I105" s="262"/>
      <c r="J105" s="255"/>
    </row>
    <row r="106" spans="1:11" s="129" customFormat="1" ht="15.95" customHeight="1">
      <c r="A106" s="17">
        <v>405</v>
      </c>
      <c r="B106" s="19" t="s">
        <v>70</v>
      </c>
      <c r="C106" s="109"/>
      <c r="D106" s="109"/>
      <c r="E106" s="109"/>
      <c r="F106" s="63"/>
      <c r="G106" s="142"/>
      <c r="H106" s="255"/>
      <c r="I106" s="262"/>
      <c r="J106" s="255"/>
    </row>
    <row r="107" spans="1:11" s="129" customFormat="1" ht="15.95" customHeight="1">
      <c r="A107" s="8"/>
      <c r="B107" s="24"/>
      <c r="C107" s="211" t="s">
        <v>14</v>
      </c>
      <c r="D107" s="185">
        <f>J107</f>
        <v>1798864.9087500002</v>
      </c>
      <c r="E107" s="107" t="e">
        <f>#REF!</f>
        <v>#REF!</v>
      </c>
      <c r="F107" s="64" t="e">
        <f>+D107*E107</f>
        <v>#REF!</v>
      </c>
      <c r="G107" s="142"/>
      <c r="H107" s="255">
        <f>1950*H98*5%</f>
        <v>1713204.675</v>
      </c>
      <c r="I107" s="262">
        <f>1.05</f>
        <v>1.05</v>
      </c>
      <c r="J107" s="255">
        <f>H107*I107</f>
        <v>1798864.9087500002</v>
      </c>
    </row>
    <row r="108" spans="1:11" s="129" customFormat="1" ht="15.95" customHeight="1">
      <c r="A108" s="45">
        <v>407</v>
      </c>
      <c r="B108" s="27" t="s">
        <v>160</v>
      </c>
      <c r="C108" s="60"/>
      <c r="D108" s="79"/>
      <c r="E108" s="109"/>
      <c r="F108" s="67"/>
      <c r="G108" s="142"/>
      <c r="H108" s="255"/>
      <c r="I108" s="262"/>
      <c r="J108" s="255"/>
    </row>
    <row r="109" spans="1:11" s="129" customFormat="1" ht="15.95" customHeight="1">
      <c r="A109" s="45" t="s">
        <v>161</v>
      </c>
      <c r="B109" s="12" t="s">
        <v>71</v>
      </c>
      <c r="C109" s="54" t="s">
        <v>94</v>
      </c>
      <c r="D109" s="138">
        <f>J109</f>
        <v>128856.42000000001</v>
      </c>
      <c r="E109" s="137" t="e">
        <f>#REF!</f>
        <v>#REF!</v>
      </c>
      <c r="F109" s="65" t="e">
        <f>+D109*E109</f>
        <v>#REF!</v>
      </c>
      <c r="G109" s="142"/>
      <c r="H109" s="255">
        <f>F13*H13+F14*H14+F15*H15+F16*H16+100*20*9.84</f>
        <v>117142.2</v>
      </c>
      <c r="I109" s="262">
        <f>1.1</f>
        <v>1.1000000000000001</v>
      </c>
      <c r="J109" s="255">
        <f>H109*I109</f>
        <v>128856.42000000001</v>
      </c>
    </row>
    <row r="110" spans="1:11" s="129" customFormat="1" ht="15.95" customHeight="1">
      <c r="A110" s="28" t="s">
        <v>173</v>
      </c>
      <c r="B110" s="24" t="s">
        <v>72</v>
      </c>
      <c r="C110" s="53" t="s">
        <v>94</v>
      </c>
      <c r="D110" s="82">
        <f>J110</f>
        <v>78136.080000000016</v>
      </c>
      <c r="E110" s="108" t="e">
        <f>#REF!</f>
        <v>#REF!</v>
      </c>
      <c r="F110" s="65" t="e">
        <f>+D110*E110</f>
        <v>#REF!</v>
      </c>
      <c r="G110" s="142"/>
      <c r="H110" s="268">
        <f>(G13-H13)*F13+(G14-H14)*F14+(G15-H15)*F15+(G16-H16)*F16+100*20*(15-9.84)</f>
        <v>71032.800000000003</v>
      </c>
      <c r="I110" s="262">
        <f>1.1</f>
        <v>1.1000000000000001</v>
      </c>
      <c r="J110" s="255">
        <f>H110*I110</f>
        <v>78136.080000000016</v>
      </c>
    </row>
    <row r="111" spans="1:11" s="129" customFormat="1" ht="15.95" customHeight="1">
      <c r="A111" s="17">
        <v>408</v>
      </c>
      <c r="B111" s="25" t="s">
        <v>163</v>
      </c>
      <c r="C111" s="56"/>
      <c r="D111" s="83"/>
      <c r="E111" s="109"/>
      <c r="F111" s="63"/>
      <c r="G111" s="142"/>
      <c r="H111" s="255"/>
      <c r="I111" s="262"/>
      <c r="J111" s="255"/>
    </row>
    <row r="112" spans="1:11" s="129" customFormat="1" ht="15.95" customHeight="1">
      <c r="A112" s="45" t="s">
        <v>162</v>
      </c>
      <c r="B112" s="12" t="s">
        <v>190</v>
      </c>
      <c r="C112" s="146" t="s">
        <v>1</v>
      </c>
      <c r="D112" s="83">
        <f>J112</f>
        <v>36489.200000000004</v>
      </c>
      <c r="E112" s="108" t="e">
        <f>#REF!</f>
        <v>#REF!</v>
      </c>
      <c r="F112" s="65" t="e">
        <f>+D112*E112</f>
        <v>#REF!</v>
      </c>
      <c r="G112" s="142"/>
      <c r="H112" s="255">
        <f>2*(SUM(F12:F16)+100*20+9.84*100)</f>
        <v>33172</v>
      </c>
      <c r="I112" s="262">
        <f>1.1</f>
        <v>1.1000000000000001</v>
      </c>
      <c r="J112" s="255">
        <f>H112*I112</f>
        <v>36489.200000000004</v>
      </c>
    </row>
    <row r="113" spans="1:12" s="129" customFormat="1" ht="15.95" customHeight="1">
      <c r="A113" s="45" t="s">
        <v>174</v>
      </c>
      <c r="B113" s="12" t="s">
        <v>191</v>
      </c>
      <c r="C113" s="146" t="s">
        <v>1</v>
      </c>
      <c r="D113" s="83">
        <f>J113</f>
        <v>29924.400000000001</v>
      </c>
      <c r="E113" s="108" t="e">
        <f>#REF!</f>
        <v>#REF!</v>
      </c>
      <c r="F113" s="65" t="e">
        <f>+D113*E113</f>
        <v>#REF!</v>
      </c>
      <c r="G113" s="142"/>
      <c r="H113" s="255">
        <f>2*SUM(F12:F16)</f>
        <v>27204</v>
      </c>
      <c r="I113" s="262">
        <f>1.1</f>
        <v>1.1000000000000001</v>
      </c>
      <c r="J113" s="255">
        <f>H113*I113</f>
        <v>29924.400000000001</v>
      </c>
    </row>
    <row r="114" spans="1:12" s="129" customFormat="1" ht="15.95" customHeight="1">
      <c r="A114" s="28" t="s">
        <v>233</v>
      </c>
      <c r="B114" s="9" t="s">
        <v>234</v>
      </c>
      <c r="C114" s="146" t="s">
        <v>1</v>
      </c>
      <c r="D114" s="83">
        <f>J114</f>
        <v>36489.200000000004</v>
      </c>
      <c r="E114" s="108" t="e">
        <f>#REF!</f>
        <v>#REF!</v>
      </c>
      <c r="F114" s="65" t="e">
        <f>+D114*E114</f>
        <v>#REF!</v>
      </c>
      <c r="G114" s="142"/>
      <c r="H114" s="279">
        <f>H112</f>
        <v>33172</v>
      </c>
      <c r="I114" s="262">
        <f>1.1</f>
        <v>1.1000000000000001</v>
      </c>
      <c r="J114" s="255">
        <f>H114*I114</f>
        <v>36489.200000000004</v>
      </c>
    </row>
    <row r="115" spans="1:12" s="129" customFormat="1" ht="30" customHeight="1">
      <c r="A115" s="10"/>
      <c r="B115" s="12"/>
      <c r="C115" s="95"/>
      <c r="D115" s="92"/>
      <c r="E115" s="93" t="s">
        <v>109</v>
      </c>
      <c r="F115" s="94" t="e">
        <f>SUM(F100:F114)</f>
        <v>#REF!</v>
      </c>
      <c r="G115" s="142"/>
      <c r="H115" s="255"/>
      <c r="I115" s="262"/>
      <c r="J115" s="255"/>
    </row>
    <row r="116" spans="1:12" s="129" customFormat="1" ht="15.95" customHeight="1">
      <c r="A116" s="10"/>
      <c r="B116" s="12"/>
      <c r="C116" s="51"/>
      <c r="D116" s="76"/>
      <c r="E116" s="91"/>
      <c r="F116" s="91"/>
      <c r="G116" s="142"/>
      <c r="H116" s="255"/>
      <c r="I116" s="262"/>
      <c r="J116" s="262">
        <f>4.82*2.4*1.46</f>
        <v>16.889279999999999</v>
      </c>
      <c r="L116" s="129">
        <f>5.9/2</f>
        <v>2.95</v>
      </c>
    </row>
    <row r="117" spans="1:12" s="129" customFormat="1" ht="26.25" customHeight="1">
      <c r="A117" s="1" t="s">
        <v>73</v>
      </c>
      <c r="B117" s="3"/>
      <c r="C117" s="52" t="s">
        <v>98</v>
      </c>
      <c r="D117" s="86" t="s">
        <v>99</v>
      </c>
      <c r="E117" s="71" t="s">
        <v>100</v>
      </c>
      <c r="F117" s="71" t="s">
        <v>114</v>
      </c>
      <c r="G117" s="142"/>
      <c r="H117" s="255"/>
      <c r="I117" s="262"/>
      <c r="J117" s="255"/>
      <c r="L117" s="129">
        <f>2.95*2</f>
        <v>5.9</v>
      </c>
    </row>
    <row r="118" spans="1:12" s="129" customFormat="1" ht="15.95" customHeight="1">
      <c r="A118" s="220">
        <v>501</v>
      </c>
      <c r="B118" s="216" t="s">
        <v>74</v>
      </c>
      <c r="C118" s="160"/>
      <c r="D118" s="213"/>
      <c r="E118" s="109"/>
      <c r="F118" s="68"/>
      <c r="G118" s="142"/>
      <c r="H118" s="255"/>
      <c r="I118" s="262"/>
      <c r="J118" s="255"/>
      <c r="L118" s="129">
        <v>6.1</v>
      </c>
    </row>
    <row r="119" spans="1:12" s="129" customFormat="1" ht="15.95" customHeight="1">
      <c r="A119" s="206"/>
      <c r="B119" s="207"/>
      <c r="C119" s="191" t="s">
        <v>95</v>
      </c>
      <c r="D119" s="150">
        <f>J119</f>
        <v>96219.602999999988</v>
      </c>
      <c r="E119" s="107" t="e">
        <f>#REF!</f>
        <v>#REF!</v>
      </c>
      <c r="F119" s="64" t="e">
        <f>+D119*E119</f>
        <v>#REF!</v>
      </c>
      <c r="G119" s="142"/>
      <c r="H119" s="256">
        <f>F3*(2.5+0.3*3+0.6*2+0.1*2)*(1.5+0.3+0.3+0.1)+F4*(1.2+0.3*2+0.4*2+0.1*2)+F5*(1+0.25*2+0.4*2+0.1*2)*(1+0.2*2+0.1)+F6*(0.6+0.4*2+0.25*2+0.1*2)*(0.6+0.25*2+0.1)+F7*(0.6+0.4*2+0.2*2+0.1*2)*(0.8+0.2+0.2+0.1)+F8*(0.8+0.7*2)*(0.8+0.1+0.2*2)+F9*(0.8+0.7*2)*(0.6+0.5)+F10*(0.8+0.7*2)*(1+0.7)+100*20*2*(0.6+0.4*2+0.2*2+0.1*2)*(0.6+0.1+0.2+0.2)+(1.5*2.5)*F11</f>
        <v>83669.22</v>
      </c>
      <c r="I119" s="262">
        <v>1.1499999999999999</v>
      </c>
      <c r="J119" s="255">
        <f>H119*I119</f>
        <v>96219.602999999988</v>
      </c>
      <c r="L119" s="129">
        <f>2*9</f>
        <v>18</v>
      </c>
    </row>
    <row r="120" spans="1:12" s="129" customFormat="1" ht="15.95" customHeight="1">
      <c r="A120" s="214">
        <v>502</v>
      </c>
      <c r="B120" s="216" t="s">
        <v>75</v>
      </c>
      <c r="C120" s="221"/>
      <c r="D120" s="212"/>
      <c r="E120" s="109"/>
      <c r="F120" s="69"/>
      <c r="G120" s="142"/>
      <c r="H120" s="255"/>
      <c r="I120" s="262"/>
      <c r="J120" s="255"/>
      <c r="L120" s="129">
        <f>2*2</f>
        <v>4</v>
      </c>
    </row>
    <row r="121" spans="1:12" s="129" customFormat="1" ht="15.95" customHeight="1">
      <c r="A121" s="217"/>
      <c r="B121" s="219"/>
      <c r="C121" s="191" t="s">
        <v>95</v>
      </c>
      <c r="D121" s="150">
        <f>J121</f>
        <v>84750.733499999973</v>
      </c>
      <c r="E121" s="107" t="e">
        <f>#REF!</f>
        <v>#REF!</v>
      </c>
      <c r="F121" s="64" t="e">
        <f>+D121*E121</f>
        <v>#REF!</v>
      </c>
      <c r="G121" s="142"/>
      <c r="H121" s="255">
        <f>H119-F3*3.1*1.8-F4*1.8*1.3-F5*1.4*1.3+F6*1*0.8-F7*1*1-F8*1.2*1.1-F9*1.2*0.9-F10*1.2*1.3-F11*(1.2*0.25+2.25*0.25)</f>
        <v>73696.289999999979</v>
      </c>
      <c r="I121" s="262">
        <v>1.1499999999999999</v>
      </c>
      <c r="J121" s="255">
        <f>H121*I121</f>
        <v>84750.733499999973</v>
      </c>
      <c r="L121" s="129">
        <f>2*3</f>
        <v>6</v>
      </c>
    </row>
    <row r="122" spans="1:12" s="129" customFormat="1" ht="15.95" customHeight="1">
      <c r="A122" s="46" t="s">
        <v>12</v>
      </c>
      <c r="B122" s="27" t="s">
        <v>101</v>
      </c>
      <c r="C122" s="160"/>
      <c r="D122" s="213"/>
      <c r="E122" s="109"/>
      <c r="F122" s="65"/>
      <c r="G122" s="142"/>
      <c r="H122" s="255"/>
      <c r="I122" s="262"/>
      <c r="J122" s="255"/>
    </row>
    <row r="123" spans="1:12" s="129" customFormat="1" ht="15.95" customHeight="1">
      <c r="A123" s="8"/>
      <c r="B123" s="9"/>
      <c r="C123" s="191" t="s">
        <v>95</v>
      </c>
      <c r="D123" s="150">
        <f>J123</f>
        <v>411.40000000000009</v>
      </c>
      <c r="E123" s="107" t="e">
        <f>#REF!</f>
        <v>#REF!</v>
      </c>
      <c r="F123" s="64" t="e">
        <f>+D123*E123</f>
        <v>#REF!</v>
      </c>
      <c r="G123" s="142"/>
      <c r="H123" s="277">
        <f>(1.2+0.1*2+0.4*2)*0.1*F11</f>
        <v>374.00000000000006</v>
      </c>
      <c r="I123" s="262">
        <f>1.1</f>
        <v>1.1000000000000001</v>
      </c>
      <c r="J123" s="255">
        <f>H123*I123</f>
        <v>411.40000000000009</v>
      </c>
    </row>
    <row r="124" spans="1:12" s="129" customFormat="1" ht="15.95" customHeight="1">
      <c r="A124" s="87" t="s">
        <v>13</v>
      </c>
      <c r="B124" s="43" t="s">
        <v>77</v>
      </c>
      <c r="C124" s="88"/>
      <c r="D124" s="85"/>
      <c r="E124" s="109"/>
      <c r="F124" s="63"/>
      <c r="G124" s="142"/>
      <c r="H124" s="255"/>
      <c r="I124" s="262"/>
      <c r="J124" s="255"/>
    </row>
    <row r="125" spans="1:12" s="129" customFormat="1" ht="15.95" customHeight="1">
      <c r="A125" s="8"/>
      <c r="B125" s="9"/>
      <c r="C125" s="55" t="s">
        <v>94</v>
      </c>
      <c r="D125" s="82">
        <f>J125</f>
        <v>12903.000000000002</v>
      </c>
      <c r="E125" s="107" t="e">
        <f>#REF!</f>
        <v>#REF!</v>
      </c>
      <c r="F125" s="64" t="e">
        <f>+D125*E125</f>
        <v>#REF!</v>
      </c>
      <c r="G125" s="142"/>
      <c r="H125" s="255">
        <f>(2+1.2+2.25+1.45)*F11</f>
        <v>11730</v>
      </c>
      <c r="I125" s="262">
        <f>1.1</f>
        <v>1.1000000000000001</v>
      </c>
      <c r="J125" s="255">
        <f>H125*I125</f>
        <v>12903.000000000002</v>
      </c>
      <c r="K125" s="129">
        <f>2</f>
        <v>2</v>
      </c>
    </row>
    <row r="126" spans="1:12" s="129" customFormat="1" ht="15.95" customHeight="1">
      <c r="A126" s="17">
        <v>505</v>
      </c>
      <c r="B126" s="14" t="s">
        <v>76</v>
      </c>
      <c r="C126" s="56"/>
      <c r="D126" s="80"/>
      <c r="E126" s="109"/>
      <c r="F126" s="63"/>
      <c r="G126" s="142"/>
      <c r="H126" s="255"/>
      <c r="I126" s="262"/>
      <c r="J126" s="255"/>
      <c r="K126" s="129">
        <f>J125*K125/2</f>
        <v>12903.000000000002</v>
      </c>
    </row>
    <row r="127" spans="1:12" s="129" customFormat="1" ht="15.95" customHeight="1">
      <c r="A127" s="17" t="s">
        <v>15</v>
      </c>
      <c r="B127" s="37" t="s">
        <v>78</v>
      </c>
      <c r="C127" s="50" t="s">
        <v>14</v>
      </c>
      <c r="D127" s="83">
        <f>D132*110</f>
        <v>225060.00000000003</v>
      </c>
      <c r="E127" s="108" t="e">
        <f>#REF!</f>
        <v>#REF!</v>
      </c>
      <c r="F127" s="65" t="e">
        <f>+D127*E127</f>
        <v>#REF!</v>
      </c>
      <c r="G127" s="142"/>
      <c r="H127" s="255"/>
      <c r="I127" s="262"/>
      <c r="J127" s="255"/>
    </row>
    <row r="128" spans="1:12" s="129" customFormat="1" ht="15.95" customHeight="1">
      <c r="A128" s="36" t="s">
        <v>16</v>
      </c>
      <c r="B128" s="49" t="s">
        <v>79</v>
      </c>
      <c r="C128" s="53" t="s">
        <v>14</v>
      </c>
      <c r="D128" s="77">
        <v>0</v>
      </c>
      <c r="E128" s="107" t="e">
        <f>#REF!</f>
        <v>#REF!</v>
      </c>
      <c r="F128" s="64" t="e">
        <f>+D128*E128</f>
        <v>#REF!</v>
      </c>
      <c r="G128" s="142"/>
      <c r="H128" s="255"/>
      <c r="I128" s="262"/>
      <c r="J128" s="255"/>
    </row>
    <row r="129" spans="1:189" s="129" customFormat="1" ht="15.95" customHeight="1">
      <c r="A129" s="17">
        <v>506</v>
      </c>
      <c r="B129" s="26" t="s">
        <v>80</v>
      </c>
      <c r="C129" s="56"/>
      <c r="D129" s="80"/>
      <c r="E129" s="109"/>
      <c r="F129" s="63"/>
      <c r="G129" s="142"/>
      <c r="H129" s="255"/>
      <c r="I129" s="262"/>
      <c r="J129" s="255"/>
    </row>
    <row r="130" spans="1:189" s="129" customFormat="1" ht="15.95" customHeight="1">
      <c r="A130" s="28"/>
      <c r="B130" s="24"/>
      <c r="C130" s="53" t="s">
        <v>95</v>
      </c>
      <c r="D130" s="82">
        <f>J130</f>
        <v>330</v>
      </c>
      <c r="E130" s="98" t="e">
        <f>#REF!</f>
        <v>#REF!</v>
      </c>
      <c r="F130" s="64" t="e">
        <f>+D130*E130</f>
        <v>#REF!</v>
      </c>
      <c r="G130" s="142"/>
      <c r="H130" s="255">
        <f>300</f>
        <v>300</v>
      </c>
      <c r="I130" s="262">
        <f>1.1</f>
        <v>1.1000000000000001</v>
      </c>
      <c r="J130" s="255">
        <f>H130*I130</f>
        <v>330</v>
      </c>
    </row>
    <row r="131" spans="1:189" s="129" customFormat="1" ht="15.95" customHeight="1">
      <c r="A131" s="17">
        <v>507</v>
      </c>
      <c r="B131" s="25" t="s">
        <v>81</v>
      </c>
      <c r="C131" s="56"/>
      <c r="D131" s="80"/>
      <c r="E131" s="109"/>
      <c r="F131" s="63"/>
      <c r="G131" s="142"/>
      <c r="H131" s="255"/>
      <c r="I131" s="262"/>
      <c r="J131" s="255"/>
    </row>
    <row r="132" spans="1:189" s="129" customFormat="1" ht="15.95" customHeight="1">
      <c r="A132" s="8"/>
      <c r="B132" s="24"/>
      <c r="C132" s="53" t="s">
        <v>95</v>
      </c>
      <c r="D132" s="78">
        <f>J132</f>
        <v>2046.0000000000002</v>
      </c>
      <c r="E132" s="107" t="e">
        <f>#REF!</f>
        <v>#REF!</v>
      </c>
      <c r="F132" s="64" t="e">
        <f>+D132*E132</f>
        <v>#REF!</v>
      </c>
      <c r="G132" s="142"/>
      <c r="H132" s="255">
        <f>(0.25*2+1.2*0.25)*F11+500</f>
        <v>1860</v>
      </c>
      <c r="I132" s="262">
        <f>1.1</f>
        <v>1.1000000000000001</v>
      </c>
      <c r="J132" s="255">
        <f>H132*I132</f>
        <v>2046.0000000000002</v>
      </c>
    </row>
    <row r="133" spans="1:189" s="129" customFormat="1" ht="15.95" customHeight="1">
      <c r="A133" s="41">
        <v>509</v>
      </c>
      <c r="B133" s="43" t="s">
        <v>139</v>
      </c>
      <c r="C133" s="57"/>
      <c r="D133" s="84"/>
      <c r="E133" s="109"/>
      <c r="F133" s="63"/>
      <c r="G133" s="142"/>
      <c r="H133" s="255"/>
      <c r="I133" s="262"/>
      <c r="J133" s="255"/>
    </row>
    <row r="134" spans="1:189" s="129" customFormat="1" ht="15.95" customHeight="1">
      <c r="A134" s="17" t="s">
        <v>140</v>
      </c>
      <c r="B134" s="39" t="s">
        <v>262</v>
      </c>
      <c r="C134" s="54" t="s">
        <v>94</v>
      </c>
      <c r="D134" s="83">
        <f>J134</f>
        <v>1366.2110000000002</v>
      </c>
      <c r="E134" s="108" t="e">
        <f>#REF!</f>
        <v>#REF!</v>
      </c>
      <c r="F134" s="65" t="e">
        <f>+D134*E134</f>
        <v>#REF!</v>
      </c>
      <c r="G134" s="142"/>
      <c r="H134" s="255">
        <f>5%*J67</f>
        <v>1242.0100000000002</v>
      </c>
      <c r="I134" s="262">
        <v>1.1000000000000001</v>
      </c>
      <c r="J134" s="255">
        <f>H134*I134</f>
        <v>1366.2110000000002</v>
      </c>
    </row>
    <row r="135" spans="1:189" s="129" customFormat="1" ht="15.95" customHeight="1">
      <c r="A135" s="17" t="s">
        <v>141</v>
      </c>
      <c r="B135" s="39" t="s">
        <v>263</v>
      </c>
      <c r="C135" s="54" t="s">
        <v>94</v>
      </c>
      <c r="D135" s="83">
        <f>J135</f>
        <v>546.48440000000005</v>
      </c>
      <c r="E135" s="108" t="e">
        <f>#REF!</f>
        <v>#REF!</v>
      </c>
      <c r="F135" s="65" t="e">
        <f>+D135*E135</f>
        <v>#REF!</v>
      </c>
      <c r="G135" s="142"/>
      <c r="H135" s="255">
        <f>2%*J67</f>
        <v>496.80400000000003</v>
      </c>
      <c r="I135" s="262">
        <v>1.1000000000000001</v>
      </c>
      <c r="J135" s="255">
        <f>H135*I135</f>
        <v>546.48440000000005</v>
      </c>
      <c r="L135" s="270"/>
    </row>
    <row r="136" spans="1:189" s="129" customFormat="1" ht="15.95" customHeight="1">
      <c r="A136" s="22" t="s">
        <v>142</v>
      </c>
      <c r="B136" s="49" t="s">
        <v>281</v>
      </c>
      <c r="C136" s="53" t="s">
        <v>94</v>
      </c>
      <c r="D136" s="155">
        <f>H136</f>
        <v>120</v>
      </c>
      <c r="E136" s="108" t="e">
        <f>#REF!</f>
        <v>#REF!</v>
      </c>
      <c r="F136" s="65" t="e">
        <f>+D136*E136</f>
        <v>#REF!</v>
      </c>
      <c r="G136" s="142"/>
      <c r="H136" s="255">
        <v>120</v>
      </c>
      <c r="I136" s="262"/>
      <c r="J136" s="255"/>
    </row>
    <row r="137" spans="1:189" s="129" customFormat="1" ht="15.95" customHeight="1">
      <c r="A137" s="41">
        <v>510</v>
      </c>
      <c r="B137" s="43" t="s">
        <v>82</v>
      </c>
      <c r="C137" s="57"/>
      <c r="D137" s="84"/>
      <c r="E137" s="109"/>
      <c r="F137" s="63"/>
      <c r="G137" s="142"/>
      <c r="H137" s="255"/>
      <c r="I137" s="262"/>
      <c r="J137" s="255"/>
    </row>
    <row r="138" spans="1:189" s="129" customFormat="1" ht="15.95" customHeight="1">
      <c r="A138" s="17" t="s">
        <v>83</v>
      </c>
      <c r="B138" s="39" t="s">
        <v>88</v>
      </c>
      <c r="C138" s="58" t="s">
        <v>1</v>
      </c>
      <c r="D138" s="83">
        <v>0</v>
      </c>
      <c r="E138" s="108" t="e">
        <f>#REF!</f>
        <v>#REF!</v>
      </c>
      <c r="F138" s="65" t="e">
        <f>+D138*E138</f>
        <v>#REF!</v>
      </c>
      <c r="G138" s="142"/>
      <c r="H138" s="255"/>
      <c r="I138" s="262"/>
      <c r="J138" s="255"/>
    </row>
    <row r="139" spans="1:189" s="129" customFormat="1" ht="15.95" customHeight="1">
      <c r="A139" s="17" t="s">
        <v>84</v>
      </c>
      <c r="B139" s="39" t="s">
        <v>89</v>
      </c>
      <c r="C139" s="58" t="s">
        <v>1</v>
      </c>
      <c r="D139" s="83">
        <v>0</v>
      </c>
      <c r="E139" s="108" t="e">
        <f>#REF!</f>
        <v>#REF!</v>
      </c>
      <c r="F139" s="65" t="e">
        <f>+D139*E139</f>
        <v>#REF!</v>
      </c>
      <c r="G139" s="142"/>
      <c r="H139" s="255"/>
      <c r="I139" s="262"/>
      <c r="J139" s="255"/>
    </row>
    <row r="140" spans="1:189" s="129" customFormat="1" ht="15.95" customHeight="1">
      <c r="A140" s="17" t="s">
        <v>85</v>
      </c>
      <c r="B140" s="39" t="s">
        <v>90</v>
      </c>
      <c r="C140" s="58" t="s">
        <v>1</v>
      </c>
      <c r="D140" s="155">
        <v>0</v>
      </c>
      <c r="E140" s="108" t="e">
        <f>#REF!</f>
        <v>#REF!</v>
      </c>
      <c r="F140" s="65" t="e">
        <f>+D140*E140</f>
        <v>#REF!</v>
      </c>
      <c r="G140" s="142"/>
      <c r="H140" s="255"/>
      <c r="I140" s="262"/>
      <c r="J140" s="255"/>
    </row>
    <row r="141" spans="1:189" s="129" customFormat="1" ht="15.95" customHeight="1">
      <c r="A141" s="17" t="s">
        <v>86</v>
      </c>
      <c r="B141" s="39" t="s">
        <v>91</v>
      </c>
      <c r="C141" s="58" t="s">
        <v>1</v>
      </c>
      <c r="D141" s="155">
        <v>0</v>
      </c>
      <c r="E141" s="108" t="e">
        <f>#REF!</f>
        <v>#REF!</v>
      </c>
      <c r="F141" s="65" t="e">
        <f>+D141*E141</f>
        <v>#REF!</v>
      </c>
      <c r="G141" s="142"/>
      <c r="H141" s="255"/>
      <c r="I141" s="262"/>
      <c r="J141" s="255"/>
    </row>
    <row r="142" spans="1:189" ht="15.95" customHeight="1">
      <c r="A142" s="17" t="s">
        <v>87</v>
      </c>
      <c r="B142" s="39" t="s">
        <v>92</v>
      </c>
      <c r="C142" s="124" t="s">
        <v>1</v>
      </c>
      <c r="D142" s="156">
        <v>0</v>
      </c>
      <c r="E142" s="107" t="e">
        <f>#REF!</f>
        <v>#REF!</v>
      </c>
      <c r="F142" s="64" t="e">
        <f>+D142*E142</f>
        <v>#REF!</v>
      </c>
    </row>
    <row r="143" spans="1:189" s="225" customFormat="1" ht="15.95" customHeight="1">
      <c r="A143" s="141">
        <v>511</v>
      </c>
      <c r="B143" s="223" t="s">
        <v>124</v>
      </c>
      <c r="C143" s="224"/>
      <c r="D143" s="200"/>
      <c r="E143" s="109"/>
      <c r="F143" s="63"/>
      <c r="H143" s="259"/>
      <c r="I143" s="265"/>
      <c r="J143" s="259"/>
      <c r="K143" s="226"/>
      <c r="L143" s="226"/>
      <c r="M143" s="226"/>
      <c r="N143" s="226"/>
      <c r="O143" s="226"/>
      <c r="P143" s="226"/>
      <c r="Q143" s="226"/>
      <c r="R143" s="226"/>
      <c r="S143" s="226"/>
      <c r="T143" s="226"/>
      <c r="U143" s="226"/>
      <c r="V143" s="226"/>
      <c r="W143" s="226"/>
      <c r="X143" s="226"/>
      <c r="Y143" s="226"/>
      <c r="Z143" s="226"/>
      <c r="AA143" s="226"/>
      <c r="AB143" s="226"/>
      <c r="AC143" s="226"/>
      <c r="AD143" s="226"/>
      <c r="AE143" s="226"/>
      <c r="AF143" s="226"/>
      <c r="AG143" s="226"/>
      <c r="AH143" s="226"/>
      <c r="AI143" s="226"/>
      <c r="AJ143" s="226"/>
      <c r="AK143" s="226"/>
      <c r="AL143" s="226"/>
      <c r="AM143" s="226"/>
      <c r="AN143" s="226"/>
      <c r="AO143" s="226"/>
      <c r="AP143" s="226"/>
      <c r="AQ143" s="226"/>
      <c r="AR143" s="226"/>
      <c r="AS143" s="226"/>
      <c r="AT143" s="226"/>
      <c r="AU143" s="226"/>
      <c r="AV143" s="226"/>
      <c r="AW143" s="226"/>
      <c r="AX143" s="226"/>
      <c r="AY143" s="226"/>
      <c r="AZ143" s="226"/>
      <c r="BA143" s="226"/>
      <c r="BB143" s="226"/>
      <c r="BC143" s="226"/>
      <c r="BD143" s="226"/>
      <c r="BE143" s="226"/>
      <c r="BF143" s="226"/>
      <c r="BG143" s="226"/>
      <c r="BH143" s="226"/>
      <c r="BI143" s="226"/>
      <c r="BJ143" s="226"/>
      <c r="BK143" s="226"/>
      <c r="BL143" s="226"/>
      <c r="BM143" s="226"/>
      <c r="BN143" s="226"/>
      <c r="BO143" s="226"/>
      <c r="BP143" s="226"/>
      <c r="BQ143" s="226"/>
      <c r="BR143" s="226"/>
      <c r="BS143" s="226"/>
      <c r="BT143" s="226"/>
      <c r="BU143" s="226"/>
      <c r="BV143" s="226"/>
      <c r="BW143" s="226"/>
      <c r="BX143" s="226"/>
      <c r="BY143" s="226"/>
      <c r="BZ143" s="226"/>
      <c r="CA143" s="226"/>
      <c r="CB143" s="226"/>
      <c r="CC143" s="226"/>
      <c r="CD143" s="226"/>
      <c r="CE143" s="226"/>
      <c r="CF143" s="226"/>
      <c r="CG143" s="226"/>
      <c r="CH143" s="226"/>
      <c r="CI143" s="226"/>
      <c r="CJ143" s="226"/>
      <c r="CK143" s="226"/>
      <c r="CL143" s="226"/>
      <c r="CM143" s="226"/>
      <c r="CN143" s="226"/>
      <c r="CO143" s="226"/>
      <c r="CP143" s="226"/>
      <c r="CQ143" s="226"/>
      <c r="CR143" s="226"/>
      <c r="CS143" s="226"/>
      <c r="CT143" s="226"/>
      <c r="CU143" s="226"/>
      <c r="CV143" s="226"/>
      <c r="CW143" s="226"/>
      <c r="CX143" s="226"/>
      <c r="CY143" s="226"/>
      <c r="CZ143" s="226"/>
      <c r="DA143" s="226"/>
      <c r="DB143" s="226"/>
      <c r="DC143" s="226"/>
      <c r="DD143" s="226"/>
      <c r="DE143" s="226"/>
      <c r="DF143" s="226"/>
      <c r="DG143" s="226"/>
      <c r="DH143" s="226"/>
      <c r="DI143" s="226"/>
      <c r="DJ143" s="226"/>
      <c r="DK143" s="226"/>
      <c r="DL143" s="226"/>
      <c r="DM143" s="226"/>
      <c r="DN143" s="226"/>
      <c r="DO143" s="226"/>
      <c r="DP143" s="226"/>
      <c r="DQ143" s="226"/>
      <c r="DR143" s="226"/>
      <c r="DS143" s="226"/>
      <c r="DT143" s="226"/>
      <c r="DU143" s="226"/>
      <c r="DV143" s="226"/>
      <c r="DW143" s="226"/>
      <c r="DX143" s="226"/>
      <c r="DY143" s="226"/>
      <c r="DZ143" s="226"/>
      <c r="EA143" s="226"/>
      <c r="EB143" s="226"/>
      <c r="EC143" s="226"/>
      <c r="ED143" s="226"/>
      <c r="EE143" s="226"/>
      <c r="EF143" s="226"/>
      <c r="EG143" s="226"/>
      <c r="EH143" s="226"/>
      <c r="EI143" s="226"/>
      <c r="EJ143" s="226"/>
      <c r="EK143" s="226"/>
      <c r="EL143" s="226"/>
      <c r="EM143" s="226"/>
      <c r="EN143" s="226"/>
      <c r="EO143" s="226"/>
      <c r="EP143" s="226"/>
      <c r="EQ143" s="226"/>
      <c r="ER143" s="226"/>
      <c r="ES143" s="226"/>
      <c r="ET143" s="226"/>
      <c r="EU143" s="226"/>
      <c r="EV143" s="226"/>
      <c r="EW143" s="226"/>
      <c r="EX143" s="226"/>
      <c r="EY143" s="226"/>
      <c r="EZ143" s="226"/>
      <c r="FA143" s="226"/>
      <c r="FB143" s="226"/>
      <c r="FC143" s="226"/>
      <c r="FD143" s="226"/>
      <c r="FE143" s="226"/>
      <c r="FF143" s="226"/>
      <c r="FG143" s="226"/>
      <c r="FH143" s="226"/>
      <c r="FI143" s="226"/>
      <c r="FJ143" s="226"/>
      <c r="FK143" s="226"/>
      <c r="FL143" s="226"/>
      <c r="FM143" s="226"/>
      <c r="FN143" s="226"/>
      <c r="FO143" s="226"/>
      <c r="FP143" s="226"/>
      <c r="FQ143" s="226"/>
      <c r="FR143" s="226"/>
      <c r="FS143" s="226"/>
      <c r="FT143" s="226"/>
      <c r="FU143" s="226"/>
      <c r="FV143" s="226"/>
      <c r="FW143" s="226"/>
      <c r="FX143" s="226"/>
      <c r="FY143" s="226"/>
      <c r="FZ143" s="226"/>
      <c r="GA143" s="226"/>
      <c r="GB143" s="226"/>
      <c r="GC143" s="226"/>
      <c r="GD143" s="226"/>
      <c r="GE143" s="226"/>
      <c r="GF143" s="226"/>
      <c r="GG143" s="226"/>
    </row>
    <row r="144" spans="1:189" s="225" customFormat="1" ht="15.95" customHeight="1">
      <c r="A144" s="139" t="s">
        <v>93</v>
      </c>
      <c r="B144" s="227" t="s">
        <v>211</v>
      </c>
      <c r="C144" s="228" t="s">
        <v>1</v>
      </c>
      <c r="D144" s="138">
        <f t="shared" ref="D144:D151" si="1">J144</f>
        <v>17758.400000000001</v>
      </c>
      <c r="E144" s="108" t="e">
        <f>#REF!</f>
        <v>#REF!</v>
      </c>
      <c r="F144" s="65" t="e">
        <f>+D144*E144</f>
        <v>#REF!</v>
      </c>
      <c r="H144" s="259">
        <f>F6+100*20*2</f>
        <v>16144</v>
      </c>
      <c r="I144" s="265">
        <v>1.1000000000000001</v>
      </c>
      <c r="J144" s="259">
        <f>H144*I144</f>
        <v>17758.400000000001</v>
      </c>
      <c r="K144" s="226"/>
      <c r="L144" s="226"/>
      <c r="M144" s="226"/>
      <c r="N144" s="226"/>
      <c r="O144" s="226"/>
      <c r="P144" s="226"/>
      <c r="Q144" s="226"/>
      <c r="R144" s="226"/>
      <c r="S144" s="226"/>
      <c r="T144" s="226"/>
      <c r="U144" s="226"/>
      <c r="V144" s="226"/>
      <c r="W144" s="226"/>
      <c r="X144" s="226"/>
      <c r="Y144" s="226"/>
      <c r="Z144" s="226"/>
      <c r="AA144" s="226"/>
      <c r="AB144" s="226"/>
      <c r="AC144" s="226"/>
      <c r="AD144" s="226"/>
      <c r="AE144" s="226"/>
      <c r="AF144" s="226"/>
      <c r="AG144" s="226"/>
      <c r="AH144" s="226"/>
      <c r="AI144" s="226"/>
      <c r="AJ144" s="226"/>
      <c r="AK144" s="226"/>
      <c r="AL144" s="226"/>
      <c r="AM144" s="226"/>
      <c r="AN144" s="226"/>
      <c r="AO144" s="226"/>
      <c r="AP144" s="226"/>
      <c r="AQ144" s="226"/>
      <c r="AR144" s="226"/>
      <c r="AS144" s="226"/>
      <c r="AT144" s="226"/>
      <c r="AU144" s="226"/>
      <c r="AV144" s="226"/>
      <c r="AW144" s="226"/>
      <c r="AX144" s="226"/>
      <c r="AY144" s="226"/>
      <c r="AZ144" s="226"/>
      <c r="BA144" s="226"/>
      <c r="BB144" s="226"/>
      <c r="BC144" s="226"/>
      <c r="BD144" s="226"/>
      <c r="BE144" s="226"/>
      <c r="BF144" s="226"/>
      <c r="BG144" s="226"/>
      <c r="BH144" s="226"/>
      <c r="BI144" s="226"/>
      <c r="BJ144" s="226"/>
      <c r="BK144" s="226"/>
      <c r="BL144" s="226"/>
      <c r="BM144" s="226"/>
      <c r="BN144" s="226"/>
      <c r="BO144" s="226"/>
      <c r="BP144" s="226"/>
      <c r="BQ144" s="226"/>
      <c r="BR144" s="226"/>
      <c r="BS144" s="226"/>
      <c r="BT144" s="226"/>
      <c r="BU144" s="226"/>
      <c r="BV144" s="226"/>
      <c r="BW144" s="226"/>
      <c r="BX144" s="226"/>
      <c r="BY144" s="226"/>
      <c r="BZ144" s="226"/>
      <c r="CA144" s="226"/>
      <c r="CB144" s="226"/>
      <c r="CC144" s="226"/>
      <c r="CD144" s="226"/>
      <c r="CE144" s="226"/>
      <c r="CF144" s="226"/>
      <c r="CG144" s="226"/>
      <c r="CH144" s="226"/>
      <c r="CI144" s="226"/>
      <c r="CJ144" s="226"/>
      <c r="CK144" s="226"/>
      <c r="CL144" s="226"/>
      <c r="CM144" s="226"/>
      <c r="CN144" s="226"/>
      <c r="CO144" s="226"/>
      <c r="CP144" s="226"/>
      <c r="CQ144" s="226"/>
      <c r="CR144" s="226"/>
      <c r="CS144" s="226"/>
      <c r="CT144" s="226"/>
      <c r="CU144" s="226"/>
      <c r="CV144" s="226"/>
      <c r="CW144" s="226"/>
      <c r="CX144" s="226"/>
      <c r="CY144" s="226"/>
      <c r="CZ144" s="226"/>
      <c r="DA144" s="226"/>
      <c r="DB144" s="226"/>
      <c r="DC144" s="226"/>
      <c r="DD144" s="226"/>
      <c r="DE144" s="226"/>
      <c r="DF144" s="226"/>
      <c r="DG144" s="226"/>
      <c r="DH144" s="226"/>
      <c r="DI144" s="226"/>
      <c r="DJ144" s="226"/>
      <c r="DK144" s="226"/>
      <c r="DL144" s="226"/>
      <c r="DM144" s="226"/>
      <c r="DN144" s="226"/>
      <c r="DO144" s="226"/>
      <c r="DP144" s="226"/>
      <c r="DQ144" s="226"/>
      <c r="DR144" s="226"/>
      <c r="DS144" s="226"/>
      <c r="DT144" s="226"/>
      <c r="DU144" s="226"/>
      <c r="DV144" s="226"/>
      <c r="DW144" s="226"/>
      <c r="DX144" s="226"/>
      <c r="DY144" s="226"/>
      <c r="DZ144" s="226"/>
      <c r="EA144" s="226"/>
      <c r="EB144" s="226"/>
      <c r="EC144" s="226"/>
      <c r="ED144" s="226"/>
      <c r="EE144" s="226"/>
      <c r="EF144" s="226"/>
      <c r="EG144" s="226"/>
      <c r="EH144" s="226"/>
      <c r="EI144" s="226"/>
      <c r="EJ144" s="226"/>
      <c r="EK144" s="226"/>
      <c r="EL144" s="226"/>
      <c r="EM144" s="226"/>
      <c r="EN144" s="226"/>
      <c r="EO144" s="226"/>
      <c r="EP144" s="226"/>
      <c r="EQ144" s="226"/>
      <c r="ER144" s="226"/>
      <c r="ES144" s="226"/>
      <c r="ET144" s="226"/>
      <c r="EU144" s="226"/>
      <c r="EV144" s="226"/>
      <c r="EW144" s="226"/>
      <c r="EX144" s="226"/>
      <c r="EY144" s="226"/>
      <c r="EZ144" s="226"/>
      <c r="FA144" s="226"/>
      <c r="FB144" s="226"/>
      <c r="FC144" s="226"/>
      <c r="FD144" s="226"/>
      <c r="FE144" s="226"/>
      <c r="FF144" s="226"/>
      <c r="FG144" s="226"/>
      <c r="FH144" s="226"/>
      <c r="FI144" s="226"/>
      <c r="FJ144" s="226"/>
      <c r="FK144" s="226"/>
      <c r="FL144" s="226"/>
      <c r="FM144" s="226"/>
      <c r="FN144" s="226"/>
      <c r="FO144" s="226"/>
      <c r="FP144" s="226"/>
      <c r="FQ144" s="226"/>
      <c r="FR144" s="226"/>
      <c r="FS144" s="226"/>
      <c r="FT144" s="226"/>
      <c r="FU144" s="226"/>
      <c r="FV144" s="226"/>
      <c r="FW144" s="226"/>
      <c r="FX144" s="226"/>
      <c r="FY144" s="226"/>
      <c r="FZ144" s="226"/>
      <c r="GA144" s="226"/>
      <c r="GB144" s="226"/>
      <c r="GC144" s="226"/>
      <c r="GD144" s="226"/>
      <c r="GE144" s="226"/>
      <c r="GF144" s="226"/>
      <c r="GG144" s="226"/>
    </row>
    <row r="145" spans="1:189" s="225" customFormat="1" ht="15.95" customHeight="1">
      <c r="A145" s="139"/>
      <c r="B145" s="227" t="s">
        <v>380</v>
      </c>
      <c r="C145" s="228" t="s">
        <v>1</v>
      </c>
      <c r="D145" s="138">
        <f t="shared" si="1"/>
        <v>275</v>
      </c>
      <c r="E145" s="108" t="e">
        <f>#REF!</f>
        <v>#REF!</v>
      </c>
      <c r="F145" s="65" t="e">
        <f t="shared" ref="F145:F151" si="2">+D145*E145</f>
        <v>#REF!</v>
      </c>
      <c r="H145" s="259">
        <f>F7</f>
        <v>250</v>
      </c>
      <c r="I145" s="265">
        <v>1.1000000000000001</v>
      </c>
      <c r="J145" s="259">
        <f t="shared" ref="J145:J150" si="3">H145*I145</f>
        <v>275</v>
      </c>
      <c r="K145" s="226"/>
      <c r="L145" s="226"/>
      <c r="M145" s="226"/>
      <c r="N145" s="226"/>
      <c r="O145" s="226"/>
      <c r="P145" s="226"/>
      <c r="Q145" s="226"/>
      <c r="R145" s="226"/>
      <c r="S145" s="226"/>
      <c r="T145" s="226"/>
      <c r="U145" s="226"/>
      <c r="V145" s="226"/>
      <c r="W145" s="226"/>
      <c r="X145" s="226"/>
      <c r="Y145" s="226"/>
      <c r="Z145" s="226"/>
      <c r="AA145" s="226"/>
      <c r="AB145" s="226"/>
      <c r="AC145" s="226"/>
      <c r="AD145" s="226"/>
      <c r="AE145" s="226"/>
      <c r="AF145" s="226"/>
      <c r="AG145" s="226"/>
      <c r="AH145" s="226"/>
      <c r="AI145" s="226"/>
      <c r="AJ145" s="226"/>
      <c r="AK145" s="226"/>
      <c r="AL145" s="226"/>
      <c r="AM145" s="226"/>
      <c r="AN145" s="226"/>
      <c r="AO145" s="226"/>
      <c r="AP145" s="226"/>
      <c r="AQ145" s="226"/>
      <c r="AR145" s="226"/>
      <c r="AS145" s="226"/>
      <c r="AT145" s="226"/>
      <c r="AU145" s="226"/>
      <c r="AV145" s="226"/>
      <c r="AW145" s="226"/>
      <c r="AX145" s="226"/>
      <c r="AY145" s="226"/>
      <c r="AZ145" s="226"/>
      <c r="BA145" s="226"/>
      <c r="BB145" s="226"/>
      <c r="BC145" s="226"/>
      <c r="BD145" s="226"/>
      <c r="BE145" s="226"/>
      <c r="BF145" s="226"/>
      <c r="BG145" s="226"/>
      <c r="BH145" s="226"/>
      <c r="BI145" s="226"/>
      <c r="BJ145" s="226"/>
      <c r="BK145" s="226"/>
      <c r="BL145" s="226"/>
      <c r="BM145" s="226"/>
      <c r="BN145" s="226"/>
      <c r="BO145" s="226"/>
      <c r="BP145" s="226"/>
      <c r="BQ145" s="226"/>
      <c r="BR145" s="226"/>
      <c r="BS145" s="226"/>
      <c r="BT145" s="226"/>
      <c r="BU145" s="226"/>
      <c r="BV145" s="226"/>
      <c r="BW145" s="226"/>
      <c r="BX145" s="226"/>
      <c r="BY145" s="226"/>
      <c r="BZ145" s="226"/>
      <c r="CA145" s="226"/>
      <c r="CB145" s="226"/>
      <c r="CC145" s="226"/>
      <c r="CD145" s="226"/>
      <c r="CE145" s="226"/>
      <c r="CF145" s="226"/>
      <c r="CG145" s="226"/>
      <c r="CH145" s="226"/>
      <c r="CI145" s="226"/>
      <c r="CJ145" s="226"/>
      <c r="CK145" s="226"/>
      <c r="CL145" s="226"/>
      <c r="CM145" s="226"/>
      <c r="CN145" s="226"/>
      <c r="CO145" s="226"/>
      <c r="CP145" s="226"/>
      <c r="CQ145" s="226"/>
      <c r="CR145" s="226"/>
      <c r="CS145" s="226"/>
      <c r="CT145" s="226"/>
      <c r="CU145" s="226"/>
      <c r="CV145" s="226"/>
      <c r="CW145" s="226"/>
      <c r="CX145" s="226"/>
      <c r="CY145" s="226"/>
      <c r="CZ145" s="226"/>
      <c r="DA145" s="226"/>
      <c r="DB145" s="226"/>
      <c r="DC145" s="226"/>
      <c r="DD145" s="226"/>
      <c r="DE145" s="226"/>
      <c r="DF145" s="226"/>
      <c r="DG145" s="226"/>
      <c r="DH145" s="226"/>
      <c r="DI145" s="226"/>
      <c r="DJ145" s="226"/>
      <c r="DK145" s="226"/>
      <c r="DL145" s="226"/>
      <c r="DM145" s="226"/>
      <c r="DN145" s="226"/>
      <c r="DO145" s="226"/>
      <c r="DP145" s="226"/>
      <c r="DQ145" s="226"/>
      <c r="DR145" s="226"/>
      <c r="DS145" s="226"/>
      <c r="DT145" s="226"/>
      <c r="DU145" s="226"/>
      <c r="DV145" s="226"/>
      <c r="DW145" s="226"/>
      <c r="DX145" s="226"/>
      <c r="DY145" s="226"/>
      <c r="DZ145" s="226"/>
      <c r="EA145" s="226"/>
      <c r="EB145" s="226"/>
      <c r="EC145" s="226"/>
      <c r="ED145" s="226"/>
      <c r="EE145" s="226"/>
      <c r="EF145" s="226"/>
      <c r="EG145" s="226"/>
      <c r="EH145" s="226"/>
      <c r="EI145" s="226"/>
      <c r="EJ145" s="226"/>
      <c r="EK145" s="226"/>
      <c r="EL145" s="226"/>
      <c r="EM145" s="226"/>
      <c r="EN145" s="226"/>
      <c r="EO145" s="226"/>
      <c r="EP145" s="226"/>
      <c r="EQ145" s="226"/>
      <c r="ER145" s="226"/>
      <c r="ES145" s="226"/>
      <c r="ET145" s="226"/>
      <c r="EU145" s="226"/>
      <c r="EV145" s="226"/>
      <c r="EW145" s="226"/>
      <c r="EX145" s="226"/>
      <c r="EY145" s="226"/>
      <c r="EZ145" s="226"/>
      <c r="FA145" s="226"/>
      <c r="FB145" s="226"/>
      <c r="FC145" s="226"/>
      <c r="FD145" s="226"/>
      <c r="FE145" s="226"/>
      <c r="FF145" s="226"/>
      <c r="FG145" s="226"/>
      <c r="FH145" s="226"/>
      <c r="FI145" s="226"/>
      <c r="FJ145" s="226"/>
      <c r="FK145" s="226"/>
      <c r="FL145" s="226"/>
      <c r="FM145" s="226"/>
      <c r="FN145" s="226"/>
      <c r="FO145" s="226"/>
      <c r="FP145" s="226"/>
      <c r="FQ145" s="226"/>
      <c r="FR145" s="226"/>
      <c r="FS145" s="226"/>
      <c r="FT145" s="226"/>
      <c r="FU145" s="226"/>
      <c r="FV145" s="226"/>
      <c r="FW145" s="226"/>
      <c r="FX145" s="226"/>
      <c r="FY145" s="226"/>
      <c r="FZ145" s="226"/>
      <c r="GA145" s="226"/>
      <c r="GB145" s="226"/>
      <c r="GC145" s="226"/>
      <c r="GD145" s="226"/>
      <c r="GE145" s="226"/>
      <c r="GF145" s="226"/>
      <c r="GG145" s="226"/>
    </row>
    <row r="146" spans="1:189" s="225" customFormat="1" ht="15.95" customHeight="1">
      <c r="A146" s="139"/>
      <c r="B146" s="227" t="s">
        <v>381</v>
      </c>
      <c r="C146" s="228" t="s">
        <v>1</v>
      </c>
      <c r="D146" s="138">
        <f t="shared" si="1"/>
        <v>1397</v>
      </c>
      <c r="E146" s="108" t="e">
        <f>#REF!</f>
        <v>#REF!</v>
      </c>
      <c r="F146" s="65" t="e">
        <f t="shared" si="2"/>
        <v>#REF!</v>
      </c>
      <c r="H146" s="259">
        <f>F9</f>
        <v>1270</v>
      </c>
      <c r="I146" s="265">
        <v>1.1000000000000001</v>
      </c>
      <c r="J146" s="259">
        <f t="shared" si="3"/>
        <v>1397</v>
      </c>
      <c r="K146" s="226"/>
      <c r="L146" s="226"/>
      <c r="M146" s="226"/>
      <c r="N146" s="226"/>
      <c r="O146" s="226"/>
      <c r="P146" s="226"/>
      <c r="Q146" s="226"/>
      <c r="R146" s="226"/>
      <c r="S146" s="226"/>
      <c r="T146" s="226"/>
      <c r="U146" s="226"/>
      <c r="V146" s="226"/>
      <c r="W146" s="226"/>
      <c r="X146" s="226"/>
      <c r="Y146" s="226"/>
      <c r="Z146" s="226"/>
      <c r="AA146" s="226"/>
      <c r="AB146" s="226"/>
      <c r="AC146" s="226"/>
      <c r="AD146" s="226"/>
      <c r="AE146" s="226"/>
      <c r="AF146" s="226"/>
      <c r="AG146" s="226"/>
      <c r="AH146" s="226"/>
      <c r="AI146" s="226"/>
      <c r="AJ146" s="226"/>
      <c r="AK146" s="226"/>
      <c r="AL146" s="226"/>
      <c r="AM146" s="226"/>
      <c r="AN146" s="226"/>
      <c r="AO146" s="226"/>
      <c r="AP146" s="226"/>
      <c r="AQ146" s="226"/>
      <c r="AR146" s="226"/>
      <c r="AS146" s="226"/>
      <c r="AT146" s="226"/>
      <c r="AU146" s="226"/>
      <c r="AV146" s="226"/>
      <c r="AW146" s="226"/>
      <c r="AX146" s="226"/>
      <c r="AY146" s="226"/>
      <c r="AZ146" s="226"/>
      <c r="BA146" s="226"/>
      <c r="BB146" s="226"/>
      <c r="BC146" s="226"/>
      <c r="BD146" s="226"/>
      <c r="BE146" s="226"/>
      <c r="BF146" s="226"/>
      <c r="BG146" s="226"/>
      <c r="BH146" s="226"/>
      <c r="BI146" s="226"/>
      <c r="BJ146" s="226"/>
      <c r="BK146" s="226"/>
      <c r="BL146" s="226"/>
      <c r="BM146" s="226"/>
      <c r="BN146" s="226"/>
      <c r="BO146" s="226"/>
      <c r="BP146" s="226"/>
      <c r="BQ146" s="226"/>
      <c r="BR146" s="226"/>
      <c r="BS146" s="226"/>
      <c r="BT146" s="226"/>
      <c r="BU146" s="226"/>
      <c r="BV146" s="226"/>
      <c r="BW146" s="226"/>
      <c r="BX146" s="226"/>
      <c r="BY146" s="226"/>
      <c r="BZ146" s="226"/>
      <c r="CA146" s="226"/>
      <c r="CB146" s="226"/>
      <c r="CC146" s="226"/>
      <c r="CD146" s="226"/>
      <c r="CE146" s="226"/>
      <c r="CF146" s="226"/>
      <c r="CG146" s="226"/>
      <c r="CH146" s="226"/>
      <c r="CI146" s="226"/>
      <c r="CJ146" s="226"/>
      <c r="CK146" s="226"/>
      <c r="CL146" s="226"/>
      <c r="CM146" s="226"/>
      <c r="CN146" s="226"/>
      <c r="CO146" s="226"/>
      <c r="CP146" s="226"/>
      <c r="CQ146" s="226"/>
      <c r="CR146" s="226"/>
      <c r="CS146" s="226"/>
      <c r="CT146" s="226"/>
      <c r="CU146" s="226"/>
      <c r="CV146" s="226"/>
      <c r="CW146" s="226"/>
      <c r="CX146" s="226"/>
      <c r="CY146" s="226"/>
      <c r="CZ146" s="226"/>
      <c r="DA146" s="226"/>
      <c r="DB146" s="226"/>
      <c r="DC146" s="226"/>
      <c r="DD146" s="226"/>
      <c r="DE146" s="226"/>
      <c r="DF146" s="226"/>
      <c r="DG146" s="226"/>
      <c r="DH146" s="226"/>
      <c r="DI146" s="226"/>
      <c r="DJ146" s="226"/>
      <c r="DK146" s="226"/>
      <c r="DL146" s="226"/>
      <c r="DM146" s="226"/>
      <c r="DN146" s="226"/>
      <c r="DO146" s="226"/>
      <c r="DP146" s="226"/>
      <c r="DQ146" s="226"/>
      <c r="DR146" s="226"/>
      <c r="DS146" s="226"/>
      <c r="DT146" s="226"/>
      <c r="DU146" s="226"/>
      <c r="DV146" s="226"/>
      <c r="DW146" s="226"/>
      <c r="DX146" s="226"/>
      <c r="DY146" s="226"/>
      <c r="DZ146" s="226"/>
      <c r="EA146" s="226"/>
      <c r="EB146" s="226"/>
      <c r="EC146" s="226"/>
      <c r="ED146" s="226"/>
      <c r="EE146" s="226"/>
      <c r="EF146" s="226"/>
      <c r="EG146" s="226"/>
      <c r="EH146" s="226"/>
      <c r="EI146" s="226"/>
      <c r="EJ146" s="226"/>
      <c r="EK146" s="226"/>
      <c r="EL146" s="226"/>
      <c r="EM146" s="226"/>
      <c r="EN146" s="226"/>
      <c r="EO146" s="226"/>
      <c r="EP146" s="226"/>
      <c r="EQ146" s="226"/>
      <c r="ER146" s="226"/>
      <c r="ES146" s="226"/>
      <c r="ET146" s="226"/>
      <c r="EU146" s="226"/>
      <c r="EV146" s="226"/>
      <c r="EW146" s="226"/>
      <c r="EX146" s="226"/>
      <c r="EY146" s="226"/>
      <c r="EZ146" s="226"/>
      <c r="FA146" s="226"/>
      <c r="FB146" s="226"/>
      <c r="FC146" s="226"/>
      <c r="FD146" s="226"/>
      <c r="FE146" s="226"/>
      <c r="FF146" s="226"/>
      <c r="FG146" s="226"/>
      <c r="FH146" s="226"/>
      <c r="FI146" s="226"/>
      <c r="FJ146" s="226"/>
      <c r="FK146" s="226"/>
      <c r="FL146" s="226"/>
      <c r="FM146" s="226"/>
      <c r="FN146" s="226"/>
      <c r="FO146" s="226"/>
      <c r="FP146" s="226"/>
      <c r="FQ146" s="226"/>
      <c r="FR146" s="226"/>
      <c r="FS146" s="226"/>
      <c r="FT146" s="226"/>
      <c r="FU146" s="226"/>
      <c r="FV146" s="226"/>
      <c r="FW146" s="226"/>
      <c r="FX146" s="226"/>
      <c r="FY146" s="226"/>
      <c r="FZ146" s="226"/>
      <c r="GA146" s="226"/>
      <c r="GB146" s="226"/>
      <c r="GC146" s="226"/>
      <c r="GD146" s="226"/>
      <c r="GE146" s="226"/>
      <c r="GF146" s="226"/>
      <c r="GG146" s="226"/>
    </row>
    <row r="147" spans="1:189" s="225" customFormat="1" ht="15.95" customHeight="1">
      <c r="A147" s="139"/>
      <c r="B147" s="227" t="s">
        <v>252</v>
      </c>
      <c r="C147" s="228" t="s">
        <v>1</v>
      </c>
      <c r="D147" s="138">
        <f t="shared" si="1"/>
        <v>5009.4000000000005</v>
      </c>
      <c r="E147" s="108" t="e">
        <f>#REF!</f>
        <v>#REF!</v>
      </c>
      <c r="F147" s="65" t="e">
        <f t="shared" si="2"/>
        <v>#REF!</v>
      </c>
      <c r="H147" s="259">
        <f>F8</f>
        <v>4554</v>
      </c>
      <c r="I147" s="265">
        <v>1.1000000000000001</v>
      </c>
      <c r="J147" s="259">
        <f t="shared" si="3"/>
        <v>5009.4000000000005</v>
      </c>
      <c r="K147" s="226"/>
      <c r="L147" s="226"/>
      <c r="M147" s="226"/>
      <c r="N147" s="226"/>
      <c r="O147" s="226"/>
      <c r="P147" s="226"/>
      <c r="Q147" s="226"/>
      <c r="R147" s="226"/>
      <c r="S147" s="226"/>
      <c r="T147" s="226"/>
      <c r="U147" s="226"/>
      <c r="V147" s="226"/>
      <c r="W147" s="226"/>
      <c r="X147" s="226"/>
      <c r="Y147" s="226"/>
      <c r="Z147" s="226"/>
      <c r="AA147" s="226"/>
      <c r="AB147" s="226"/>
      <c r="AC147" s="226"/>
      <c r="AD147" s="226"/>
      <c r="AE147" s="226"/>
      <c r="AF147" s="226"/>
      <c r="AG147" s="226"/>
      <c r="AH147" s="226"/>
      <c r="AI147" s="226"/>
      <c r="AJ147" s="226"/>
      <c r="AK147" s="226"/>
      <c r="AL147" s="226"/>
      <c r="AM147" s="226"/>
      <c r="AN147" s="226"/>
      <c r="AO147" s="226"/>
      <c r="AP147" s="226"/>
      <c r="AQ147" s="226"/>
      <c r="AR147" s="226"/>
      <c r="AS147" s="226"/>
      <c r="AT147" s="226"/>
      <c r="AU147" s="226"/>
      <c r="AV147" s="226"/>
      <c r="AW147" s="226"/>
      <c r="AX147" s="226"/>
      <c r="AY147" s="226"/>
      <c r="AZ147" s="226"/>
      <c r="BA147" s="226"/>
      <c r="BB147" s="226"/>
      <c r="BC147" s="226"/>
      <c r="BD147" s="226"/>
      <c r="BE147" s="226"/>
      <c r="BF147" s="226"/>
      <c r="BG147" s="226"/>
      <c r="BH147" s="226"/>
      <c r="BI147" s="226"/>
      <c r="BJ147" s="226"/>
      <c r="BK147" s="226"/>
      <c r="BL147" s="226"/>
      <c r="BM147" s="226"/>
      <c r="BN147" s="226"/>
      <c r="BO147" s="226"/>
      <c r="BP147" s="226"/>
      <c r="BQ147" s="226"/>
      <c r="BR147" s="226"/>
      <c r="BS147" s="226"/>
      <c r="BT147" s="226"/>
      <c r="BU147" s="226"/>
      <c r="BV147" s="226"/>
      <c r="BW147" s="226"/>
      <c r="BX147" s="226"/>
      <c r="BY147" s="226"/>
      <c r="BZ147" s="226"/>
      <c r="CA147" s="226"/>
      <c r="CB147" s="226"/>
      <c r="CC147" s="226"/>
      <c r="CD147" s="226"/>
      <c r="CE147" s="226"/>
      <c r="CF147" s="226"/>
      <c r="CG147" s="226"/>
      <c r="CH147" s="226"/>
      <c r="CI147" s="226"/>
      <c r="CJ147" s="226"/>
      <c r="CK147" s="226"/>
      <c r="CL147" s="226"/>
      <c r="CM147" s="226"/>
      <c r="CN147" s="226"/>
      <c r="CO147" s="226"/>
      <c r="CP147" s="226"/>
      <c r="CQ147" s="226"/>
      <c r="CR147" s="226"/>
      <c r="CS147" s="226"/>
      <c r="CT147" s="226"/>
      <c r="CU147" s="226"/>
      <c r="CV147" s="226"/>
      <c r="CW147" s="226"/>
      <c r="CX147" s="226"/>
      <c r="CY147" s="226"/>
      <c r="CZ147" s="226"/>
      <c r="DA147" s="226"/>
      <c r="DB147" s="226"/>
      <c r="DC147" s="226"/>
      <c r="DD147" s="226"/>
      <c r="DE147" s="226"/>
      <c r="DF147" s="226"/>
      <c r="DG147" s="226"/>
      <c r="DH147" s="226"/>
      <c r="DI147" s="226"/>
      <c r="DJ147" s="226"/>
      <c r="DK147" s="226"/>
      <c r="DL147" s="226"/>
      <c r="DM147" s="226"/>
      <c r="DN147" s="226"/>
      <c r="DO147" s="226"/>
      <c r="DP147" s="226"/>
      <c r="DQ147" s="226"/>
      <c r="DR147" s="226"/>
      <c r="DS147" s="226"/>
      <c r="DT147" s="226"/>
      <c r="DU147" s="226"/>
      <c r="DV147" s="226"/>
      <c r="DW147" s="226"/>
      <c r="DX147" s="226"/>
      <c r="DY147" s="226"/>
      <c r="DZ147" s="226"/>
      <c r="EA147" s="226"/>
      <c r="EB147" s="226"/>
      <c r="EC147" s="226"/>
      <c r="ED147" s="226"/>
      <c r="EE147" s="226"/>
      <c r="EF147" s="226"/>
      <c r="EG147" s="226"/>
      <c r="EH147" s="226"/>
      <c r="EI147" s="226"/>
      <c r="EJ147" s="226"/>
      <c r="EK147" s="226"/>
      <c r="EL147" s="226"/>
      <c r="EM147" s="226"/>
      <c r="EN147" s="226"/>
      <c r="EO147" s="226"/>
      <c r="EP147" s="226"/>
      <c r="EQ147" s="226"/>
      <c r="ER147" s="226"/>
      <c r="ES147" s="226"/>
      <c r="ET147" s="226"/>
      <c r="EU147" s="226"/>
      <c r="EV147" s="226"/>
      <c r="EW147" s="226"/>
      <c r="EX147" s="226"/>
      <c r="EY147" s="226"/>
      <c r="EZ147" s="226"/>
      <c r="FA147" s="226"/>
      <c r="FB147" s="226"/>
      <c r="FC147" s="226"/>
      <c r="FD147" s="226"/>
      <c r="FE147" s="226"/>
      <c r="FF147" s="226"/>
      <c r="FG147" s="226"/>
      <c r="FH147" s="226"/>
      <c r="FI147" s="226"/>
      <c r="FJ147" s="226"/>
      <c r="FK147" s="226"/>
      <c r="FL147" s="226"/>
      <c r="FM147" s="226"/>
      <c r="FN147" s="226"/>
      <c r="FO147" s="226"/>
      <c r="FP147" s="226"/>
      <c r="FQ147" s="226"/>
      <c r="FR147" s="226"/>
      <c r="FS147" s="226"/>
      <c r="FT147" s="226"/>
      <c r="FU147" s="226"/>
      <c r="FV147" s="226"/>
      <c r="FW147" s="226"/>
      <c r="FX147" s="226"/>
      <c r="FY147" s="226"/>
      <c r="FZ147" s="226"/>
      <c r="GA147" s="226"/>
      <c r="GB147" s="226"/>
      <c r="GC147" s="226"/>
      <c r="GD147" s="226"/>
      <c r="GE147" s="226"/>
      <c r="GF147" s="226"/>
      <c r="GG147" s="226"/>
    </row>
    <row r="148" spans="1:189" s="225" customFormat="1" ht="15.95" customHeight="1">
      <c r="A148" s="139"/>
      <c r="B148" s="227" t="s">
        <v>382</v>
      </c>
      <c r="C148" s="228" t="s">
        <v>1</v>
      </c>
      <c r="D148" s="138">
        <f t="shared" si="1"/>
        <v>737.00000000000011</v>
      </c>
      <c r="E148" s="108" t="e">
        <f>#REF!</f>
        <v>#REF!</v>
      </c>
      <c r="F148" s="65" t="e">
        <f t="shared" si="2"/>
        <v>#REF!</v>
      </c>
      <c r="H148" s="259">
        <f>F10</f>
        <v>670</v>
      </c>
      <c r="I148" s="265">
        <v>1.1000000000000001</v>
      </c>
      <c r="J148" s="259">
        <f t="shared" si="3"/>
        <v>737.00000000000011</v>
      </c>
      <c r="K148" s="226"/>
      <c r="L148" s="226"/>
      <c r="M148" s="226"/>
      <c r="N148" s="226"/>
      <c r="O148" s="226"/>
      <c r="P148" s="226"/>
      <c r="Q148" s="226"/>
      <c r="R148" s="226"/>
      <c r="S148" s="226"/>
      <c r="T148" s="226"/>
      <c r="U148" s="226"/>
      <c r="V148" s="226"/>
      <c r="W148" s="226"/>
      <c r="X148" s="226"/>
      <c r="Y148" s="226"/>
      <c r="Z148" s="226"/>
      <c r="AA148" s="226"/>
      <c r="AB148" s="226"/>
      <c r="AC148" s="226"/>
      <c r="AD148" s="226"/>
      <c r="AE148" s="226"/>
      <c r="AF148" s="226"/>
      <c r="AG148" s="226"/>
      <c r="AH148" s="226"/>
      <c r="AI148" s="226"/>
      <c r="AJ148" s="226"/>
      <c r="AK148" s="226"/>
      <c r="AL148" s="226"/>
      <c r="AM148" s="226"/>
      <c r="AN148" s="226"/>
      <c r="AO148" s="226"/>
      <c r="AP148" s="226"/>
      <c r="AQ148" s="226"/>
      <c r="AR148" s="226"/>
      <c r="AS148" s="226"/>
      <c r="AT148" s="226"/>
      <c r="AU148" s="226"/>
      <c r="AV148" s="226"/>
      <c r="AW148" s="226"/>
      <c r="AX148" s="226"/>
      <c r="AY148" s="226"/>
      <c r="AZ148" s="226"/>
      <c r="BA148" s="226"/>
      <c r="BB148" s="226"/>
      <c r="BC148" s="226"/>
      <c r="BD148" s="226"/>
      <c r="BE148" s="226"/>
      <c r="BF148" s="226"/>
      <c r="BG148" s="226"/>
      <c r="BH148" s="226"/>
      <c r="BI148" s="226"/>
      <c r="BJ148" s="226"/>
      <c r="BK148" s="226"/>
      <c r="BL148" s="226"/>
      <c r="BM148" s="226"/>
      <c r="BN148" s="226"/>
      <c r="BO148" s="226"/>
      <c r="BP148" s="226"/>
      <c r="BQ148" s="226"/>
      <c r="BR148" s="226"/>
      <c r="BS148" s="226"/>
      <c r="BT148" s="226"/>
      <c r="BU148" s="226"/>
      <c r="BV148" s="226"/>
      <c r="BW148" s="226"/>
      <c r="BX148" s="226"/>
      <c r="BY148" s="226"/>
      <c r="BZ148" s="226"/>
      <c r="CA148" s="226"/>
      <c r="CB148" s="226"/>
      <c r="CC148" s="226"/>
      <c r="CD148" s="226"/>
      <c r="CE148" s="226"/>
      <c r="CF148" s="226"/>
      <c r="CG148" s="226"/>
      <c r="CH148" s="226"/>
      <c r="CI148" s="226"/>
      <c r="CJ148" s="226"/>
      <c r="CK148" s="226"/>
      <c r="CL148" s="226"/>
      <c r="CM148" s="226"/>
      <c r="CN148" s="226"/>
      <c r="CO148" s="226"/>
      <c r="CP148" s="226"/>
      <c r="CQ148" s="226"/>
      <c r="CR148" s="226"/>
      <c r="CS148" s="226"/>
      <c r="CT148" s="226"/>
      <c r="CU148" s="226"/>
      <c r="CV148" s="226"/>
      <c r="CW148" s="226"/>
      <c r="CX148" s="226"/>
      <c r="CY148" s="226"/>
      <c r="CZ148" s="226"/>
      <c r="DA148" s="226"/>
      <c r="DB148" s="226"/>
      <c r="DC148" s="226"/>
      <c r="DD148" s="226"/>
      <c r="DE148" s="226"/>
      <c r="DF148" s="226"/>
      <c r="DG148" s="226"/>
      <c r="DH148" s="226"/>
      <c r="DI148" s="226"/>
      <c r="DJ148" s="226"/>
      <c r="DK148" s="226"/>
      <c r="DL148" s="226"/>
      <c r="DM148" s="226"/>
      <c r="DN148" s="226"/>
      <c r="DO148" s="226"/>
      <c r="DP148" s="226"/>
      <c r="DQ148" s="226"/>
      <c r="DR148" s="226"/>
      <c r="DS148" s="226"/>
      <c r="DT148" s="226"/>
      <c r="DU148" s="226"/>
      <c r="DV148" s="226"/>
      <c r="DW148" s="226"/>
      <c r="DX148" s="226"/>
      <c r="DY148" s="226"/>
      <c r="DZ148" s="226"/>
      <c r="EA148" s="226"/>
      <c r="EB148" s="226"/>
      <c r="EC148" s="226"/>
      <c r="ED148" s="226"/>
      <c r="EE148" s="226"/>
      <c r="EF148" s="226"/>
      <c r="EG148" s="226"/>
      <c r="EH148" s="226"/>
      <c r="EI148" s="226"/>
      <c r="EJ148" s="226"/>
      <c r="EK148" s="226"/>
      <c r="EL148" s="226"/>
      <c r="EM148" s="226"/>
      <c r="EN148" s="226"/>
      <c r="EO148" s="226"/>
      <c r="EP148" s="226"/>
      <c r="EQ148" s="226"/>
      <c r="ER148" s="226"/>
      <c r="ES148" s="226"/>
      <c r="ET148" s="226"/>
      <c r="EU148" s="226"/>
      <c r="EV148" s="226"/>
      <c r="EW148" s="226"/>
      <c r="EX148" s="226"/>
      <c r="EY148" s="226"/>
      <c r="EZ148" s="226"/>
      <c r="FA148" s="226"/>
      <c r="FB148" s="226"/>
      <c r="FC148" s="226"/>
      <c r="FD148" s="226"/>
      <c r="FE148" s="226"/>
      <c r="FF148" s="226"/>
      <c r="FG148" s="226"/>
      <c r="FH148" s="226"/>
      <c r="FI148" s="226"/>
      <c r="FJ148" s="226"/>
      <c r="FK148" s="226"/>
      <c r="FL148" s="226"/>
      <c r="FM148" s="226"/>
      <c r="FN148" s="226"/>
      <c r="FO148" s="226"/>
      <c r="FP148" s="226"/>
      <c r="FQ148" s="226"/>
      <c r="FR148" s="226"/>
      <c r="FS148" s="226"/>
      <c r="FT148" s="226"/>
      <c r="FU148" s="226"/>
      <c r="FV148" s="226"/>
      <c r="FW148" s="226"/>
      <c r="FX148" s="226"/>
      <c r="FY148" s="226"/>
      <c r="FZ148" s="226"/>
      <c r="GA148" s="226"/>
      <c r="GB148" s="226"/>
      <c r="GC148" s="226"/>
      <c r="GD148" s="226"/>
      <c r="GE148" s="226"/>
      <c r="GF148" s="226"/>
      <c r="GG148" s="226"/>
    </row>
    <row r="149" spans="1:189" s="225" customFormat="1" ht="15.95" customHeight="1">
      <c r="A149" s="139"/>
      <c r="B149" s="227" t="s">
        <v>383</v>
      </c>
      <c r="C149" s="228" t="s">
        <v>1</v>
      </c>
      <c r="D149" s="138">
        <f t="shared" si="1"/>
        <v>3773.0000000000005</v>
      </c>
      <c r="E149" s="108" t="e">
        <f>#REF!</f>
        <v>#REF!</v>
      </c>
      <c r="F149" s="65" t="e">
        <f t="shared" si="2"/>
        <v>#REF!</v>
      </c>
      <c r="H149" s="259">
        <f>F5</f>
        <v>3430</v>
      </c>
      <c r="I149" s="265">
        <v>1.1000000000000001</v>
      </c>
      <c r="J149" s="259">
        <f t="shared" si="3"/>
        <v>3773.0000000000005</v>
      </c>
      <c r="K149" s="226"/>
      <c r="L149" s="226"/>
      <c r="M149" s="226"/>
      <c r="N149" s="226"/>
      <c r="O149" s="226"/>
      <c r="P149" s="226"/>
      <c r="Q149" s="226"/>
      <c r="R149" s="226"/>
      <c r="S149" s="226"/>
      <c r="T149" s="226"/>
      <c r="U149" s="226"/>
      <c r="V149" s="226"/>
      <c r="W149" s="226"/>
      <c r="X149" s="226"/>
      <c r="Y149" s="226"/>
      <c r="Z149" s="226"/>
      <c r="AA149" s="226"/>
      <c r="AB149" s="226"/>
      <c r="AC149" s="226"/>
      <c r="AD149" s="226"/>
      <c r="AE149" s="226"/>
      <c r="AF149" s="226"/>
      <c r="AG149" s="226"/>
      <c r="AH149" s="226"/>
      <c r="AI149" s="226"/>
      <c r="AJ149" s="226"/>
      <c r="AK149" s="226"/>
      <c r="AL149" s="226"/>
      <c r="AM149" s="226"/>
      <c r="AN149" s="226"/>
      <c r="AO149" s="226"/>
      <c r="AP149" s="226"/>
      <c r="AQ149" s="226"/>
      <c r="AR149" s="226"/>
      <c r="AS149" s="226"/>
      <c r="AT149" s="226"/>
      <c r="AU149" s="226"/>
      <c r="AV149" s="226"/>
      <c r="AW149" s="226"/>
      <c r="AX149" s="226"/>
      <c r="AY149" s="226"/>
      <c r="AZ149" s="226"/>
      <c r="BA149" s="226"/>
      <c r="BB149" s="226"/>
      <c r="BC149" s="226"/>
      <c r="BD149" s="226"/>
      <c r="BE149" s="226"/>
      <c r="BF149" s="226"/>
      <c r="BG149" s="226"/>
      <c r="BH149" s="226"/>
      <c r="BI149" s="226"/>
      <c r="BJ149" s="226"/>
      <c r="BK149" s="226"/>
      <c r="BL149" s="226"/>
      <c r="BM149" s="226"/>
      <c r="BN149" s="226"/>
      <c r="BO149" s="226"/>
      <c r="BP149" s="226"/>
      <c r="BQ149" s="226"/>
      <c r="BR149" s="226"/>
      <c r="BS149" s="226"/>
      <c r="BT149" s="226"/>
      <c r="BU149" s="226"/>
      <c r="BV149" s="226"/>
      <c r="BW149" s="226"/>
      <c r="BX149" s="226"/>
      <c r="BY149" s="226"/>
      <c r="BZ149" s="226"/>
      <c r="CA149" s="226"/>
      <c r="CB149" s="226"/>
      <c r="CC149" s="226"/>
      <c r="CD149" s="226"/>
      <c r="CE149" s="226"/>
      <c r="CF149" s="226"/>
      <c r="CG149" s="226"/>
      <c r="CH149" s="226"/>
      <c r="CI149" s="226"/>
      <c r="CJ149" s="226"/>
      <c r="CK149" s="226"/>
      <c r="CL149" s="226"/>
      <c r="CM149" s="226"/>
      <c r="CN149" s="226"/>
      <c r="CO149" s="226"/>
      <c r="CP149" s="226"/>
      <c r="CQ149" s="226"/>
      <c r="CR149" s="226"/>
      <c r="CS149" s="226"/>
      <c r="CT149" s="226"/>
      <c r="CU149" s="226"/>
      <c r="CV149" s="226"/>
      <c r="CW149" s="226"/>
      <c r="CX149" s="226"/>
      <c r="CY149" s="226"/>
      <c r="CZ149" s="226"/>
      <c r="DA149" s="226"/>
      <c r="DB149" s="226"/>
      <c r="DC149" s="226"/>
      <c r="DD149" s="226"/>
      <c r="DE149" s="226"/>
      <c r="DF149" s="226"/>
      <c r="DG149" s="226"/>
      <c r="DH149" s="226"/>
      <c r="DI149" s="226"/>
      <c r="DJ149" s="226"/>
      <c r="DK149" s="226"/>
      <c r="DL149" s="226"/>
      <c r="DM149" s="226"/>
      <c r="DN149" s="226"/>
      <c r="DO149" s="226"/>
      <c r="DP149" s="226"/>
      <c r="DQ149" s="226"/>
      <c r="DR149" s="226"/>
      <c r="DS149" s="226"/>
      <c r="DT149" s="226"/>
      <c r="DU149" s="226"/>
      <c r="DV149" s="226"/>
      <c r="DW149" s="226"/>
      <c r="DX149" s="226"/>
      <c r="DY149" s="226"/>
      <c r="DZ149" s="226"/>
      <c r="EA149" s="226"/>
      <c r="EB149" s="226"/>
      <c r="EC149" s="226"/>
      <c r="ED149" s="226"/>
      <c r="EE149" s="226"/>
      <c r="EF149" s="226"/>
      <c r="EG149" s="226"/>
      <c r="EH149" s="226"/>
      <c r="EI149" s="226"/>
      <c r="EJ149" s="226"/>
      <c r="EK149" s="226"/>
      <c r="EL149" s="226"/>
      <c r="EM149" s="226"/>
      <c r="EN149" s="226"/>
      <c r="EO149" s="226"/>
      <c r="EP149" s="226"/>
      <c r="EQ149" s="226"/>
      <c r="ER149" s="226"/>
      <c r="ES149" s="226"/>
      <c r="ET149" s="226"/>
      <c r="EU149" s="226"/>
      <c r="EV149" s="226"/>
      <c r="EW149" s="226"/>
      <c r="EX149" s="226"/>
      <c r="EY149" s="226"/>
      <c r="EZ149" s="226"/>
      <c r="FA149" s="226"/>
      <c r="FB149" s="226"/>
      <c r="FC149" s="226"/>
      <c r="FD149" s="226"/>
      <c r="FE149" s="226"/>
      <c r="FF149" s="226"/>
      <c r="FG149" s="226"/>
      <c r="FH149" s="226"/>
      <c r="FI149" s="226"/>
      <c r="FJ149" s="226"/>
      <c r="FK149" s="226"/>
      <c r="FL149" s="226"/>
      <c r="FM149" s="226"/>
      <c r="FN149" s="226"/>
      <c r="FO149" s="226"/>
      <c r="FP149" s="226"/>
      <c r="FQ149" s="226"/>
      <c r="FR149" s="226"/>
      <c r="FS149" s="226"/>
      <c r="FT149" s="226"/>
      <c r="FU149" s="226"/>
      <c r="FV149" s="226"/>
      <c r="FW149" s="226"/>
      <c r="FX149" s="226"/>
      <c r="FY149" s="226"/>
      <c r="FZ149" s="226"/>
      <c r="GA149" s="226"/>
      <c r="GB149" s="226"/>
      <c r="GC149" s="226"/>
      <c r="GD149" s="226"/>
      <c r="GE149" s="226"/>
      <c r="GF149" s="226"/>
      <c r="GG149" s="226"/>
    </row>
    <row r="150" spans="1:189" s="225" customFormat="1" ht="15.95" customHeight="1">
      <c r="A150" s="139"/>
      <c r="B150" s="227" t="s">
        <v>321</v>
      </c>
      <c r="C150" s="228" t="s">
        <v>1</v>
      </c>
      <c r="D150" s="138">
        <f t="shared" si="1"/>
        <v>319</v>
      </c>
      <c r="E150" s="108" t="e">
        <f>#REF!</f>
        <v>#REF!</v>
      </c>
      <c r="F150" s="65" t="e">
        <f t="shared" si="2"/>
        <v>#REF!</v>
      </c>
      <c r="H150" s="259">
        <f>F4</f>
        <v>290</v>
      </c>
      <c r="I150" s="265">
        <v>1.1000000000000001</v>
      </c>
      <c r="J150" s="259">
        <f t="shared" si="3"/>
        <v>319</v>
      </c>
      <c r="K150" s="226"/>
      <c r="L150" s="226"/>
      <c r="M150" s="226"/>
      <c r="N150" s="226"/>
      <c r="O150" s="226"/>
      <c r="P150" s="226"/>
      <c r="Q150" s="226"/>
      <c r="R150" s="226"/>
      <c r="S150" s="226"/>
      <c r="T150" s="226"/>
      <c r="U150" s="226"/>
      <c r="V150" s="226"/>
      <c r="W150" s="226"/>
      <c r="X150" s="226"/>
      <c r="Y150" s="226"/>
      <c r="Z150" s="226"/>
      <c r="AA150" s="226"/>
      <c r="AB150" s="226"/>
      <c r="AC150" s="226"/>
      <c r="AD150" s="226"/>
      <c r="AE150" s="226"/>
      <c r="AF150" s="226"/>
      <c r="AG150" s="226"/>
      <c r="AH150" s="226"/>
      <c r="AI150" s="226"/>
      <c r="AJ150" s="226"/>
      <c r="AK150" s="226"/>
      <c r="AL150" s="226"/>
      <c r="AM150" s="226"/>
      <c r="AN150" s="226"/>
      <c r="AO150" s="226"/>
      <c r="AP150" s="226"/>
      <c r="AQ150" s="226"/>
      <c r="AR150" s="226"/>
      <c r="AS150" s="226"/>
      <c r="AT150" s="226"/>
      <c r="AU150" s="226"/>
      <c r="AV150" s="226"/>
      <c r="AW150" s="226"/>
      <c r="AX150" s="226"/>
      <c r="AY150" s="226"/>
      <c r="AZ150" s="226"/>
      <c r="BA150" s="226"/>
      <c r="BB150" s="226"/>
      <c r="BC150" s="226"/>
      <c r="BD150" s="226"/>
      <c r="BE150" s="226"/>
      <c r="BF150" s="226"/>
      <c r="BG150" s="226"/>
      <c r="BH150" s="226"/>
      <c r="BI150" s="226"/>
      <c r="BJ150" s="226"/>
      <c r="BK150" s="226"/>
      <c r="BL150" s="226"/>
      <c r="BM150" s="226"/>
      <c r="BN150" s="226"/>
      <c r="BO150" s="226"/>
      <c r="BP150" s="226"/>
      <c r="BQ150" s="226"/>
      <c r="BR150" s="226"/>
      <c r="BS150" s="226"/>
      <c r="BT150" s="226"/>
      <c r="BU150" s="226"/>
      <c r="BV150" s="226"/>
      <c r="BW150" s="226"/>
      <c r="BX150" s="226"/>
      <c r="BY150" s="226"/>
      <c r="BZ150" s="226"/>
      <c r="CA150" s="226"/>
      <c r="CB150" s="226"/>
      <c r="CC150" s="226"/>
      <c r="CD150" s="226"/>
      <c r="CE150" s="226"/>
      <c r="CF150" s="226"/>
      <c r="CG150" s="226"/>
      <c r="CH150" s="226"/>
      <c r="CI150" s="226"/>
      <c r="CJ150" s="226"/>
      <c r="CK150" s="226"/>
      <c r="CL150" s="226"/>
      <c r="CM150" s="226"/>
      <c r="CN150" s="226"/>
      <c r="CO150" s="226"/>
      <c r="CP150" s="226"/>
      <c r="CQ150" s="226"/>
      <c r="CR150" s="226"/>
      <c r="CS150" s="226"/>
      <c r="CT150" s="226"/>
      <c r="CU150" s="226"/>
      <c r="CV150" s="226"/>
      <c r="CW150" s="226"/>
      <c r="CX150" s="226"/>
      <c r="CY150" s="226"/>
      <c r="CZ150" s="226"/>
      <c r="DA150" s="226"/>
      <c r="DB150" s="226"/>
      <c r="DC150" s="226"/>
      <c r="DD150" s="226"/>
      <c r="DE150" s="226"/>
      <c r="DF150" s="226"/>
      <c r="DG150" s="226"/>
      <c r="DH150" s="226"/>
      <c r="DI150" s="226"/>
      <c r="DJ150" s="226"/>
      <c r="DK150" s="226"/>
      <c r="DL150" s="226"/>
      <c r="DM150" s="226"/>
      <c r="DN150" s="226"/>
      <c r="DO150" s="226"/>
      <c r="DP150" s="226"/>
      <c r="DQ150" s="226"/>
      <c r="DR150" s="226"/>
      <c r="DS150" s="226"/>
      <c r="DT150" s="226"/>
      <c r="DU150" s="226"/>
      <c r="DV150" s="226"/>
      <c r="DW150" s="226"/>
      <c r="DX150" s="226"/>
      <c r="DY150" s="226"/>
      <c r="DZ150" s="226"/>
      <c r="EA150" s="226"/>
      <c r="EB150" s="226"/>
      <c r="EC150" s="226"/>
      <c r="ED150" s="226"/>
      <c r="EE150" s="226"/>
      <c r="EF150" s="226"/>
      <c r="EG150" s="226"/>
      <c r="EH150" s="226"/>
      <c r="EI150" s="226"/>
      <c r="EJ150" s="226"/>
      <c r="EK150" s="226"/>
      <c r="EL150" s="226"/>
      <c r="EM150" s="226"/>
      <c r="EN150" s="226"/>
      <c r="EO150" s="226"/>
      <c r="EP150" s="226"/>
      <c r="EQ150" s="226"/>
      <c r="ER150" s="226"/>
      <c r="ES150" s="226"/>
      <c r="ET150" s="226"/>
      <c r="EU150" s="226"/>
      <c r="EV150" s="226"/>
      <c r="EW150" s="226"/>
      <c r="EX150" s="226"/>
      <c r="EY150" s="226"/>
      <c r="EZ150" s="226"/>
      <c r="FA150" s="226"/>
      <c r="FB150" s="226"/>
      <c r="FC150" s="226"/>
      <c r="FD150" s="226"/>
      <c r="FE150" s="226"/>
      <c r="FF150" s="226"/>
      <c r="FG150" s="226"/>
      <c r="FH150" s="226"/>
      <c r="FI150" s="226"/>
      <c r="FJ150" s="226"/>
      <c r="FK150" s="226"/>
      <c r="FL150" s="226"/>
      <c r="FM150" s="226"/>
      <c r="FN150" s="226"/>
      <c r="FO150" s="226"/>
      <c r="FP150" s="226"/>
      <c r="FQ150" s="226"/>
      <c r="FR150" s="226"/>
      <c r="FS150" s="226"/>
      <c r="FT150" s="226"/>
      <c r="FU150" s="226"/>
      <c r="FV150" s="226"/>
      <c r="FW150" s="226"/>
      <c r="FX150" s="226"/>
      <c r="FY150" s="226"/>
      <c r="FZ150" s="226"/>
      <c r="GA150" s="226"/>
      <c r="GB150" s="226"/>
      <c r="GC150" s="226"/>
      <c r="GD150" s="226"/>
      <c r="GE150" s="226"/>
      <c r="GF150" s="226"/>
      <c r="GG150" s="226"/>
    </row>
    <row r="151" spans="1:189" s="225" customFormat="1" ht="15.95" customHeight="1">
      <c r="A151" s="17" t="s">
        <v>235</v>
      </c>
      <c r="B151" s="227" t="s">
        <v>379</v>
      </c>
      <c r="C151" s="228" t="s">
        <v>1</v>
      </c>
      <c r="D151" s="138">
        <f t="shared" si="1"/>
        <v>517</v>
      </c>
      <c r="E151" s="108" t="e">
        <f>+#REF!</f>
        <v>#REF!</v>
      </c>
      <c r="F151" s="65" t="e">
        <f t="shared" si="2"/>
        <v>#REF!</v>
      </c>
      <c r="H151" s="259">
        <f>F3</f>
        <v>470</v>
      </c>
      <c r="I151" s="265">
        <v>1.1000000000000001</v>
      </c>
      <c r="J151" s="259">
        <f>H151*I151</f>
        <v>517</v>
      </c>
      <c r="K151" s="226"/>
      <c r="L151" s="226"/>
      <c r="M151" s="226"/>
      <c r="N151" s="226"/>
      <c r="O151" s="226"/>
      <c r="P151" s="226"/>
      <c r="Q151" s="226"/>
      <c r="R151" s="226"/>
      <c r="S151" s="226"/>
      <c r="T151" s="226"/>
      <c r="U151" s="226"/>
      <c r="V151" s="226"/>
      <c r="W151" s="226"/>
      <c r="X151" s="226"/>
      <c r="Y151" s="226"/>
      <c r="Z151" s="226"/>
      <c r="AA151" s="226"/>
      <c r="AB151" s="226"/>
      <c r="AC151" s="226"/>
      <c r="AD151" s="226"/>
      <c r="AE151" s="226"/>
      <c r="AF151" s="226"/>
      <c r="AG151" s="226"/>
      <c r="AH151" s="226"/>
      <c r="AI151" s="226"/>
      <c r="AJ151" s="226"/>
      <c r="AK151" s="226"/>
      <c r="AL151" s="226"/>
      <c r="AM151" s="226"/>
      <c r="AN151" s="226"/>
      <c r="AO151" s="226"/>
      <c r="AP151" s="226"/>
      <c r="AQ151" s="226"/>
      <c r="AR151" s="226"/>
      <c r="AS151" s="226"/>
      <c r="AT151" s="226"/>
      <c r="AU151" s="226"/>
      <c r="AV151" s="226"/>
      <c r="AW151" s="226"/>
      <c r="AX151" s="226"/>
      <c r="AY151" s="226"/>
      <c r="AZ151" s="226"/>
      <c r="BA151" s="226"/>
      <c r="BB151" s="226"/>
      <c r="BC151" s="226"/>
      <c r="BD151" s="226"/>
      <c r="BE151" s="226"/>
      <c r="BF151" s="226"/>
      <c r="BG151" s="226"/>
      <c r="BH151" s="226"/>
      <c r="BI151" s="226"/>
      <c r="BJ151" s="226"/>
      <c r="BK151" s="226"/>
      <c r="BL151" s="226"/>
      <c r="BM151" s="226"/>
      <c r="BN151" s="226"/>
      <c r="BO151" s="226"/>
      <c r="BP151" s="226"/>
      <c r="BQ151" s="226"/>
      <c r="BR151" s="226"/>
      <c r="BS151" s="226"/>
      <c r="BT151" s="226"/>
      <c r="BU151" s="226"/>
      <c r="BV151" s="226"/>
      <c r="BW151" s="226"/>
      <c r="BX151" s="226"/>
      <c r="BY151" s="226"/>
      <c r="BZ151" s="226"/>
      <c r="CA151" s="226"/>
      <c r="CB151" s="226"/>
      <c r="CC151" s="226"/>
      <c r="CD151" s="226"/>
      <c r="CE151" s="226"/>
      <c r="CF151" s="226"/>
      <c r="CG151" s="226"/>
      <c r="CH151" s="226"/>
      <c r="CI151" s="226"/>
      <c r="CJ151" s="226"/>
      <c r="CK151" s="226"/>
      <c r="CL151" s="226"/>
      <c r="CM151" s="226"/>
      <c r="CN151" s="226"/>
      <c r="CO151" s="226"/>
      <c r="CP151" s="226"/>
      <c r="CQ151" s="226"/>
      <c r="CR151" s="226"/>
      <c r="CS151" s="226"/>
      <c r="CT151" s="226"/>
      <c r="CU151" s="226"/>
      <c r="CV151" s="226"/>
      <c r="CW151" s="226"/>
      <c r="CX151" s="226"/>
      <c r="CY151" s="226"/>
      <c r="CZ151" s="226"/>
      <c r="DA151" s="226"/>
      <c r="DB151" s="226"/>
      <c r="DC151" s="226"/>
      <c r="DD151" s="226"/>
      <c r="DE151" s="226"/>
      <c r="DF151" s="226"/>
      <c r="DG151" s="226"/>
      <c r="DH151" s="226"/>
      <c r="DI151" s="226"/>
      <c r="DJ151" s="226"/>
      <c r="DK151" s="226"/>
      <c r="DL151" s="226"/>
      <c r="DM151" s="226"/>
      <c r="DN151" s="226"/>
      <c r="DO151" s="226"/>
      <c r="DP151" s="226"/>
      <c r="DQ151" s="226"/>
      <c r="DR151" s="226"/>
      <c r="DS151" s="226"/>
      <c r="DT151" s="226"/>
      <c r="DU151" s="226"/>
      <c r="DV151" s="226"/>
      <c r="DW151" s="226"/>
      <c r="DX151" s="226"/>
      <c r="DY151" s="226"/>
      <c r="DZ151" s="226"/>
      <c r="EA151" s="226"/>
      <c r="EB151" s="226"/>
      <c r="EC151" s="226"/>
      <c r="ED151" s="226"/>
      <c r="EE151" s="226"/>
      <c r="EF151" s="226"/>
      <c r="EG151" s="226"/>
      <c r="EH151" s="226"/>
      <c r="EI151" s="226"/>
      <c r="EJ151" s="226"/>
      <c r="EK151" s="226"/>
      <c r="EL151" s="226"/>
      <c r="EM151" s="226"/>
      <c r="EN151" s="226"/>
      <c r="EO151" s="226"/>
      <c r="EP151" s="226"/>
      <c r="EQ151" s="226"/>
      <c r="ER151" s="226"/>
      <c r="ES151" s="226"/>
      <c r="ET151" s="226"/>
      <c r="EU151" s="226"/>
      <c r="EV151" s="226"/>
      <c r="EW151" s="226"/>
      <c r="EX151" s="226"/>
      <c r="EY151" s="226"/>
      <c r="EZ151" s="226"/>
      <c r="FA151" s="226"/>
      <c r="FB151" s="226"/>
      <c r="FC151" s="226"/>
      <c r="FD151" s="226"/>
      <c r="FE151" s="226"/>
      <c r="FF151" s="226"/>
      <c r="FG151" s="226"/>
      <c r="FH151" s="226"/>
      <c r="FI151" s="226"/>
      <c r="FJ151" s="226"/>
      <c r="FK151" s="226"/>
      <c r="FL151" s="226"/>
      <c r="FM151" s="226"/>
      <c r="FN151" s="226"/>
      <c r="FO151" s="226"/>
      <c r="FP151" s="226"/>
      <c r="FQ151" s="226"/>
      <c r="FR151" s="226"/>
      <c r="FS151" s="226"/>
      <c r="FT151" s="226"/>
      <c r="FU151" s="226"/>
      <c r="FV151" s="226"/>
      <c r="FW151" s="226"/>
      <c r="FX151" s="226"/>
      <c r="FY151" s="226"/>
      <c r="FZ151" s="226"/>
      <c r="GA151" s="226"/>
      <c r="GB151" s="226"/>
      <c r="GC151" s="226"/>
      <c r="GD151" s="226"/>
      <c r="GE151" s="226"/>
      <c r="GF151" s="226"/>
      <c r="GG151" s="226"/>
    </row>
    <row r="152" spans="1:189" s="225" customFormat="1" ht="15.95" customHeight="1">
      <c r="A152" s="17"/>
      <c r="B152" s="39"/>
      <c r="C152" s="228"/>
      <c r="D152" s="138"/>
      <c r="E152" s="140"/>
      <c r="F152" s="65"/>
      <c r="H152" s="259"/>
      <c r="I152" s="265"/>
      <c r="J152" s="259"/>
      <c r="K152" s="226"/>
      <c r="L152" s="226"/>
      <c r="M152" s="226"/>
      <c r="N152" s="226"/>
      <c r="O152" s="226"/>
      <c r="P152" s="226"/>
      <c r="Q152" s="226"/>
      <c r="R152" s="226"/>
      <c r="S152" s="226"/>
      <c r="T152" s="226"/>
      <c r="U152" s="226"/>
      <c r="V152" s="226"/>
      <c r="W152" s="226"/>
      <c r="X152" s="226"/>
      <c r="Y152" s="226"/>
      <c r="Z152" s="226"/>
      <c r="AA152" s="226"/>
      <c r="AB152" s="226"/>
      <c r="AC152" s="226"/>
      <c r="AD152" s="226"/>
      <c r="AE152" s="226"/>
      <c r="AF152" s="226"/>
      <c r="AG152" s="226"/>
      <c r="AH152" s="226"/>
      <c r="AI152" s="226"/>
      <c r="AJ152" s="226"/>
      <c r="AK152" s="226"/>
      <c r="AL152" s="226"/>
      <c r="AM152" s="226"/>
      <c r="AN152" s="226"/>
      <c r="AO152" s="226"/>
      <c r="AP152" s="226"/>
      <c r="AQ152" s="226"/>
      <c r="AR152" s="226"/>
      <c r="AS152" s="226"/>
      <c r="AT152" s="226"/>
      <c r="AU152" s="226"/>
      <c r="AV152" s="226"/>
      <c r="AW152" s="226"/>
      <c r="AX152" s="226"/>
      <c r="AY152" s="226"/>
      <c r="AZ152" s="226"/>
      <c r="BA152" s="226"/>
      <c r="BB152" s="226"/>
      <c r="BC152" s="226"/>
      <c r="BD152" s="226"/>
      <c r="BE152" s="226"/>
      <c r="BF152" s="226"/>
      <c r="BG152" s="226"/>
      <c r="BH152" s="226"/>
      <c r="BI152" s="226"/>
      <c r="BJ152" s="226"/>
      <c r="BK152" s="226"/>
      <c r="BL152" s="226"/>
      <c r="BM152" s="226"/>
      <c r="BN152" s="226"/>
      <c r="BO152" s="226"/>
      <c r="BP152" s="226"/>
      <c r="BQ152" s="226"/>
      <c r="BR152" s="226"/>
      <c r="BS152" s="226"/>
      <c r="BT152" s="226"/>
      <c r="BU152" s="226"/>
      <c r="BV152" s="226"/>
      <c r="BW152" s="226"/>
      <c r="BX152" s="226"/>
      <c r="BY152" s="226"/>
      <c r="BZ152" s="226"/>
      <c r="CA152" s="226"/>
      <c r="CB152" s="226"/>
      <c r="CC152" s="226"/>
      <c r="CD152" s="226"/>
      <c r="CE152" s="226"/>
      <c r="CF152" s="226"/>
      <c r="CG152" s="226"/>
      <c r="CH152" s="226"/>
      <c r="CI152" s="226"/>
      <c r="CJ152" s="226"/>
      <c r="CK152" s="226"/>
      <c r="CL152" s="226"/>
      <c r="CM152" s="226"/>
      <c r="CN152" s="226"/>
      <c r="CO152" s="226"/>
      <c r="CP152" s="226"/>
      <c r="CQ152" s="226"/>
      <c r="CR152" s="226"/>
      <c r="CS152" s="226"/>
      <c r="CT152" s="226"/>
      <c r="CU152" s="226"/>
      <c r="CV152" s="226"/>
      <c r="CW152" s="226"/>
      <c r="CX152" s="226"/>
      <c r="CY152" s="226"/>
      <c r="CZ152" s="226"/>
      <c r="DA152" s="226"/>
      <c r="DB152" s="226"/>
      <c r="DC152" s="226"/>
      <c r="DD152" s="226"/>
      <c r="DE152" s="226"/>
      <c r="DF152" s="226"/>
      <c r="DG152" s="226"/>
      <c r="DH152" s="226"/>
      <c r="DI152" s="226"/>
      <c r="DJ152" s="226"/>
      <c r="DK152" s="226"/>
      <c r="DL152" s="226"/>
      <c r="DM152" s="226"/>
      <c r="DN152" s="226"/>
      <c r="DO152" s="226"/>
      <c r="DP152" s="226"/>
      <c r="DQ152" s="226"/>
      <c r="DR152" s="226"/>
      <c r="DS152" s="226"/>
      <c r="DT152" s="226"/>
      <c r="DU152" s="226"/>
      <c r="DV152" s="226"/>
      <c r="DW152" s="226"/>
      <c r="DX152" s="226"/>
      <c r="DY152" s="226"/>
      <c r="DZ152" s="226"/>
      <c r="EA152" s="226"/>
      <c r="EB152" s="226"/>
      <c r="EC152" s="226"/>
      <c r="ED152" s="226"/>
      <c r="EE152" s="226"/>
      <c r="EF152" s="226"/>
      <c r="EG152" s="226"/>
      <c r="EH152" s="226"/>
      <c r="EI152" s="226"/>
      <c r="EJ152" s="226"/>
      <c r="EK152" s="226"/>
      <c r="EL152" s="226"/>
      <c r="EM152" s="226"/>
      <c r="EN152" s="226"/>
      <c r="EO152" s="226"/>
      <c r="EP152" s="226"/>
      <c r="EQ152" s="226"/>
      <c r="ER152" s="226"/>
      <c r="ES152" s="226"/>
      <c r="ET152" s="226"/>
      <c r="EU152" s="226"/>
      <c r="EV152" s="226"/>
      <c r="EW152" s="226"/>
      <c r="EX152" s="226"/>
      <c r="EY152" s="226"/>
      <c r="EZ152" s="226"/>
      <c r="FA152" s="226"/>
      <c r="FB152" s="226"/>
      <c r="FC152" s="226"/>
      <c r="FD152" s="226"/>
      <c r="FE152" s="226"/>
      <c r="FF152" s="226"/>
      <c r="FG152" s="226"/>
      <c r="FH152" s="226"/>
      <c r="FI152" s="226"/>
      <c r="FJ152" s="226"/>
      <c r="FK152" s="226"/>
      <c r="FL152" s="226"/>
      <c r="FM152" s="226"/>
      <c r="FN152" s="226"/>
      <c r="FO152" s="226"/>
      <c r="FP152" s="226"/>
      <c r="FQ152" s="226"/>
      <c r="FR152" s="226"/>
      <c r="FS152" s="226"/>
      <c r="FT152" s="226"/>
      <c r="FU152" s="226"/>
      <c r="FV152" s="226"/>
      <c r="FW152" s="226"/>
      <c r="FX152" s="226"/>
      <c r="FY152" s="226"/>
      <c r="FZ152" s="226"/>
      <c r="GA152" s="226"/>
      <c r="GB152" s="226"/>
      <c r="GC152" s="226"/>
      <c r="GD152" s="226"/>
      <c r="GE152" s="226"/>
      <c r="GF152" s="226"/>
      <c r="GG152" s="226"/>
    </row>
    <row r="153" spans="1:189" s="198" customFormat="1" ht="15.95" customHeight="1">
      <c r="A153" s="247" t="s">
        <v>229</v>
      </c>
      <c r="B153" s="223" t="s">
        <v>264</v>
      </c>
      <c r="C153" s="224"/>
      <c r="D153" s="200"/>
      <c r="E153" s="109"/>
      <c r="F153" s="63"/>
      <c r="G153" s="225"/>
      <c r="H153" s="259"/>
      <c r="I153" s="265"/>
      <c r="J153" s="259"/>
      <c r="K153" s="199"/>
      <c r="L153" s="199"/>
      <c r="M153" s="199"/>
      <c r="N153" s="199"/>
      <c r="O153" s="199"/>
      <c r="P153" s="199"/>
      <c r="Q153" s="199"/>
      <c r="R153" s="199"/>
      <c r="S153" s="199"/>
      <c r="T153" s="199"/>
      <c r="U153" s="199"/>
      <c r="V153" s="199"/>
      <c r="W153" s="199"/>
      <c r="X153" s="199"/>
      <c r="Y153" s="199"/>
      <c r="Z153" s="199"/>
      <c r="AA153" s="199"/>
      <c r="AB153" s="199"/>
      <c r="AC153" s="199"/>
      <c r="AD153" s="199"/>
      <c r="AE153" s="199"/>
      <c r="AF153" s="199"/>
      <c r="AG153" s="199"/>
      <c r="AH153" s="199"/>
      <c r="AI153" s="199"/>
      <c r="AJ153" s="199"/>
      <c r="AK153" s="199"/>
      <c r="AL153" s="199"/>
      <c r="AM153" s="199"/>
      <c r="AN153" s="199"/>
      <c r="AO153" s="199"/>
      <c r="AP153" s="199"/>
      <c r="AQ153" s="199"/>
      <c r="AR153" s="199"/>
      <c r="AS153" s="199"/>
      <c r="AT153" s="199"/>
      <c r="AU153" s="199"/>
      <c r="AV153" s="199"/>
      <c r="AW153" s="199"/>
      <c r="AX153" s="199"/>
      <c r="AY153" s="199"/>
      <c r="AZ153" s="199"/>
      <c r="BA153" s="199"/>
      <c r="BB153" s="199"/>
      <c r="BC153" s="199"/>
      <c r="BD153" s="199"/>
      <c r="BE153" s="199"/>
      <c r="BF153" s="199"/>
      <c r="BG153" s="199"/>
      <c r="BH153" s="199"/>
      <c r="BI153" s="199"/>
      <c r="BJ153" s="199"/>
      <c r="BK153" s="199"/>
      <c r="BL153" s="199"/>
      <c r="BM153" s="199"/>
      <c r="BN153" s="199"/>
      <c r="BO153" s="199"/>
      <c r="BP153" s="199"/>
      <c r="BQ153" s="199"/>
      <c r="BR153" s="199"/>
      <c r="BS153" s="199"/>
      <c r="BT153" s="199"/>
      <c r="BU153" s="199"/>
      <c r="BV153" s="199"/>
      <c r="BW153" s="199"/>
      <c r="BX153" s="199"/>
      <c r="BY153" s="199"/>
      <c r="BZ153" s="199"/>
      <c r="CA153" s="199"/>
      <c r="CB153" s="199"/>
      <c r="CC153" s="199"/>
      <c r="CD153" s="199"/>
      <c r="CE153" s="199"/>
      <c r="CF153" s="199"/>
      <c r="CG153" s="199"/>
      <c r="CH153" s="199"/>
      <c r="CI153" s="199"/>
      <c r="CJ153" s="199"/>
      <c r="CK153" s="199"/>
      <c r="CL153" s="199"/>
      <c r="CM153" s="199"/>
      <c r="CN153" s="199"/>
      <c r="CO153" s="199"/>
      <c r="CP153" s="199"/>
      <c r="CQ153" s="199"/>
      <c r="CR153" s="199"/>
      <c r="CS153" s="199"/>
      <c r="CT153" s="199"/>
      <c r="CU153" s="199"/>
      <c r="CV153" s="199"/>
      <c r="CW153" s="199"/>
      <c r="CX153" s="199"/>
      <c r="CY153" s="199"/>
      <c r="CZ153" s="199"/>
      <c r="DA153" s="199"/>
      <c r="DB153" s="199"/>
      <c r="DC153" s="199"/>
      <c r="DD153" s="199"/>
      <c r="DE153" s="199"/>
      <c r="DF153" s="199"/>
      <c r="DG153" s="199"/>
      <c r="DH153" s="199"/>
      <c r="DI153" s="199"/>
      <c r="DJ153" s="199"/>
      <c r="DK153" s="199"/>
      <c r="DL153" s="199"/>
      <c r="DM153" s="199"/>
      <c r="DN153" s="199"/>
      <c r="DO153" s="199"/>
      <c r="DP153" s="199"/>
      <c r="DQ153" s="199"/>
      <c r="DR153" s="199"/>
      <c r="DS153" s="199"/>
      <c r="DT153" s="199"/>
      <c r="DU153" s="199"/>
      <c r="DV153" s="199"/>
      <c r="DW153" s="199"/>
      <c r="DX153" s="199"/>
      <c r="DY153" s="199"/>
      <c r="DZ153" s="199"/>
      <c r="EA153" s="199"/>
      <c r="EB153" s="199"/>
      <c r="EC153" s="199"/>
      <c r="ED153" s="199"/>
      <c r="EE153" s="199"/>
      <c r="EF153" s="199"/>
      <c r="EG153" s="199"/>
      <c r="EH153" s="199"/>
      <c r="EI153" s="199"/>
      <c r="EJ153" s="199"/>
      <c r="EK153" s="199"/>
      <c r="EL153" s="199"/>
      <c r="EM153" s="199"/>
      <c r="EN153" s="199"/>
      <c r="EO153" s="199"/>
      <c r="EP153" s="199"/>
      <c r="EQ153" s="199"/>
      <c r="ER153" s="199"/>
      <c r="ES153" s="199"/>
      <c r="ET153" s="199"/>
      <c r="EU153" s="199"/>
      <c r="EV153" s="199"/>
      <c r="EW153" s="199"/>
      <c r="EX153" s="199"/>
      <c r="EY153" s="199"/>
      <c r="EZ153" s="199"/>
      <c r="FA153" s="199"/>
      <c r="FB153" s="199"/>
      <c r="FC153" s="199"/>
      <c r="FD153" s="199"/>
      <c r="FE153" s="199"/>
      <c r="FF153" s="199"/>
      <c r="FG153" s="199"/>
      <c r="FH153" s="199"/>
      <c r="FI153" s="199"/>
      <c r="FJ153" s="199"/>
      <c r="FK153" s="199"/>
      <c r="FL153" s="199"/>
      <c r="FM153" s="199"/>
      <c r="FN153" s="199"/>
      <c r="FO153" s="199"/>
      <c r="FP153" s="199"/>
      <c r="FQ153" s="199"/>
      <c r="FR153" s="199"/>
      <c r="FS153" s="199"/>
      <c r="FT153" s="199"/>
      <c r="FU153" s="199"/>
      <c r="FV153" s="199"/>
      <c r="FW153" s="199"/>
      <c r="FX153" s="199"/>
      <c r="FY153" s="199"/>
      <c r="FZ153" s="199"/>
      <c r="GA153" s="199"/>
      <c r="GB153" s="199"/>
      <c r="GC153" s="199"/>
      <c r="GD153" s="199"/>
      <c r="GE153" s="199"/>
      <c r="GF153" s="199"/>
      <c r="GG153" s="199"/>
    </row>
    <row r="154" spans="1:189" s="198" customFormat="1" ht="15.95" customHeight="1">
      <c r="A154" s="348" t="s">
        <v>228</v>
      </c>
      <c r="B154" s="127" t="s">
        <v>384</v>
      </c>
      <c r="C154" s="350" t="s">
        <v>1</v>
      </c>
      <c r="D154" s="351">
        <f>J154</f>
        <v>11</v>
      </c>
      <c r="E154" s="352" t="e">
        <f>#REF!</f>
        <v>#REF!</v>
      </c>
      <c r="F154" s="331" t="e">
        <f>+D154*E154</f>
        <v>#REF!</v>
      </c>
      <c r="H154" s="256">
        <v>10</v>
      </c>
      <c r="I154" s="330">
        <v>1.1000000000000001</v>
      </c>
      <c r="J154" s="256">
        <f>H154*I154</f>
        <v>11</v>
      </c>
      <c r="K154" s="199"/>
      <c r="L154" s="199"/>
      <c r="M154" s="199"/>
      <c r="N154" s="199"/>
      <c r="O154" s="199"/>
      <c r="P154" s="199"/>
      <c r="Q154" s="199"/>
      <c r="R154" s="199"/>
      <c r="S154" s="199"/>
      <c r="T154" s="199"/>
      <c r="U154" s="199"/>
      <c r="V154" s="199"/>
      <c r="W154" s="199"/>
      <c r="X154" s="199"/>
      <c r="Y154" s="199"/>
      <c r="Z154" s="199"/>
      <c r="AA154" s="199"/>
      <c r="AB154" s="199"/>
      <c r="AC154" s="199"/>
      <c r="AD154" s="199"/>
      <c r="AE154" s="199"/>
      <c r="AF154" s="199"/>
      <c r="AG154" s="199"/>
      <c r="AH154" s="199"/>
      <c r="AI154" s="199"/>
      <c r="AJ154" s="199"/>
      <c r="AK154" s="199"/>
      <c r="AL154" s="199"/>
      <c r="AM154" s="199"/>
      <c r="AN154" s="199"/>
      <c r="AO154" s="199"/>
      <c r="AP154" s="199"/>
      <c r="AQ154" s="199"/>
      <c r="AR154" s="199"/>
      <c r="AS154" s="199"/>
      <c r="AT154" s="199"/>
      <c r="AU154" s="199"/>
      <c r="AV154" s="199"/>
      <c r="AW154" s="199"/>
      <c r="AX154" s="199"/>
      <c r="AY154" s="199"/>
      <c r="AZ154" s="199"/>
      <c r="BA154" s="199"/>
      <c r="BB154" s="199"/>
      <c r="BC154" s="199"/>
      <c r="BD154" s="199"/>
      <c r="BE154" s="199"/>
      <c r="BF154" s="199"/>
      <c r="BG154" s="199"/>
      <c r="BH154" s="199"/>
      <c r="BI154" s="199"/>
      <c r="BJ154" s="199"/>
      <c r="BK154" s="199"/>
      <c r="BL154" s="199"/>
      <c r="BM154" s="199"/>
      <c r="BN154" s="199"/>
      <c r="BO154" s="199"/>
      <c r="BP154" s="199"/>
      <c r="BQ154" s="199"/>
      <c r="BR154" s="199"/>
      <c r="BS154" s="199"/>
      <c r="BT154" s="199"/>
      <c r="BU154" s="199"/>
      <c r="BV154" s="199"/>
      <c r="BW154" s="199"/>
      <c r="BX154" s="199"/>
      <c r="BY154" s="199"/>
      <c r="BZ154" s="199"/>
      <c r="CA154" s="199"/>
      <c r="CB154" s="199"/>
      <c r="CC154" s="199"/>
      <c r="CD154" s="199"/>
      <c r="CE154" s="199"/>
      <c r="CF154" s="199"/>
      <c r="CG154" s="199"/>
      <c r="CH154" s="199"/>
      <c r="CI154" s="199"/>
      <c r="CJ154" s="199"/>
      <c r="CK154" s="199"/>
      <c r="CL154" s="199"/>
      <c r="CM154" s="199"/>
      <c r="CN154" s="199"/>
      <c r="CO154" s="199"/>
      <c r="CP154" s="199"/>
      <c r="CQ154" s="199"/>
      <c r="CR154" s="199"/>
      <c r="CS154" s="199"/>
      <c r="CT154" s="199"/>
      <c r="CU154" s="199"/>
      <c r="CV154" s="199"/>
      <c r="CW154" s="199"/>
      <c r="CX154" s="199"/>
      <c r="CY154" s="199"/>
      <c r="CZ154" s="199"/>
      <c r="DA154" s="199"/>
      <c r="DB154" s="199"/>
      <c r="DC154" s="199"/>
      <c r="DD154" s="199"/>
      <c r="DE154" s="199"/>
      <c r="DF154" s="199"/>
      <c r="DG154" s="199"/>
      <c r="DH154" s="199"/>
      <c r="DI154" s="199"/>
      <c r="DJ154" s="199"/>
      <c r="DK154" s="199"/>
      <c r="DL154" s="199"/>
      <c r="DM154" s="199"/>
      <c r="DN154" s="199"/>
      <c r="DO154" s="199"/>
      <c r="DP154" s="199"/>
      <c r="DQ154" s="199"/>
      <c r="DR154" s="199"/>
      <c r="DS154" s="199"/>
      <c r="DT154" s="199"/>
      <c r="DU154" s="199"/>
      <c r="DV154" s="199"/>
      <c r="DW154" s="199"/>
      <c r="DX154" s="199"/>
      <c r="DY154" s="199"/>
      <c r="DZ154" s="199"/>
      <c r="EA154" s="199"/>
      <c r="EB154" s="199"/>
      <c r="EC154" s="199"/>
      <c r="ED154" s="199"/>
      <c r="EE154" s="199"/>
      <c r="EF154" s="199"/>
      <c r="EG154" s="199"/>
      <c r="EH154" s="199"/>
      <c r="EI154" s="199"/>
      <c r="EJ154" s="199"/>
      <c r="EK154" s="199"/>
      <c r="EL154" s="199"/>
      <c r="EM154" s="199"/>
      <c r="EN154" s="199"/>
      <c r="EO154" s="199"/>
      <c r="EP154" s="199"/>
      <c r="EQ154" s="199"/>
      <c r="ER154" s="199"/>
      <c r="ES154" s="199"/>
      <c r="ET154" s="199"/>
      <c r="EU154" s="199"/>
      <c r="EV154" s="199"/>
      <c r="EW154" s="199"/>
      <c r="EX154" s="199"/>
      <c r="EY154" s="199"/>
      <c r="EZ154" s="199"/>
      <c r="FA154" s="199"/>
      <c r="FB154" s="199"/>
      <c r="FC154" s="199"/>
      <c r="FD154" s="199"/>
      <c r="FE154" s="199"/>
      <c r="FF154" s="199"/>
      <c r="FG154" s="199"/>
      <c r="FH154" s="199"/>
      <c r="FI154" s="199"/>
      <c r="FJ154" s="199"/>
      <c r="FK154" s="199"/>
      <c r="FL154" s="199"/>
      <c r="FM154" s="199"/>
      <c r="FN154" s="199"/>
      <c r="FO154" s="199"/>
      <c r="FP154" s="199"/>
      <c r="FQ154" s="199"/>
      <c r="FR154" s="199"/>
      <c r="FS154" s="199"/>
      <c r="FT154" s="199"/>
      <c r="FU154" s="199"/>
      <c r="FV154" s="199"/>
      <c r="FW154" s="199"/>
      <c r="FX154" s="199"/>
      <c r="FY154" s="199"/>
      <c r="FZ154" s="199"/>
      <c r="GA154" s="199"/>
      <c r="GB154" s="199"/>
      <c r="GC154" s="199"/>
      <c r="GD154" s="199"/>
      <c r="GE154" s="199"/>
      <c r="GF154" s="199"/>
      <c r="GG154" s="199"/>
    </row>
    <row r="155" spans="1:189" s="225" customFormat="1" ht="15.95" customHeight="1">
      <c r="A155" s="17"/>
      <c r="B155" s="230"/>
      <c r="C155" s="228"/>
      <c r="D155" s="138"/>
      <c r="E155" s="108"/>
      <c r="F155" s="65"/>
      <c r="H155" s="259"/>
      <c r="I155" s="265"/>
      <c r="J155" s="259"/>
      <c r="K155" s="226"/>
      <c r="L155" s="226"/>
      <c r="M155" s="226"/>
      <c r="N155" s="226"/>
      <c r="O155" s="226"/>
      <c r="P155" s="226"/>
      <c r="Q155" s="226"/>
      <c r="R155" s="226"/>
      <c r="S155" s="226"/>
      <c r="T155" s="226"/>
      <c r="U155" s="226"/>
      <c r="V155" s="226"/>
      <c r="W155" s="226"/>
      <c r="X155" s="226"/>
      <c r="Y155" s="226"/>
      <c r="Z155" s="22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  <c r="AY155" s="226"/>
      <c r="AZ155" s="226"/>
      <c r="BA155" s="226"/>
      <c r="BB155" s="226"/>
      <c r="BC155" s="226"/>
      <c r="BD155" s="226"/>
      <c r="BE155" s="226"/>
      <c r="BF155" s="226"/>
      <c r="BG155" s="226"/>
      <c r="BH155" s="226"/>
      <c r="BI155" s="226"/>
      <c r="BJ155" s="226"/>
      <c r="BK155" s="226"/>
      <c r="BL155" s="226"/>
      <c r="BM155" s="226"/>
      <c r="BN155" s="226"/>
      <c r="BO155" s="226"/>
      <c r="BP155" s="226"/>
      <c r="BQ155" s="226"/>
      <c r="BR155" s="226"/>
      <c r="BS155" s="226"/>
      <c r="BT155" s="226"/>
      <c r="BU155" s="226"/>
      <c r="BV155" s="226"/>
      <c r="BW155" s="226"/>
      <c r="BX155" s="226"/>
      <c r="BY155" s="226"/>
      <c r="BZ155" s="226"/>
      <c r="CA155" s="226"/>
      <c r="CB155" s="226"/>
      <c r="CC155" s="226"/>
      <c r="CD155" s="226"/>
      <c r="CE155" s="226"/>
      <c r="CF155" s="226"/>
      <c r="CG155" s="226"/>
      <c r="CH155" s="226"/>
      <c r="CI155" s="226"/>
      <c r="CJ155" s="226"/>
      <c r="CK155" s="226"/>
      <c r="CL155" s="226"/>
      <c r="CM155" s="226"/>
      <c r="CN155" s="226"/>
      <c r="CO155" s="226"/>
      <c r="CP155" s="226"/>
      <c r="CQ155" s="226"/>
      <c r="CR155" s="226"/>
      <c r="CS155" s="226"/>
      <c r="CT155" s="226"/>
      <c r="CU155" s="226"/>
      <c r="CV155" s="226"/>
      <c r="CW155" s="226"/>
      <c r="CX155" s="226"/>
      <c r="CY155" s="226"/>
      <c r="CZ155" s="226"/>
      <c r="DA155" s="226"/>
      <c r="DB155" s="226"/>
      <c r="DC155" s="226"/>
      <c r="DD155" s="226"/>
      <c r="DE155" s="226"/>
      <c r="DF155" s="226"/>
      <c r="DG155" s="226"/>
      <c r="DH155" s="226"/>
      <c r="DI155" s="226"/>
      <c r="DJ155" s="226"/>
      <c r="DK155" s="226"/>
      <c r="DL155" s="226"/>
      <c r="DM155" s="226"/>
      <c r="DN155" s="226"/>
      <c r="DO155" s="226"/>
      <c r="DP155" s="226"/>
      <c r="DQ155" s="226"/>
      <c r="DR155" s="226"/>
      <c r="DS155" s="226"/>
      <c r="DT155" s="226"/>
      <c r="DU155" s="226"/>
      <c r="DV155" s="226"/>
      <c r="DW155" s="226"/>
      <c r="DX155" s="226"/>
      <c r="DY155" s="226"/>
      <c r="DZ155" s="226"/>
      <c r="EA155" s="226"/>
      <c r="EB155" s="226"/>
      <c r="EC155" s="226"/>
      <c r="ED155" s="226"/>
      <c r="EE155" s="226"/>
      <c r="EF155" s="226"/>
      <c r="EG155" s="226"/>
      <c r="EH155" s="226"/>
      <c r="EI155" s="226"/>
      <c r="EJ155" s="226"/>
      <c r="EK155" s="226"/>
      <c r="EL155" s="226"/>
      <c r="EM155" s="226"/>
      <c r="EN155" s="226"/>
      <c r="EO155" s="226"/>
      <c r="EP155" s="226"/>
      <c r="EQ155" s="226"/>
      <c r="ER155" s="226"/>
      <c r="ES155" s="226"/>
      <c r="ET155" s="226"/>
      <c r="EU155" s="226"/>
      <c r="EV155" s="226"/>
      <c r="EW155" s="226"/>
      <c r="EX155" s="226"/>
      <c r="EY155" s="226"/>
      <c r="EZ155" s="226"/>
      <c r="FA155" s="226"/>
      <c r="FB155" s="226"/>
      <c r="FC155" s="226"/>
      <c r="FD155" s="226"/>
      <c r="FE155" s="226"/>
      <c r="FF155" s="226"/>
      <c r="FG155" s="226"/>
      <c r="FH155" s="226"/>
      <c r="FI155" s="226"/>
      <c r="FJ155" s="226"/>
      <c r="FK155" s="226"/>
      <c r="FL155" s="226"/>
      <c r="FM155" s="226"/>
      <c r="FN155" s="226"/>
      <c r="FO155" s="226"/>
      <c r="FP155" s="226"/>
      <c r="FQ155" s="226"/>
      <c r="FR155" s="226"/>
      <c r="FS155" s="226"/>
      <c r="FT155" s="226"/>
      <c r="FU155" s="226"/>
      <c r="FV155" s="226"/>
      <c r="FW155" s="226"/>
      <c r="FX155" s="226"/>
      <c r="FY155" s="226"/>
      <c r="FZ155" s="226"/>
      <c r="GA155" s="226"/>
      <c r="GB155" s="226"/>
      <c r="GC155" s="226"/>
      <c r="GD155" s="226"/>
      <c r="GE155" s="226"/>
      <c r="GF155" s="226"/>
      <c r="GG155" s="226"/>
    </row>
    <row r="156" spans="1:189" s="198" customFormat="1" ht="15.95" customHeight="1">
      <c r="A156" s="247" t="s">
        <v>219</v>
      </c>
      <c r="B156" s="223" t="s">
        <v>220</v>
      </c>
      <c r="C156" s="224"/>
      <c r="D156" s="200"/>
      <c r="E156" s="109"/>
      <c r="F156" s="63"/>
      <c r="G156" s="225"/>
      <c r="H156" s="259"/>
      <c r="I156" s="265"/>
      <c r="J156" s="259"/>
      <c r="K156" s="199"/>
      <c r="L156" s="199"/>
      <c r="M156" s="199"/>
      <c r="N156" s="199"/>
      <c r="O156" s="199"/>
      <c r="P156" s="199"/>
      <c r="Q156" s="199"/>
      <c r="R156" s="199"/>
      <c r="S156" s="199"/>
      <c r="T156" s="199"/>
      <c r="U156" s="199"/>
      <c r="V156" s="199"/>
      <c r="W156" s="199"/>
      <c r="X156" s="199"/>
      <c r="Y156" s="199"/>
      <c r="Z156" s="199"/>
      <c r="AA156" s="199"/>
      <c r="AB156" s="199"/>
      <c r="AC156" s="199"/>
      <c r="AD156" s="199"/>
      <c r="AE156" s="199"/>
      <c r="AF156" s="199"/>
      <c r="AG156" s="199"/>
      <c r="AH156" s="199"/>
      <c r="AI156" s="199"/>
      <c r="AJ156" s="199"/>
      <c r="AK156" s="199"/>
      <c r="AL156" s="199"/>
      <c r="AM156" s="199"/>
      <c r="AN156" s="199"/>
      <c r="AO156" s="199"/>
      <c r="AP156" s="199"/>
      <c r="AQ156" s="199"/>
      <c r="AR156" s="199"/>
      <c r="AS156" s="199"/>
      <c r="AT156" s="199"/>
      <c r="AU156" s="199"/>
      <c r="AV156" s="199"/>
      <c r="AW156" s="199"/>
      <c r="AX156" s="199"/>
      <c r="AY156" s="199"/>
      <c r="AZ156" s="199"/>
      <c r="BA156" s="199"/>
      <c r="BB156" s="199"/>
      <c r="BC156" s="199"/>
      <c r="BD156" s="199"/>
      <c r="BE156" s="199"/>
      <c r="BF156" s="199"/>
      <c r="BG156" s="199"/>
      <c r="BH156" s="199"/>
      <c r="BI156" s="199"/>
      <c r="BJ156" s="199"/>
      <c r="BK156" s="199"/>
      <c r="BL156" s="199"/>
      <c r="BM156" s="199"/>
      <c r="BN156" s="199"/>
      <c r="BO156" s="199"/>
      <c r="BP156" s="199"/>
      <c r="BQ156" s="199"/>
      <c r="BR156" s="199"/>
      <c r="BS156" s="199"/>
      <c r="BT156" s="199"/>
      <c r="BU156" s="199"/>
      <c r="BV156" s="199"/>
      <c r="BW156" s="199"/>
      <c r="BX156" s="199"/>
      <c r="BY156" s="199"/>
      <c r="BZ156" s="199"/>
      <c r="CA156" s="199"/>
      <c r="CB156" s="199"/>
      <c r="CC156" s="199"/>
      <c r="CD156" s="199"/>
      <c r="CE156" s="199"/>
      <c r="CF156" s="199"/>
      <c r="CG156" s="199"/>
      <c r="CH156" s="199"/>
      <c r="CI156" s="199"/>
      <c r="CJ156" s="199"/>
      <c r="CK156" s="199"/>
      <c r="CL156" s="199"/>
      <c r="CM156" s="199"/>
      <c r="CN156" s="199"/>
      <c r="CO156" s="199"/>
      <c r="CP156" s="199"/>
      <c r="CQ156" s="199"/>
      <c r="CR156" s="199"/>
      <c r="CS156" s="199"/>
      <c r="CT156" s="199"/>
      <c r="CU156" s="199"/>
      <c r="CV156" s="199"/>
      <c r="CW156" s="199"/>
      <c r="CX156" s="199"/>
      <c r="CY156" s="199"/>
      <c r="CZ156" s="199"/>
      <c r="DA156" s="199"/>
      <c r="DB156" s="199"/>
      <c r="DC156" s="199"/>
      <c r="DD156" s="199"/>
      <c r="DE156" s="199"/>
      <c r="DF156" s="199"/>
      <c r="DG156" s="199"/>
      <c r="DH156" s="199"/>
      <c r="DI156" s="199"/>
      <c r="DJ156" s="199"/>
      <c r="DK156" s="199"/>
      <c r="DL156" s="199"/>
      <c r="DM156" s="199"/>
      <c r="DN156" s="199"/>
      <c r="DO156" s="199"/>
      <c r="DP156" s="199"/>
      <c r="DQ156" s="199"/>
      <c r="DR156" s="199"/>
      <c r="DS156" s="199"/>
      <c r="DT156" s="199"/>
      <c r="DU156" s="199"/>
      <c r="DV156" s="199"/>
      <c r="DW156" s="199"/>
      <c r="DX156" s="199"/>
      <c r="DY156" s="199"/>
      <c r="DZ156" s="199"/>
      <c r="EA156" s="199"/>
      <c r="EB156" s="199"/>
      <c r="EC156" s="199"/>
      <c r="ED156" s="199"/>
      <c r="EE156" s="199"/>
      <c r="EF156" s="199"/>
      <c r="EG156" s="199"/>
      <c r="EH156" s="199"/>
      <c r="EI156" s="199"/>
      <c r="EJ156" s="199"/>
      <c r="EK156" s="199"/>
      <c r="EL156" s="199"/>
      <c r="EM156" s="199"/>
      <c r="EN156" s="199"/>
      <c r="EO156" s="199"/>
      <c r="EP156" s="199"/>
      <c r="EQ156" s="199"/>
      <c r="ER156" s="199"/>
      <c r="ES156" s="199"/>
      <c r="ET156" s="199"/>
      <c r="EU156" s="199"/>
      <c r="EV156" s="199"/>
      <c r="EW156" s="199"/>
      <c r="EX156" s="199"/>
      <c r="EY156" s="199"/>
      <c r="EZ156" s="199"/>
      <c r="FA156" s="199"/>
      <c r="FB156" s="199"/>
      <c r="FC156" s="199"/>
      <c r="FD156" s="199"/>
      <c r="FE156" s="199"/>
      <c r="FF156" s="199"/>
      <c r="FG156" s="199"/>
      <c r="FH156" s="199"/>
      <c r="FI156" s="199"/>
      <c r="FJ156" s="199"/>
      <c r="FK156" s="199"/>
      <c r="FL156" s="199"/>
      <c r="FM156" s="199"/>
      <c r="FN156" s="199"/>
      <c r="FO156" s="199"/>
      <c r="FP156" s="199"/>
      <c r="FQ156" s="199"/>
      <c r="FR156" s="199"/>
      <c r="FS156" s="199"/>
      <c r="FT156" s="199"/>
      <c r="FU156" s="199"/>
      <c r="FV156" s="199"/>
      <c r="FW156" s="199"/>
      <c r="FX156" s="199"/>
      <c r="FY156" s="199"/>
      <c r="FZ156" s="199"/>
      <c r="GA156" s="199"/>
      <c r="GB156" s="199"/>
      <c r="GC156" s="199"/>
      <c r="GD156" s="199"/>
      <c r="GE156" s="199"/>
      <c r="GF156" s="199"/>
      <c r="GG156" s="199"/>
    </row>
    <row r="157" spans="1:189" s="225" customFormat="1" ht="15.95" customHeight="1">
      <c r="A157" s="139" t="s">
        <v>230</v>
      </c>
      <c r="B157" s="193"/>
      <c r="C157" s="228" t="s">
        <v>27</v>
      </c>
      <c r="D157" s="138">
        <v>2</v>
      </c>
      <c r="E157" s="140" t="e">
        <f>#REF!</f>
        <v>#REF!</v>
      </c>
      <c r="F157" s="65" t="e">
        <f>+D157*E157</f>
        <v>#REF!</v>
      </c>
      <c r="H157" s="259">
        <f>37+13+19</f>
        <v>69</v>
      </c>
      <c r="I157" s="265">
        <v>1.05</v>
      </c>
      <c r="J157" s="259">
        <f>H157*I157</f>
        <v>72.45</v>
      </c>
      <c r="K157" s="226"/>
      <c r="L157" s="226"/>
      <c r="M157" s="226"/>
      <c r="N157" s="226"/>
      <c r="O157" s="226"/>
      <c r="P157" s="226"/>
      <c r="Q157" s="226"/>
      <c r="R157" s="226"/>
      <c r="S157" s="226"/>
      <c r="T157" s="226"/>
      <c r="U157" s="226"/>
      <c r="V157" s="226"/>
      <c r="W157" s="226"/>
      <c r="X157" s="226"/>
      <c r="Y157" s="226"/>
      <c r="Z157" s="226"/>
      <c r="AA157" s="226"/>
      <c r="AB157" s="226"/>
      <c r="AC157" s="226"/>
      <c r="AD157" s="226"/>
      <c r="AE157" s="226"/>
      <c r="AF157" s="226"/>
      <c r="AG157" s="226"/>
      <c r="AH157" s="226"/>
      <c r="AI157" s="226"/>
      <c r="AJ157" s="226"/>
      <c r="AK157" s="226"/>
      <c r="AL157" s="226"/>
      <c r="AM157" s="226"/>
      <c r="AN157" s="226"/>
      <c r="AO157" s="226"/>
      <c r="AP157" s="226"/>
      <c r="AQ157" s="226"/>
      <c r="AR157" s="226"/>
      <c r="AS157" s="226"/>
      <c r="AT157" s="226"/>
      <c r="AU157" s="226"/>
      <c r="AV157" s="226"/>
      <c r="AW157" s="226"/>
      <c r="AX157" s="226"/>
      <c r="AY157" s="226"/>
      <c r="AZ157" s="226"/>
      <c r="BA157" s="226"/>
      <c r="BB157" s="226"/>
      <c r="BC157" s="226"/>
      <c r="BD157" s="226"/>
      <c r="BE157" s="226"/>
      <c r="BF157" s="226"/>
      <c r="BG157" s="226"/>
      <c r="BH157" s="226"/>
      <c r="BI157" s="226"/>
      <c r="BJ157" s="226"/>
      <c r="BK157" s="226"/>
      <c r="BL157" s="226"/>
      <c r="BM157" s="226"/>
      <c r="BN157" s="226"/>
      <c r="BO157" s="226"/>
      <c r="BP157" s="226"/>
      <c r="BQ157" s="226"/>
      <c r="BR157" s="226"/>
      <c r="BS157" s="226"/>
      <c r="BT157" s="226"/>
      <c r="BU157" s="226"/>
      <c r="BV157" s="226"/>
      <c r="BW157" s="226"/>
      <c r="BX157" s="226"/>
      <c r="BY157" s="226"/>
      <c r="BZ157" s="226"/>
      <c r="CA157" s="226"/>
      <c r="CB157" s="226"/>
      <c r="CC157" s="226"/>
      <c r="CD157" s="226"/>
      <c r="CE157" s="226"/>
      <c r="CF157" s="226"/>
      <c r="CG157" s="226"/>
      <c r="CH157" s="226"/>
      <c r="CI157" s="226"/>
      <c r="CJ157" s="226"/>
      <c r="CK157" s="226"/>
      <c r="CL157" s="226"/>
      <c r="CM157" s="226"/>
      <c r="CN157" s="226"/>
      <c r="CO157" s="226"/>
      <c r="CP157" s="226"/>
      <c r="CQ157" s="226"/>
      <c r="CR157" s="226"/>
      <c r="CS157" s="226"/>
      <c r="CT157" s="226"/>
      <c r="CU157" s="226"/>
      <c r="CV157" s="226"/>
      <c r="CW157" s="226"/>
      <c r="CX157" s="226"/>
      <c r="CY157" s="226"/>
      <c r="CZ157" s="226"/>
      <c r="DA157" s="226"/>
      <c r="DB157" s="226"/>
      <c r="DC157" s="226"/>
      <c r="DD157" s="226"/>
      <c r="DE157" s="226"/>
      <c r="DF157" s="226"/>
      <c r="DG157" s="226"/>
      <c r="DH157" s="226"/>
      <c r="DI157" s="226"/>
      <c r="DJ157" s="226"/>
      <c r="DK157" s="226"/>
      <c r="DL157" s="226"/>
      <c r="DM157" s="226"/>
      <c r="DN157" s="226"/>
      <c r="DO157" s="226"/>
      <c r="DP157" s="226"/>
      <c r="DQ157" s="226"/>
      <c r="DR157" s="226"/>
      <c r="DS157" s="226"/>
      <c r="DT157" s="226"/>
      <c r="DU157" s="226"/>
      <c r="DV157" s="226"/>
      <c r="DW157" s="226"/>
      <c r="DX157" s="226"/>
      <c r="DY157" s="226"/>
      <c r="DZ157" s="226"/>
      <c r="EA157" s="226"/>
      <c r="EB157" s="226"/>
      <c r="EC157" s="226"/>
      <c r="ED157" s="226"/>
      <c r="EE157" s="226"/>
      <c r="EF157" s="226"/>
      <c r="EG157" s="226"/>
      <c r="EH157" s="226"/>
      <c r="EI157" s="226"/>
      <c r="EJ157" s="226"/>
      <c r="EK157" s="226"/>
      <c r="EL157" s="226"/>
      <c r="EM157" s="226"/>
      <c r="EN157" s="226"/>
      <c r="EO157" s="226"/>
      <c r="EP157" s="226"/>
      <c r="EQ157" s="226"/>
      <c r="ER157" s="226"/>
      <c r="ES157" s="226"/>
      <c r="ET157" s="226"/>
      <c r="EU157" s="226"/>
      <c r="EV157" s="226"/>
      <c r="EW157" s="226"/>
      <c r="EX157" s="226"/>
      <c r="EY157" s="226"/>
      <c r="EZ157" s="226"/>
      <c r="FA157" s="226"/>
      <c r="FB157" s="226"/>
      <c r="FC157" s="226"/>
      <c r="FD157" s="226"/>
      <c r="FE157" s="226"/>
      <c r="FF157" s="226"/>
      <c r="FG157" s="226"/>
      <c r="FH157" s="226"/>
      <c r="FI157" s="226"/>
      <c r="FJ157" s="226"/>
      <c r="FK157" s="226"/>
      <c r="FL157" s="226"/>
      <c r="FM157" s="226"/>
      <c r="FN157" s="226"/>
      <c r="FO157" s="226"/>
      <c r="FP157" s="226"/>
      <c r="FQ157" s="226"/>
      <c r="FR157" s="226"/>
      <c r="FS157" s="226"/>
      <c r="FT157" s="226"/>
      <c r="FU157" s="226"/>
      <c r="FV157" s="226"/>
      <c r="FW157" s="226"/>
      <c r="FX157" s="226"/>
      <c r="FY157" s="226"/>
      <c r="FZ157" s="226"/>
      <c r="GA157" s="226"/>
      <c r="GB157" s="226"/>
      <c r="GC157" s="226"/>
      <c r="GD157" s="226"/>
      <c r="GE157" s="226"/>
      <c r="GF157" s="226"/>
      <c r="GG157" s="226"/>
    </row>
    <row r="158" spans="1:189" s="225" customFormat="1" ht="15.95" customHeight="1">
      <c r="A158" s="17"/>
      <c r="B158" s="230"/>
      <c r="C158" s="228"/>
      <c r="D158" s="138"/>
      <c r="E158" s="108"/>
      <c r="F158" s="65"/>
      <c r="H158" s="259"/>
      <c r="I158" s="265"/>
      <c r="J158" s="259"/>
      <c r="K158" s="226"/>
      <c r="L158" s="226"/>
      <c r="M158" s="226"/>
      <c r="N158" s="226"/>
      <c r="O158" s="226"/>
      <c r="P158" s="226"/>
      <c r="Q158" s="226"/>
      <c r="R158" s="226"/>
      <c r="S158" s="226"/>
      <c r="T158" s="226"/>
      <c r="U158" s="226"/>
      <c r="V158" s="226"/>
      <c r="W158" s="226"/>
      <c r="X158" s="226"/>
      <c r="Y158" s="226"/>
      <c r="Z158" s="226"/>
      <c r="AA158" s="226"/>
      <c r="AB158" s="226"/>
      <c r="AC158" s="226"/>
      <c r="AD158" s="226"/>
      <c r="AE158" s="226"/>
      <c r="AF158" s="226"/>
      <c r="AG158" s="226"/>
      <c r="AH158" s="226"/>
      <c r="AI158" s="226"/>
      <c r="AJ158" s="226"/>
      <c r="AK158" s="226"/>
      <c r="AL158" s="226"/>
      <c r="AM158" s="226"/>
      <c r="AN158" s="226"/>
      <c r="AO158" s="226"/>
      <c r="AP158" s="226"/>
      <c r="AQ158" s="226"/>
      <c r="AR158" s="226"/>
      <c r="AS158" s="226"/>
      <c r="AT158" s="226"/>
      <c r="AU158" s="226"/>
      <c r="AV158" s="226"/>
      <c r="AW158" s="226"/>
      <c r="AX158" s="226"/>
      <c r="AY158" s="226"/>
      <c r="AZ158" s="226"/>
      <c r="BA158" s="226"/>
      <c r="BB158" s="226"/>
      <c r="BC158" s="226"/>
      <c r="BD158" s="226"/>
      <c r="BE158" s="226"/>
      <c r="BF158" s="226"/>
      <c r="BG158" s="226"/>
      <c r="BH158" s="226"/>
      <c r="BI158" s="226"/>
      <c r="BJ158" s="226"/>
      <c r="BK158" s="226"/>
      <c r="BL158" s="226"/>
      <c r="BM158" s="226"/>
      <c r="BN158" s="226"/>
      <c r="BO158" s="226"/>
      <c r="BP158" s="226"/>
      <c r="BQ158" s="226"/>
      <c r="BR158" s="226"/>
      <c r="BS158" s="226"/>
      <c r="BT158" s="226"/>
      <c r="BU158" s="226"/>
      <c r="BV158" s="226"/>
      <c r="BW158" s="226"/>
      <c r="BX158" s="226"/>
      <c r="BY158" s="226"/>
      <c r="BZ158" s="226"/>
      <c r="CA158" s="226"/>
      <c r="CB158" s="226"/>
      <c r="CC158" s="226"/>
      <c r="CD158" s="226"/>
      <c r="CE158" s="226"/>
      <c r="CF158" s="226"/>
      <c r="CG158" s="226"/>
      <c r="CH158" s="226"/>
      <c r="CI158" s="226"/>
      <c r="CJ158" s="226"/>
      <c r="CK158" s="226"/>
      <c r="CL158" s="226"/>
      <c r="CM158" s="226"/>
      <c r="CN158" s="226"/>
      <c r="CO158" s="226"/>
      <c r="CP158" s="226"/>
      <c r="CQ158" s="226"/>
      <c r="CR158" s="226"/>
      <c r="CS158" s="226"/>
      <c r="CT158" s="226"/>
      <c r="CU158" s="226"/>
      <c r="CV158" s="226"/>
      <c r="CW158" s="226"/>
      <c r="CX158" s="226"/>
      <c r="CY158" s="226"/>
      <c r="CZ158" s="226"/>
      <c r="DA158" s="226"/>
      <c r="DB158" s="226"/>
      <c r="DC158" s="226"/>
      <c r="DD158" s="226"/>
      <c r="DE158" s="226"/>
      <c r="DF158" s="226"/>
      <c r="DG158" s="226"/>
      <c r="DH158" s="226"/>
      <c r="DI158" s="226"/>
      <c r="DJ158" s="226"/>
      <c r="DK158" s="226"/>
      <c r="DL158" s="226"/>
      <c r="DM158" s="226"/>
      <c r="DN158" s="226"/>
      <c r="DO158" s="226"/>
      <c r="DP158" s="226"/>
      <c r="DQ158" s="226"/>
      <c r="DR158" s="226"/>
      <c r="DS158" s="226"/>
      <c r="DT158" s="226"/>
      <c r="DU158" s="226"/>
      <c r="DV158" s="226"/>
      <c r="DW158" s="226"/>
      <c r="DX158" s="226"/>
      <c r="DY158" s="226"/>
      <c r="DZ158" s="226"/>
      <c r="EA158" s="226"/>
      <c r="EB158" s="226"/>
      <c r="EC158" s="226"/>
      <c r="ED158" s="226"/>
      <c r="EE158" s="226"/>
      <c r="EF158" s="226"/>
      <c r="EG158" s="226"/>
      <c r="EH158" s="226"/>
      <c r="EI158" s="226"/>
      <c r="EJ158" s="226"/>
      <c r="EK158" s="226"/>
      <c r="EL158" s="226"/>
      <c r="EM158" s="226"/>
      <c r="EN158" s="226"/>
      <c r="EO158" s="226"/>
      <c r="EP158" s="226"/>
      <c r="EQ158" s="226"/>
      <c r="ER158" s="226"/>
      <c r="ES158" s="226"/>
      <c r="ET158" s="226"/>
      <c r="EU158" s="226"/>
      <c r="EV158" s="226"/>
      <c r="EW158" s="226"/>
      <c r="EX158" s="226"/>
      <c r="EY158" s="226"/>
      <c r="EZ158" s="226"/>
      <c r="FA158" s="226"/>
      <c r="FB158" s="226"/>
      <c r="FC158" s="226"/>
      <c r="FD158" s="226"/>
      <c r="FE158" s="226"/>
      <c r="FF158" s="226"/>
      <c r="FG158" s="226"/>
      <c r="FH158" s="226"/>
      <c r="FI158" s="226"/>
      <c r="FJ158" s="226"/>
      <c r="FK158" s="226"/>
      <c r="FL158" s="226"/>
      <c r="FM158" s="226"/>
      <c r="FN158" s="226"/>
      <c r="FO158" s="226"/>
      <c r="FP158" s="226"/>
      <c r="FQ158" s="226"/>
      <c r="FR158" s="226"/>
      <c r="FS158" s="226"/>
      <c r="FT158" s="226"/>
      <c r="FU158" s="226"/>
      <c r="FV158" s="226"/>
      <c r="FW158" s="226"/>
      <c r="FX158" s="226"/>
      <c r="FY158" s="226"/>
      <c r="FZ158" s="226"/>
      <c r="GA158" s="226"/>
      <c r="GB158" s="226"/>
      <c r="GC158" s="226"/>
      <c r="GD158" s="226"/>
      <c r="GE158" s="226"/>
      <c r="GF158" s="226"/>
      <c r="GG158" s="226"/>
    </row>
    <row r="159" spans="1:189" s="225" customFormat="1" ht="15.95" customHeight="1">
      <c r="A159" s="141">
        <v>513</v>
      </c>
      <c r="B159" s="223" t="s">
        <v>144</v>
      </c>
      <c r="C159" s="224"/>
      <c r="D159" s="200"/>
      <c r="E159" s="109"/>
      <c r="F159" s="63"/>
      <c r="H159" s="259"/>
      <c r="I159" s="265"/>
      <c r="J159" s="259"/>
      <c r="K159" s="226"/>
      <c r="L159" s="226"/>
      <c r="M159" s="226"/>
      <c r="N159" s="226"/>
      <c r="O159" s="226"/>
      <c r="P159" s="226"/>
      <c r="Q159" s="226"/>
      <c r="R159" s="226"/>
      <c r="S159" s="226"/>
      <c r="T159" s="226"/>
      <c r="U159" s="226"/>
      <c r="V159" s="226"/>
      <c r="W159" s="226"/>
      <c r="X159" s="226"/>
      <c r="Y159" s="226"/>
      <c r="Z159" s="226"/>
      <c r="AA159" s="226"/>
      <c r="AB159" s="226"/>
      <c r="AC159" s="226"/>
      <c r="AD159" s="226"/>
      <c r="AE159" s="226"/>
      <c r="AF159" s="226"/>
      <c r="AG159" s="226"/>
      <c r="AH159" s="226"/>
      <c r="AI159" s="226"/>
      <c r="AJ159" s="226"/>
      <c r="AK159" s="226"/>
      <c r="AL159" s="226"/>
      <c r="AM159" s="226"/>
      <c r="AN159" s="226"/>
      <c r="AO159" s="226"/>
      <c r="AP159" s="226"/>
      <c r="AQ159" s="226"/>
      <c r="AR159" s="226"/>
      <c r="AS159" s="226"/>
      <c r="AT159" s="226"/>
      <c r="AU159" s="226"/>
      <c r="AV159" s="226"/>
      <c r="AW159" s="226"/>
      <c r="AX159" s="226"/>
      <c r="AY159" s="226"/>
      <c r="AZ159" s="226"/>
      <c r="BA159" s="226"/>
      <c r="BB159" s="226"/>
      <c r="BC159" s="226"/>
      <c r="BD159" s="226"/>
      <c r="BE159" s="226"/>
      <c r="BF159" s="226"/>
      <c r="BG159" s="226"/>
      <c r="BH159" s="226"/>
      <c r="BI159" s="226"/>
      <c r="BJ159" s="226"/>
      <c r="BK159" s="226"/>
      <c r="BL159" s="226"/>
      <c r="BM159" s="226"/>
      <c r="BN159" s="226"/>
      <c r="BO159" s="226"/>
      <c r="BP159" s="226"/>
      <c r="BQ159" s="226"/>
      <c r="BR159" s="226"/>
      <c r="BS159" s="226"/>
      <c r="BT159" s="226"/>
      <c r="BU159" s="226"/>
      <c r="BV159" s="226"/>
      <c r="BW159" s="226"/>
      <c r="BX159" s="226"/>
      <c r="BY159" s="226"/>
      <c r="BZ159" s="226"/>
      <c r="CA159" s="226"/>
      <c r="CB159" s="226"/>
      <c r="CC159" s="226"/>
      <c r="CD159" s="226"/>
      <c r="CE159" s="226"/>
      <c r="CF159" s="226"/>
      <c r="CG159" s="226"/>
      <c r="CH159" s="226"/>
      <c r="CI159" s="226"/>
      <c r="CJ159" s="226"/>
      <c r="CK159" s="226"/>
      <c r="CL159" s="226"/>
      <c r="CM159" s="226"/>
      <c r="CN159" s="226"/>
      <c r="CO159" s="226"/>
      <c r="CP159" s="226"/>
      <c r="CQ159" s="226"/>
      <c r="CR159" s="226"/>
      <c r="CS159" s="226"/>
      <c r="CT159" s="226"/>
      <c r="CU159" s="226"/>
      <c r="CV159" s="226"/>
      <c r="CW159" s="226"/>
      <c r="CX159" s="226"/>
      <c r="CY159" s="226"/>
      <c r="CZ159" s="226"/>
      <c r="DA159" s="226"/>
      <c r="DB159" s="226"/>
      <c r="DC159" s="226"/>
      <c r="DD159" s="226"/>
      <c r="DE159" s="226"/>
      <c r="DF159" s="226"/>
      <c r="DG159" s="226"/>
      <c r="DH159" s="226"/>
      <c r="DI159" s="226"/>
      <c r="DJ159" s="226"/>
      <c r="DK159" s="226"/>
      <c r="DL159" s="226"/>
      <c r="DM159" s="226"/>
      <c r="DN159" s="226"/>
      <c r="DO159" s="226"/>
      <c r="DP159" s="226"/>
      <c r="DQ159" s="226"/>
      <c r="DR159" s="226"/>
      <c r="DS159" s="226"/>
      <c r="DT159" s="226"/>
      <c r="DU159" s="226"/>
      <c r="DV159" s="226"/>
      <c r="DW159" s="226"/>
      <c r="DX159" s="226"/>
      <c r="DY159" s="226"/>
      <c r="DZ159" s="226"/>
      <c r="EA159" s="226"/>
      <c r="EB159" s="226"/>
      <c r="EC159" s="226"/>
      <c r="ED159" s="226"/>
      <c r="EE159" s="226"/>
      <c r="EF159" s="226"/>
      <c r="EG159" s="226"/>
      <c r="EH159" s="226"/>
      <c r="EI159" s="226"/>
      <c r="EJ159" s="226"/>
      <c r="EK159" s="226"/>
      <c r="EL159" s="226"/>
      <c r="EM159" s="226"/>
      <c r="EN159" s="226"/>
      <c r="EO159" s="226"/>
      <c r="EP159" s="226"/>
      <c r="EQ159" s="226"/>
      <c r="ER159" s="226"/>
      <c r="ES159" s="226"/>
      <c r="ET159" s="226"/>
      <c r="EU159" s="226"/>
      <c r="EV159" s="226"/>
      <c r="EW159" s="226"/>
      <c r="EX159" s="226"/>
      <c r="EY159" s="226"/>
      <c r="EZ159" s="226"/>
      <c r="FA159" s="226"/>
      <c r="FB159" s="226"/>
      <c r="FC159" s="226"/>
      <c r="FD159" s="226"/>
      <c r="FE159" s="226"/>
      <c r="FF159" s="226"/>
      <c r="FG159" s="226"/>
      <c r="FH159" s="226"/>
      <c r="FI159" s="226"/>
      <c r="FJ159" s="226"/>
      <c r="FK159" s="226"/>
      <c r="FL159" s="226"/>
      <c r="FM159" s="226"/>
      <c r="FN159" s="226"/>
      <c r="FO159" s="226"/>
      <c r="FP159" s="226"/>
      <c r="FQ159" s="226"/>
      <c r="FR159" s="226"/>
      <c r="FS159" s="226"/>
      <c r="FT159" s="226"/>
      <c r="FU159" s="226"/>
      <c r="FV159" s="226"/>
      <c r="FW159" s="226"/>
      <c r="FX159" s="226"/>
      <c r="FY159" s="226"/>
      <c r="FZ159" s="226"/>
      <c r="GA159" s="226"/>
      <c r="GB159" s="226"/>
      <c r="GC159" s="226"/>
      <c r="GD159" s="226"/>
      <c r="GE159" s="226"/>
      <c r="GF159" s="226"/>
      <c r="GG159" s="226"/>
    </row>
    <row r="160" spans="1:189" s="225" customFormat="1" ht="30" customHeight="1">
      <c r="A160" s="139" t="s">
        <v>145</v>
      </c>
      <c r="B160" s="231" t="s">
        <v>212</v>
      </c>
      <c r="C160" s="228" t="s">
        <v>27</v>
      </c>
      <c r="D160" s="138">
        <f>J160</f>
        <v>11</v>
      </c>
      <c r="E160" s="108" t="e">
        <f>#REF!</f>
        <v>#REF!</v>
      </c>
      <c r="F160" s="65" t="e">
        <f>+D160*E160</f>
        <v>#REF!</v>
      </c>
      <c r="H160" s="259">
        <f>10</f>
        <v>10</v>
      </c>
      <c r="I160" s="265">
        <v>1.1000000000000001</v>
      </c>
      <c r="J160" s="259">
        <f>H160*I160</f>
        <v>11</v>
      </c>
      <c r="K160" s="226"/>
      <c r="L160" s="226"/>
      <c r="M160" s="226"/>
      <c r="N160" s="226"/>
      <c r="O160" s="226"/>
      <c r="P160" s="226"/>
      <c r="Q160" s="226"/>
      <c r="R160" s="226"/>
      <c r="S160" s="226"/>
      <c r="T160" s="226"/>
      <c r="U160" s="226"/>
      <c r="V160" s="226"/>
      <c r="W160" s="226"/>
      <c r="X160" s="226"/>
      <c r="Y160" s="226"/>
      <c r="Z160" s="226"/>
      <c r="AA160" s="226"/>
      <c r="AB160" s="226"/>
      <c r="AC160" s="226"/>
      <c r="AD160" s="226"/>
      <c r="AE160" s="226"/>
      <c r="AF160" s="226"/>
      <c r="AG160" s="226"/>
      <c r="AH160" s="226"/>
      <c r="AI160" s="226"/>
      <c r="AJ160" s="226"/>
      <c r="AK160" s="226"/>
      <c r="AL160" s="226"/>
      <c r="AM160" s="226"/>
      <c r="AN160" s="226"/>
      <c r="AO160" s="226"/>
      <c r="AP160" s="226"/>
      <c r="AQ160" s="226"/>
      <c r="AR160" s="226"/>
      <c r="AS160" s="226"/>
      <c r="AT160" s="226"/>
      <c r="AU160" s="226"/>
      <c r="AV160" s="226"/>
      <c r="AW160" s="226"/>
      <c r="AX160" s="226"/>
      <c r="AY160" s="226"/>
      <c r="AZ160" s="226"/>
      <c r="BA160" s="226"/>
      <c r="BB160" s="226"/>
      <c r="BC160" s="226"/>
      <c r="BD160" s="226"/>
      <c r="BE160" s="226"/>
      <c r="BF160" s="226"/>
      <c r="BG160" s="226"/>
      <c r="BH160" s="226"/>
      <c r="BI160" s="226"/>
      <c r="BJ160" s="226"/>
      <c r="BK160" s="226"/>
      <c r="BL160" s="226"/>
      <c r="BM160" s="226"/>
      <c r="BN160" s="226"/>
      <c r="BO160" s="226"/>
      <c r="BP160" s="226"/>
      <c r="BQ160" s="226"/>
      <c r="BR160" s="226"/>
      <c r="BS160" s="226"/>
      <c r="BT160" s="226"/>
      <c r="BU160" s="226"/>
      <c r="BV160" s="226"/>
      <c r="BW160" s="226"/>
      <c r="BX160" s="226"/>
      <c r="BY160" s="226"/>
      <c r="BZ160" s="226"/>
      <c r="CA160" s="226"/>
      <c r="CB160" s="226"/>
      <c r="CC160" s="226"/>
      <c r="CD160" s="226"/>
      <c r="CE160" s="226"/>
      <c r="CF160" s="226"/>
      <c r="CG160" s="226"/>
      <c r="CH160" s="226"/>
      <c r="CI160" s="226"/>
      <c r="CJ160" s="226"/>
      <c r="CK160" s="226"/>
      <c r="CL160" s="226"/>
      <c r="CM160" s="226"/>
      <c r="CN160" s="226"/>
      <c r="CO160" s="226"/>
      <c r="CP160" s="226"/>
      <c r="CQ160" s="226"/>
      <c r="CR160" s="226"/>
      <c r="CS160" s="226"/>
      <c r="CT160" s="226"/>
      <c r="CU160" s="226"/>
      <c r="CV160" s="226"/>
      <c r="CW160" s="226"/>
      <c r="CX160" s="226"/>
      <c r="CY160" s="226"/>
      <c r="CZ160" s="226"/>
      <c r="DA160" s="226"/>
      <c r="DB160" s="226"/>
      <c r="DC160" s="226"/>
      <c r="DD160" s="226"/>
      <c r="DE160" s="226"/>
      <c r="DF160" s="226"/>
      <c r="DG160" s="226"/>
      <c r="DH160" s="226"/>
      <c r="DI160" s="226"/>
      <c r="DJ160" s="226"/>
      <c r="DK160" s="226"/>
      <c r="DL160" s="226"/>
      <c r="DM160" s="226"/>
      <c r="DN160" s="226"/>
      <c r="DO160" s="226"/>
      <c r="DP160" s="226"/>
      <c r="DQ160" s="226"/>
      <c r="DR160" s="226"/>
      <c r="DS160" s="226"/>
      <c r="DT160" s="226"/>
      <c r="DU160" s="226"/>
      <c r="DV160" s="226"/>
      <c r="DW160" s="226"/>
      <c r="DX160" s="226"/>
      <c r="DY160" s="226"/>
      <c r="DZ160" s="226"/>
      <c r="EA160" s="226"/>
      <c r="EB160" s="226"/>
      <c r="EC160" s="226"/>
      <c r="ED160" s="226"/>
      <c r="EE160" s="226"/>
      <c r="EF160" s="226"/>
      <c r="EG160" s="226"/>
      <c r="EH160" s="226"/>
      <c r="EI160" s="226"/>
      <c r="EJ160" s="226"/>
      <c r="EK160" s="226"/>
      <c r="EL160" s="226"/>
      <c r="EM160" s="226"/>
      <c r="EN160" s="226"/>
      <c r="EO160" s="226"/>
      <c r="EP160" s="226"/>
      <c r="EQ160" s="226"/>
      <c r="ER160" s="226"/>
      <c r="ES160" s="226"/>
      <c r="ET160" s="226"/>
      <c r="EU160" s="226"/>
      <c r="EV160" s="226"/>
      <c r="EW160" s="226"/>
      <c r="EX160" s="226"/>
      <c r="EY160" s="226"/>
      <c r="EZ160" s="226"/>
      <c r="FA160" s="226"/>
      <c r="FB160" s="226"/>
      <c r="FC160" s="226"/>
      <c r="FD160" s="226"/>
      <c r="FE160" s="226"/>
      <c r="FF160" s="226"/>
      <c r="FG160" s="226"/>
      <c r="FH160" s="226"/>
      <c r="FI160" s="226"/>
      <c r="FJ160" s="226"/>
      <c r="FK160" s="226"/>
      <c r="FL160" s="226"/>
      <c r="FM160" s="226"/>
      <c r="FN160" s="226"/>
      <c r="FO160" s="226"/>
      <c r="FP160" s="226"/>
      <c r="FQ160" s="226"/>
      <c r="FR160" s="226"/>
      <c r="FS160" s="226"/>
      <c r="FT160" s="226"/>
      <c r="FU160" s="226"/>
      <c r="FV160" s="226"/>
      <c r="FW160" s="226"/>
      <c r="FX160" s="226"/>
      <c r="FY160" s="226"/>
      <c r="FZ160" s="226"/>
      <c r="GA160" s="226"/>
      <c r="GB160" s="226"/>
      <c r="GC160" s="226"/>
      <c r="GD160" s="226"/>
      <c r="GE160" s="226"/>
      <c r="GF160" s="226"/>
      <c r="GG160" s="226"/>
    </row>
    <row r="161" spans="1:189" s="225" customFormat="1" ht="15.95" customHeight="1">
      <c r="A161" s="139" t="s">
        <v>214</v>
      </c>
      <c r="B161" s="231" t="s">
        <v>213</v>
      </c>
      <c r="C161" s="228" t="s">
        <v>27</v>
      </c>
      <c r="D161" s="138">
        <f>J161</f>
        <v>2180.4640000000004</v>
      </c>
      <c r="E161" s="108" t="e">
        <f>#REF!</f>
        <v>#REF!</v>
      </c>
      <c r="F161" s="65" t="e">
        <f>+D161*E161</f>
        <v>#REF!</v>
      </c>
      <c r="H161" s="259">
        <f>SUM(F3:F11)/12.5</f>
        <v>1982.24</v>
      </c>
      <c r="I161" s="265">
        <v>1.1000000000000001</v>
      </c>
      <c r="J161" s="259">
        <f>H161*I161</f>
        <v>2180.4640000000004</v>
      </c>
      <c r="K161" s="226"/>
      <c r="L161" s="226"/>
      <c r="M161" s="226"/>
      <c r="N161" s="226"/>
      <c r="O161" s="226"/>
      <c r="P161" s="226"/>
      <c r="Q161" s="226"/>
      <c r="R161" s="226"/>
      <c r="S161" s="226"/>
      <c r="T161" s="226"/>
      <c r="U161" s="226"/>
      <c r="V161" s="226"/>
      <c r="W161" s="226"/>
      <c r="X161" s="226"/>
      <c r="Y161" s="226"/>
      <c r="Z161" s="226"/>
      <c r="AA161" s="226"/>
      <c r="AB161" s="226"/>
      <c r="AC161" s="226"/>
      <c r="AD161" s="226"/>
      <c r="AE161" s="226"/>
      <c r="AF161" s="226"/>
      <c r="AG161" s="226"/>
      <c r="AH161" s="226"/>
      <c r="AI161" s="226"/>
      <c r="AJ161" s="226"/>
      <c r="AK161" s="226"/>
      <c r="AL161" s="226"/>
      <c r="AM161" s="226"/>
      <c r="AN161" s="226"/>
      <c r="AO161" s="226"/>
      <c r="AP161" s="226"/>
      <c r="AQ161" s="226"/>
      <c r="AR161" s="226"/>
      <c r="AS161" s="226"/>
      <c r="AT161" s="226"/>
      <c r="AU161" s="226"/>
      <c r="AV161" s="226"/>
      <c r="AW161" s="226"/>
      <c r="AX161" s="226"/>
      <c r="AY161" s="226"/>
      <c r="AZ161" s="226"/>
      <c r="BA161" s="226"/>
      <c r="BB161" s="226"/>
      <c r="BC161" s="226"/>
      <c r="BD161" s="226"/>
      <c r="BE161" s="226"/>
      <c r="BF161" s="226"/>
      <c r="BG161" s="226"/>
      <c r="BH161" s="226"/>
      <c r="BI161" s="226"/>
      <c r="BJ161" s="226"/>
      <c r="BK161" s="226"/>
      <c r="BL161" s="226"/>
      <c r="BM161" s="226"/>
      <c r="BN161" s="226"/>
      <c r="BO161" s="226"/>
      <c r="BP161" s="226"/>
      <c r="BQ161" s="226"/>
      <c r="BR161" s="226"/>
      <c r="BS161" s="226"/>
      <c r="BT161" s="226"/>
      <c r="BU161" s="226"/>
      <c r="BV161" s="226"/>
      <c r="BW161" s="226"/>
      <c r="BX161" s="226"/>
      <c r="BY161" s="226"/>
      <c r="BZ161" s="226"/>
      <c r="CA161" s="226"/>
      <c r="CB161" s="226"/>
      <c r="CC161" s="226"/>
      <c r="CD161" s="226"/>
      <c r="CE161" s="226"/>
      <c r="CF161" s="226"/>
      <c r="CG161" s="226"/>
      <c r="CH161" s="226"/>
      <c r="CI161" s="226"/>
      <c r="CJ161" s="226"/>
      <c r="CK161" s="226"/>
      <c r="CL161" s="226"/>
      <c r="CM161" s="226"/>
      <c r="CN161" s="226"/>
      <c r="CO161" s="226"/>
      <c r="CP161" s="226"/>
      <c r="CQ161" s="226"/>
      <c r="CR161" s="226"/>
      <c r="CS161" s="226"/>
      <c r="CT161" s="226"/>
      <c r="CU161" s="226"/>
      <c r="CV161" s="226"/>
      <c r="CW161" s="226"/>
      <c r="CX161" s="226"/>
      <c r="CY161" s="226"/>
      <c r="CZ161" s="226"/>
      <c r="DA161" s="226"/>
      <c r="DB161" s="226"/>
      <c r="DC161" s="226"/>
      <c r="DD161" s="226"/>
      <c r="DE161" s="226"/>
      <c r="DF161" s="226"/>
      <c r="DG161" s="226"/>
      <c r="DH161" s="226"/>
      <c r="DI161" s="226"/>
      <c r="DJ161" s="226"/>
      <c r="DK161" s="226"/>
      <c r="DL161" s="226"/>
      <c r="DM161" s="226"/>
      <c r="DN161" s="226"/>
      <c r="DO161" s="226"/>
      <c r="DP161" s="226"/>
      <c r="DQ161" s="226"/>
      <c r="DR161" s="226"/>
      <c r="DS161" s="226"/>
      <c r="DT161" s="226"/>
      <c r="DU161" s="226"/>
      <c r="DV161" s="226"/>
      <c r="DW161" s="226"/>
      <c r="DX161" s="226"/>
      <c r="DY161" s="226"/>
      <c r="DZ161" s="226"/>
      <c r="EA161" s="226"/>
      <c r="EB161" s="226"/>
      <c r="EC161" s="226"/>
      <c r="ED161" s="226"/>
      <c r="EE161" s="226"/>
      <c r="EF161" s="226"/>
      <c r="EG161" s="226"/>
      <c r="EH161" s="226"/>
      <c r="EI161" s="226"/>
      <c r="EJ161" s="226"/>
      <c r="EK161" s="226"/>
      <c r="EL161" s="226"/>
      <c r="EM161" s="226"/>
      <c r="EN161" s="226"/>
      <c r="EO161" s="226"/>
      <c r="EP161" s="226"/>
      <c r="EQ161" s="226"/>
      <c r="ER161" s="226"/>
      <c r="ES161" s="226"/>
      <c r="ET161" s="226"/>
      <c r="EU161" s="226"/>
      <c r="EV161" s="226"/>
      <c r="EW161" s="226"/>
      <c r="EX161" s="226"/>
      <c r="EY161" s="226"/>
      <c r="EZ161" s="226"/>
      <c r="FA161" s="226"/>
      <c r="FB161" s="226"/>
      <c r="FC161" s="226"/>
      <c r="FD161" s="226"/>
      <c r="FE161" s="226"/>
      <c r="FF161" s="226"/>
      <c r="FG161" s="226"/>
      <c r="FH161" s="226"/>
      <c r="FI161" s="226"/>
      <c r="FJ161" s="226"/>
      <c r="FK161" s="226"/>
      <c r="FL161" s="226"/>
      <c r="FM161" s="226"/>
      <c r="FN161" s="226"/>
      <c r="FO161" s="226"/>
      <c r="FP161" s="226"/>
      <c r="FQ161" s="226"/>
      <c r="FR161" s="226"/>
      <c r="FS161" s="226"/>
      <c r="FT161" s="226"/>
      <c r="FU161" s="226"/>
      <c r="FV161" s="226"/>
      <c r="FW161" s="226"/>
      <c r="FX161" s="226"/>
      <c r="FY161" s="226"/>
      <c r="FZ161" s="226"/>
      <c r="GA161" s="226"/>
      <c r="GB161" s="226"/>
      <c r="GC161" s="226"/>
      <c r="GD161" s="226"/>
      <c r="GE161" s="226"/>
      <c r="GF161" s="226"/>
      <c r="GG161" s="226"/>
    </row>
    <row r="162" spans="1:189" s="225" customFormat="1" ht="18" customHeight="1">
      <c r="A162" s="17"/>
      <c r="B162" s="230"/>
      <c r="C162" s="228"/>
      <c r="D162" s="138"/>
      <c r="E162" s="108"/>
      <c r="F162" s="65"/>
      <c r="H162" s="259"/>
      <c r="I162" s="265"/>
      <c r="J162" s="259"/>
      <c r="K162" s="226"/>
      <c r="L162" s="226"/>
      <c r="M162" s="226"/>
      <c r="N162" s="226"/>
      <c r="O162" s="226"/>
      <c r="P162" s="226"/>
      <c r="Q162" s="226"/>
      <c r="R162" s="226"/>
      <c r="S162" s="226"/>
      <c r="T162" s="226"/>
      <c r="U162" s="226"/>
      <c r="V162" s="226"/>
      <c r="W162" s="226"/>
      <c r="X162" s="226"/>
      <c r="Y162" s="226"/>
      <c r="Z162" s="226"/>
      <c r="AA162" s="226"/>
      <c r="AB162" s="226"/>
      <c r="AC162" s="226"/>
      <c r="AD162" s="226"/>
      <c r="AE162" s="226"/>
      <c r="AF162" s="226"/>
      <c r="AG162" s="226"/>
      <c r="AH162" s="226"/>
      <c r="AI162" s="226"/>
      <c r="AJ162" s="226"/>
      <c r="AK162" s="226"/>
      <c r="AL162" s="226"/>
      <c r="AM162" s="226"/>
      <c r="AN162" s="226"/>
      <c r="AO162" s="226"/>
      <c r="AP162" s="226"/>
      <c r="AQ162" s="226"/>
      <c r="AR162" s="226"/>
      <c r="AS162" s="226"/>
      <c r="AT162" s="226"/>
      <c r="AU162" s="226"/>
      <c r="AV162" s="226"/>
      <c r="AW162" s="226"/>
      <c r="AX162" s="226"/>
      <c r="AY162" s="226"/>
      <c r="AZ162" s="226"/>
      <c r="BA162" s="226"/>
      <c r="BB162" s="226"/>
      <c r="BC162" s="226"/>
      <c r="BD162" s="226"/>
      <c r="BE162" s="226"/>
      <c r="BF162" s="226"/>
      <c r="BG162" s="226"/>
      <c r="BH162" s="226"/>
      <c r="BI162" s="226"/>
      <c r="BJ162" s="226"/>
      <c r="BK162" s="226"/>
      <c r="BL162" s="226"/>
      <c r="BM162" s="226"/>
      <c r="BN162" s="226"/>
      <c r="BO162" s="226"/>
      <c r="BP162" s="226"/>
      <c r="BQ162" s="226"/>
      <c r="BR162" s="226"/>
      <c r="BS162" s="226"/>
      <c r="BT162" s="226"/>
      <c r="BU162" s="226"/>
      <c r="BV162" s="226"/>
      <c r="BW162" s="226"/>
      <c r="BX162" s="226"/>
      <c r="BY162" s="226"/>
      <c r="BZ162" s="226"/>
      <c r="CA162" s="226"/>
      <c r="CB162" s="226"/>
      <c r="CC162" s="226"/>
      <c r="CD162" s="226"/>
      <c r="CE162" s="226"/>
      <c r="CF162" s="226"/>
      <c r="CG162" s="226"/>
      <c r="CH162" s="226"/>
      <c r="CI162" s="226"/>
      <c r="CJ162" s="226"/>
      <c r="CK162" s="226"/>
      <c r="CL162" s="226"/>
      <c r="CM162" s="226"/>
      <c r="CN162" s="226"/>
      <c r="CO162" s="226"/>
      <c r="CP162" s="226"/>
      <c r="CQ162" s="226"/>
      <c r="CR162" s="226"/>
      <c r="CS162" s="226"/>
      <c r="CT162" s="226"/>
      <c r="CU162" s="226"/>
      <c r="CV162" s="226"/>
      <c r="CW162" s="226"/>
      <c r="CX162" s="226"/>
      <c r="CY162" s="226"/>
      <c r="CZ162" s="226"/>
      <c r="DA162" s="226"/>
      <c r="DB162" s="226"/>
      <c r="DC162" s="226"/>
      <c r="DD162" s="226"/>
      <c r="DE162" s="226"/>
      <c r="DF162" s="226"/>
      <c r="DG162" s="226"/>
      <c r="DH162" s="226"/>
      <c r="DI162" s="226"/>
      <c r="DJ162" s="226"/>
      <c r="DK162" s="226"/>
      <c r="DL162" s="226"/>
      <c r="DM162" s="226"/>
      <c r="DN162" s="226"/>
      <c r="DO162" s="226"/>
      <c r="DP162" s="226"/>
      <c r="DQ162" s="226"/>
      <c r="DR162" s="226"/>
      <c r="DS162" s="226"/>
      <c r="DT162" s="226"/>
      <c r="DU162" s="226"/>
      <c r="DV162" s="226"/>
      <c r="DW162" s="226"/>
      <c r="DX162" s="226"/>
      <c r="DY162" s="226"/>
      <c r="DZ162" s="226"/>
      <c r="EA162" s="226"/>
      <c r="EB162" s="226"/>
      <c r="EC162" s="226"/>
      <c r="ED162" s="226"/>
      <c r="EE162" s="226"/>
      <c r="EF162" s="226"/>
      <c r="EG162" s="226"/>
      <c r="EH162" s="226"/>
      <c r="EI162" s="226"/>
      <c r="EJ162" s="226"/>
      <c r="EK162" s="226"/>
      <c r="EL162" s="226"/>
      <c r="EM162" s="226"/>
      <c r="EN162" s="226"/>
      <c r="EO162" s="226"/>
      <c r="EP162" s="226"/>
      <c r="EQ162" s="226"/>
      <c r="ER162" s="226"/>
      <c r="ES162" s="226"/>
      <c r="ET162" s="226"/>
      <c r="EU162" s="226"/>
      <c r="EV162" s="226"/>
      <c r="EW162" s="226"/>
      <c r="EX162" s="226"/>
      <c r="EY162" s="226"/>
      <c r="EZ162" s="226"/>
      <c r="FA162" s="226"/>
      <c r="FB162" s="226"/>
      <c r="FC162" s="226"/>
      <c r="FD162" s="226"/>
      <c r="FE162" s="226"/>
      <c r="FF162" s="226"/>
      <c r="FG162" s="226"/>
      <c r="FH162" s="226"/>
      <c r="FI162" s="226"/>
      <c r="FJ162" s="226"/>
      <c r="FK162" s="226"/>
      <c r="FL162" s="226"/>
      <c r="FM162" s="226"/>
      <c r="FN162" s="226"/>
      <c r="FO162" s="226"/>
      <c r="FP162" s="226"/>
      <c r="FQ162" s="226"/>
      <c r="FR162" s="226"/>
      <c r="FS162" s="226"/>
      <c r="FT162" s="226"/>
      <c r="FU162" s="226"/>
      <c r="FV162" s="226"/>
      <c r="FW162" s="226"/>
      <c r="FX162" s="226"/>
      <c r="FY162" s="226"/>
      <c r="FZ162" s="226"/>
      <c r="GA162" s="226"/>
      <c r="GB162" s="226"/>
      <c r="GC162" s="226"/>
      <c r="GD162" s="226"/>
      <c r="GE162" s="226"/>
      <c r="GF162" s="226"/>
      <c r="GG162" s="226"/>
    </row>
    <row r="163" spans="1:189" s="225" customFormat="1" ht="16.5" customHeight="1">
      <c r="A163" s="141">
        <v>514</v>
      </c>
      <c r="B163" s="43" t="s">
        <v>146</v>
      </c>
      <c r="C163" s="248"/>
      <c r="D163" s="249"/>
      <c r="E163" s="109"/>
      <c r="F163" s="63"/>
      <c r="H163" s="259"/>
      <c r="I163" s="265"/>
      <c r="J163" s="259"/>
      <c r="K163" s="226"/>
      <c r="L163" s="226"/>
      <c r="M163" s="226"/>
      <c r="N163" s="226"/>
      <c r="O163" s="226"/>
      <c r="P163" s="226"/>
      <c r="Q163" s="226"/>
      <c r="R163" s="226"/>
      <c r="S163" s="226"/>
      <c r="T163" s="226"/>
      <c r="U163" s="226"/>
      <c r="V163" s="226"/>
      <c r="W163" s="226"/>
      <c r="X163" s="226"/>
      <c r="Y163" s="226"/>
      <c r="Z163" s="226"/>
      <c r="AA163" s="226"/>
      <c r="AB163" s="226"/>
      <c r="AC163" s="226"/>
      <c r="AD163" s="226"/>
      <c r="AE163" s="226"/>
      <c r="AF163" s="226"/>
      <c r="AG163" s="226"/>
      <c r="AH163" s="226"/>
      <c r="AI163" s="226"/>
      <c r="AJ163" s="226"/>
      <c r="AK163" s="226"/>
      <c r="AL163" s="226"/>
      <c r="AM163" s="226"/>
      <c r="AN163" s="226"/>
      <c r="AO163" s="226"/>
      <c r="AP163" s="226"/>
      <c r="AQ163" s="226"/>
      <c r="AR163" s="226"/>
      <c r="AS163" s="226"/>
      <c r="AT163" s="226"/>
      <c r="AU163" s="226"/>
      <c r="AV163" s="226"/>
      <c r="AW163" s="226"/>
      <c r="AX163" s="226"/>
      <c r="AY163" s="226"/>
      <c r="AZ163" s="226"/>
      <c r="BA163" s="226"/>
      <c r="BB163" s="226"/>
      <c r="BC163" s="226"/>
      <c r="BD163" s="226"/>
      <c r="BE163" s="226"/>
      <c r="BF163" s="226"/>
      <c r="BG163" s="226"/>
      <c r="BH163" s="226"/>
      <c r="BI163" s="226"/>
      <c r="BJ163" s="226"/>
      <c r="BK163" s="226"/>
      <c r="BL163" s="226"/>
      <c r="BM163" s="226"/>
      <c r="BN163" s="226"/>
      <c r="BO163" s="226"/>
      <c r="BP163" s="226"/>
      <c r="BQ163" s="226"/>
      <c r="BR163" s="226"/>
      <c r="BS163" s="226"/>
      <c r="BT163" s="226"/>
      <c r="BU163" s="226"/>
      <c r="BV163" s="226"/>
      <c r="BW163" s="226"/>
      <c r="BX163" s="226"/>
      <c r="BY163" s="226"/>
      <c r="BZ163" s="226"/>
      <c r="CA163" s="226"/>
      <c r="CB163" s="226"/>
      <c r="CC163" s="226"/>
      <c r="CD163" s="226"/>
      <c r="CE163" s="226"/>
      <c r="CF163" s="226"/>
      <c r="CG163" s="226"/>
      <c r="CH163" s="226"/>
      <c r="CI163" s="226"/>
      <c r="CJ163" s="226"/>
      <c r="CK163" s="226"/>
      <c r="CL163" s="226"/>
      <c r="CM163" s="226"/>
      <c r="CN163" s="226"/>
      <c r="CO163" s="226"/>
      <c r="CP163" s="226"/>
      <c r="CQ163" s="226"/>
      <c r="CR163" s="226"/>
      <c r="CS163" s="226"/>
      <c r="CT163" s="226"/>
      <c r="CU163" s="226"/>
      <c r="CV163" s="226"/>
      <c r="CW163" s="226"/>
      <c r="CX163" s="226"/>
      <c r="CY163" s="226"/>
      <c r="CZ163" s="226"/>
      <c r="DA163" s="226"/>
      <c r="DB163" s="226"/>
      <c r="DC163" s="226"/>
      <c r="DD163" s="226"/>
      <c r="DE163" s="226"/>
      <c r="DF163" s="226"/>
      <c r="DG163" s="226"/>
      <c r="DH163" s="226"/>
      <c r="DI163" s="226"/>
      <c r="DJ163" s="226"/>
      <c r="DK163" s="226"/>
      <c r="DL163" s="226"/>
      <c r="DM163" s="226"/>
      <c r="DN163" s="226"/>
      <c r="DO163" s="226"/>
      <c r="DP163" s="226"/>
      <c r="DQ163" s="226"/>
      <c r="DR163" s="226"/>
      <c r="DS163" s="226"/>
      <c r="DT163" s="226"/>
      <c r="DU163" s="226"/>
      <c r="DV163" s="226"/>
      <c r="DW163" s="226"/>
      <c r="DX163" s="226"/>
      <c r="DY163" s="226"/>
      <c r="DZ163" s="226"/>
      <c r="EA163" s="226"/>
      <c r="EB163" s="226"/>
      <c r="EC163" s="226"/>
      <c r="ED163" s="226"/>
      <c r="EE163" s="226"/>
      <c r="EF163" s="226"/>
      <c r="EG163" s="226"/>
      <c r="EH163" s="226"/>
      <c r="EI163" s="226"/>
      <c r="EJ163" s="226"/>
      <c r="EK163" s="226"/>
      <c r="EL163" s="226"/>
      <c r="EM163" s="226"/>
      <c r="EN163" s="226"/>
      <c r="EO163" s="226"/>
      <c r="EP163" s="226"/>
      <c r="EQ163" s="226"/>
      <c r="ER163" s="226"/>
      <c r="ES163" s="226"/>
      <c r="ET163" s="226"/>
      <c r="EU163" s="226"/>
      <c r="EV163" s="226"/>
      <c r="EW163" s="226"/>
      <c r="EX163" s="226"/>
      <c r="EY163" s="226"/>
      <c r="EZ163" s="226"/>
      <c r="FA163" s="226"/>
      <c r="FB163" s="226"/>
      <c r="FC163" s="226"/>
      <c r="FD163" s="226"/>
      <c r="FE163" s="226"/>
      <c r="FF163" s="226"/>
      <c r="FG163" s="226"/>
      <c r="FH163" s="226"/>
      <c r="FI163" s="226"/>
      <c r="FJ163" s="226"/>
      <c r="FK163" s="226"/>
      <c r="FL163" s="226"/>
      <c r="FM163" s="226"/>
      <c r="FN163" s="226"/>
      <c r="FO163" s="226"/>
      <c r="FP163" s="226"/>
      <c r="FQ163" s="226"/>
      <c r="FR163" s="226"/>
      <c r="FS163" s="226"/>
      <c r="FT163" s="226"/>
      <c r="FU163" s="226"/>
      <c r="FV163" s="226"/>
      <c r="FW163" s="226"/>
      <c r="FX163" s="226"/>
      <c r="FY163" s="226"/>
      <c r="FZ163" s="226"/>
      <c r="GA163" s="226"/>
      <c r="GB163" s="226"/>
      <c r="GC163" s="226"/>
      <c r="GD163" s="226"/>
      <c r="GE163" s="226"/>
      <c r="GF163" s="226"/>
      <c r="GG163" s="226"/>
    </row>
    <row r="164" spans="1:189" s="225" customFormat="1" ht="15.95" customHeight="1">
      <c r="A164" s="143" t="s">
        <v>147</v>
      </c>
      <c r="B164" s="242" t="s">
        <v>253</v>
      </c>
      <c r="C164" s="251" t="s">
        <v>1</v>
      </c>
      <c r="D164" s="82">
        <f>J164</f>
        <v>0</v>
      </c>
      <c r="E164" s="107" t="e">
        <f>#REF!</f>
        <v>#REF!</v>
      </c>
      <c r="F164" s="64" t="e">
        <f>+D164*E164</f>
        <v>#REF!</v>
      </c>
      <c r="H164" s="259">
        <v>0</v>
      </c>
      <c r="I164" s="265">
        <v>1.1000000000000001</v>
      </c>
      <c r="J164" s="259">
        <f>H164*I164</f>
        <v>0</v>
      </c>
      <c r="K164" s="226"/>
      <c r="L164" s="226"/>
      <c r="M164" s="226"/>
      <c r="N164" s="226"/>
      <c r="O164" s="226"/>
      <c r="P164" s="226"/>
      <c r="Q164" s="226"/>
      <c r="R164" s="226"/>
      <c r="S164" s="226"/>
      <c r="T164" s="226"/>
      <c r="U164" s="226"/>
      <c r="V164" s="226"/>
      <c r="W164" s="226"/>
      <c r="X164" s="226"/>
      <c r="Y164" s="226"/>
      <c r="Z164" s="226"/>
      <c r="AA164" s="226"/>
      <c r="AB164" s="226"/>
      <c r="AC164" s="226"/>
      <c r="AD164" s="226"/>
      <c r="AE164" s="226"/>
      <c r="AF164" s="226"/>
      <c r="AG164" s="226"/>
      <c r="AH164" s="226"/>
      <c r="AI164" s="226"/>
      <c r="AJ164" s="226"/>
      <c r="AK164" s="226"/>
      <c r="AL164" s="226"/>
      <c r="AM164" s="226"/>
      <c r="AN164" s="226"/>
      <c r="AO164" s="226"/>
      <c r="AP164" s="226"/>
      <c r="AQ164" s="226"/>
      <c r="AR164" s="226"/>
      <c r="AS164" s="226"/>
      <c r="AT164" s="226"/>
      <c r="AU164" s="226"/>
      <c r="AV164" s="226"/>
      <c r="AW164" s="226"/>
      <c r="AX164" s="226"/>
      <c r="AY164" s="226"/>
      <c r="AZ164" s="226"/>
      <c r="BA164" s="226"/>
      <c r="BB164" s="226"/>
      <c r="BC164" s="226"/>
      <c r="BD164" s="226"/>
      <c r="BE164" s="226"/>
      <c r="BF164" s="226"/>
      <c r="BG164" s="226"/>
      <c r="BH164" s="226"/>
      <c r="BI164" s="226"/>
      <c r="BJ164" s="226"/>
      <c r="BK164" s="226"/>
      <c r="BL164" s="226"/>
      <c r="BM164" s="226"/>
      <c r="BN164" s="226"/>
      <c r="BO164" s="226"/>
      <c r="BP164" s="226"/>
      <c r="BQ164" s="226"/>
      <c r="BR164" s="226"/>
      <c r="BS164" s="226"/>
      <c r="BT164" s="226"/>
      <c r="BU164" s="226"/>
      <c r="BV164" s="226"/>
      <c r="BW164" s="226"/>
      <c r="BX164" s="226"/>
      <c r="BY164" s="226"/>
      <c r="BZ164" s="226"/>
      <c r="CA164" s="226"/>
      <c r="CB164" s="226"/>
      <c r="CC164" s="226"/>
      <c r="CD164" s="226"/>
      <c r="CE164" s="226"/>
      <c r="CF164" s="226"/>
      <c r="CG164" s="226"/>
      <c r="CH164" s="226"/>
      <c r="CI164" s="226"/>
      <c r="CJ164" s="226"/>
      <c r="CK164" s="226"/>
      <c r="CL164" s="226"/>
      <c r="CM164" s="226"/>
      <c r="CN164" s="226"/>
      <c r="CO164" s="226"/>
      <c r="CP164" s="226"/>
      <c r="CQ164" s="226"/>
      <c r="CR164" s="226"/>
      <c r="CS164" s="226"/>
      <c r="CT164" s="226"/>
      <c r="CU164" s="226"/>
      <c r="CV164" s="226"/>
      <c r="CW164" s="226"/>
      <c r="CX164" s="226"/>
      <c r="CY164" s="226"/>
      <c r="CZ164" s="226"/>
      <c r="DA164" s="226"/>
      <c r="DB164" s="226"/>
      <c r="DC164" s="226"/>
      <c r="DD164" s="226"/>
      <c r="DE164" s="226"/>
      <c r="DF164" s="226"/>
      <c r="DG164" s="226"/>
      <c r="DH164" s="226"/>
      <c r="DI164" s="226"/>
      <c r="DJ164" s="226"/>
      <c r="DK164" s="226"/>
      <c r="DL164" s="226"/>
      <c r="DM164" s="226"/>
      <c r="DN164" s="226"/>
      <c r="DO164" s="226"/>
      <c r="DP164" s="226"/>
      <c r="DQ164" s="226"/>
      <c r="DR164" s="226"/>
      <c r="DS164" s="226"/>
      <c r="DT164" s="226"/>
      <c r="DU164" s="226"/>
      <c r="DV164" s="226"/>
      <c r="DW164" s="226"/>
      <c r="DX164" s="226"/>
      <c r="DY164" s="226"/>
      <c r="DZ164" s="226"/>
      <c r="EA164" s="226"/>
      <c r="EB164" s="226"/>
      <c r="EC164" s="226"/>
      <c r="ED164" s="226"/>
      <c r="EE164" s="226"/>
      <c r="EF164" s="226"/>
      <c r="EG164" s="226"/>
      <c r="EH164" s="226"/>
      <c r="EI164" s="226"/>
      <c r="EJ164" s="226"/>
      <c r="EK164" s="226"/>
      <c r="EL164" s="226"/>
      <c r="EM164" s="226"/>
      <c r="EN164" s="226"/>
      <c r="EO164" s="226"/>
      <c r="EP164" s="226"/>
      <c r="EQ164" s="226"/>
      <c r="ER164" s="226"/>
      <c r="ES164" s="226"/>
      <c r="ET164" s="226"/>
      <c r="EU164" s="226"/>
      <c r="EV164" s="226"/>
      <c r="EW164" s="226"/>
      <c r="EX164" s="226"/>
      <c r="EY164" s="226"/>
      <c r="EZ164" s="226"/>
      <c r="FA164" s="226"/>
      <c r="FB164" s="226"/>
      <c r="FC164" s="226"/>
      <c r="FD164" s="226"/>
      <c r="FE164" s="226"/>
      <c r="FF164" s="226"/>
      <c r="FG164" s="226"/>
      <c r="FH164" s="226"/>
      <c r="FI164" s="226"/>
      <c r="FJ164" s="226"/>
      <c r="FK164" s="226"/>
      <c r="FL164" s="226"/>
      <c r="FM164" s="226"/>
      <c r="FN164" s="226"/>
      <c r="FO164" s="226"/>
      <c r="FP164" s="226"/>
      <c r="FQ164" s="226"/>
      <c r="FR164" s="226"/>
      <c r="FS164" s="226"/>
      <c r="FT164" s="226"/>
      <c r="FU164" s="226"/>
      <c r="FV164" s="226"/>
      <c r="FW164" s="226"/>
      <c r="FX164" s="226"/>
      <c r="FY164" s="226"/>
      <c r="FZ164" s="226"/>
      <c r="GA164" s="226"/>
      <c r="GB164" s="226"/>
      <c r="GC164" s="226"/>
      <c r="GD164" s="226"/>
      <c r="GE164" s="226"/>
      <c r="GF164" s="226"/>
      <c r="GG164" s="226"/>
    </row>
    <row r="165" spans="1:189" s="225" customFormat="1" ht="16.5" customHeight="1">
      <c r="A165" s="141">
        <v>515</v>
      </c>
      <c r="B165" s="43" t="s">
        <v>148</v>
      </c>
      <c r="C165" s="248"/>
      <c r="D165" s="249"/>
      <c r="E165" s="109"/>
      <c r="F165" s="63"/>
      <c r="H165" s="259"/>
      <c r="I165" s="265"/>
      <c r="J165" s="259"/>
      <c r="K165" s="226"/>
      <c r="L165" s="226"/>
      <c r="M165" s="226"/>
      <c r="N165" s="226"/>
      <c r="O165" s="226"/>
      <c r="P165" s="226"/>
      <c r="Q165" s="226"/>
      <c r="R165" s="226"/>
      <c r="S165" s="226"/>
      <c r="T165" s="226"/>
      <c r="U165" s="226"/>
      <c r="V165" s="226"/>
      <c r="W165" s="226"/>
      <c r="X165" s="226"/>
      <c r="Y165" s="226"/>
      <c r="Z165" s="226"/>
      <c r="AA165" s="226"/>
      <c r="AB165" s="226"/>
      <c r="AC165" s="226"/>
      <c r="AD165" s="226"/>
      <c r="AE165" s="226"/>
      <c r="AF165" s="226"/>
      <c r="AG165" s="226"/>
      <c r="AH165" s="226"/>
      <c r="AI165" s="226"/>
      <c r="AJ165" s="226"/>
      <c r="AK165" s="226"/>
      <c r="AL165" s="226"/>
      <c r="AM165" s="226"/>
      <c r="AN165" s="226"/>
      <c r="AO165" s="226"/>
      <c r="AP165" s="226"/>
      <c r="AQ165" s="226"/>
      <c r="AR165" s="226"/>
      <c r="AS165" s="226"/>
      <c r="AT165" s="226"/>
      <c r="AU165" s="226"/>
      <c r="AV165" s="226"/>
      <c r="AW165" s="226"/>
      <c r="AX165" s="226"/>
      <c r="AY165" s="226"/>
      <c r="AZ165" s="226"/>
      <c r="BA165" s="226"/>
      <c r="BB165" s="226"/>
      <c r="BC165" s="226"/>
      <c r="BD165" s="226"/>
      <c r="BE165" s="226"/>
      <c r="BF165" s="226"/>
      <c r="BG165" s="226"/>
      <c r="BH165" s="226"/>
      <c r="BI165" s="226"/>
      <c r="BJ165" s="226"/>
      <c r="BK165" s="226"/>
      <c r="BL165" s="226"/>
      <c r="BM165" s="226"/>
      <c r="BN165" s="226"/>
      <c r="BO165" s="226"/>
      <c r="BP165" s="226"/>
      <c r="BQ165" s="226"/>
      <c r="BR165" s="226"/>
      <c r="BS165" s="226"/>
      <c r="BT165" s="226"/>
      <c r="BU165" s="226"/>
      <c r="BV165" s="226"/>
      <c r="BW165" s="226"/>
      <c r="BX165" s="226"/>
      <c r="BY165" s="226"/>
      <c r="BZ165" s="226"/>
      <c r="CA165" s="226"/>
      <c r="CB165" s="226"/>
      <c r="CC165" s="226"/>
      <c r="CD165" s="226"/>
      <c r="CE165" s="226"/>
      <c r="CF165" s="226"/>
      <c r="CG165" s="226"/>
      <c r="CH165" s="226"/>
      <c r="CI165" s="226"/>
      <c r="CJ165" s="226"/>
      <c r="CK165" s="226"/>
      <c r="CL165" s="226"/>
      <c r="CM165" s="226"/>
      <c r="CN165" s="226"/>
      <c r="CO165" s="226"/>
      <c r="CP165" s="226"/>
      <c r="CQ165" s="226"/>
      <c r="CR165" s="226"/>
      <c r="CS165" s="226"/>
      <c r="CT165" s="226"/>
      <c r="CU165" s="226"/>
      <c r="CV165" s="226"/>
      <c r="CW165" s="226"/>
      <c r="CX165" s="226"/>
      <c r="CY165" s="226"/>
      <c r="CZ165" s="226"/>
      <c r="DA165" s="226"/>
      <c r="DB165" s="226"/>
      <c r="DC165" s="226"/>
      <c r="DD165" s="226"/>
      <c r="DE165" s="226"/>
      <c r="DF165" s="226"/>
      <c r="DG165" s="226"/>
      <c r="DH165" s="226"/>
      <c r="DI165" s="226"/>
      <c r="DJ165" s="226"/>
      <c r="DK165" s="226"/>
      <c r="DL165" s="226"/>
      <c r="DM165" s="226"/>
      <c r="DN165" s="226"/>
      <c r="DO165" s="226"/>
      <c r="DP165" s="226"/>
      <c r="DQ165" s="226"/>
      <c r="DR165" s="226"/>
      <c r="DS165" s="226"/>
      <c r="DT165" s="226"/>
      <c r="DU165" s="226"/>
      <c r="DV165" s="226"/>
      <c r="DW165" s="226"/>
      <c r="DX165" s="226"/>
      <c r="DY165" s="226"/>
      <c r="DZ165" s="226"/>
      <c r="EA165" s="226"/>
      <c r="EB165" s="226"/>
      <c r="EC165" s="226"/>
      <c r="ED165" s="226"/>
      <c r="EE165" s="226"/>
      <c r="EF165" s="226"/>
      <c r="EG165" s="226"/>
      <c r="EH165" s="226"/>
      <c r="EI165" s="226"/>
      <c r="EJ165" s="226"/>
      <c r="EK165" s="226"/>
      <c r="EL165" s="226"/>
      <c r="EM165" s="226"/>
      <c r="EN165" s="226"/>
      <c r="EO165" s="226"/>
      <c r="EP165" s="226"/>
      <c r="EQ165" s="226"/>
      <c r="ER165" s="226"/>
      <c r="ES165" s="226"/>
      <c r="ET165" s="226"/>
      <c r="EU165" s="226"/>
      <c r="EV165" s="226"/>
      <c r="EW165" s="226"/>
      <c r="EX165" s="226"/>
      <c r="EY165" s="226"/>
      <c r="EZ165" s="226"/>
      <c r="FA165" s="226"/>
      <c r="FB165" s="226"/>
      <c r="FC165" s="226"/>
      <c r="FD165" s="226"/>
      <c r="FE165" s="226"/>
      <c r="FF165" s="226"/>
      <c r="FG165" s="226"/>
      <c r="FH165" s="226"/>
      <c r="FI165" s="226"/>
      <c r="FJ165" s="226"/>
      <c r="FK165" s="226"/>
      <c r="FL165" s="226"/>
      <c r="FM165" s="226"/>
      <c r="FN165" s="226"/>
      <c r="FO165" s="226"/>
      <c r="FP165" s="226"/>
      <c r="FQ165" s="226"/>
      <c r="FR165" s="226"/>
      <c r="FS165" s="226"/>
      <c r="FT165" s="226"/>
      <c r="FU165" s="226"/>
      <c r="FV165" s="226"/>
      <c r="FW165" s="226"/>
      <c r="FX165" s="226"/>
      <c r="FY165" s="226"/>
      <c r="FZ165" s="226"/>
      <c r="GA165" s="226"/>
      <c r="GB165" s="226"/>
      <c r="GC165" s="226"/>
      <c r="GD165" s="226"/>
      <c r="GE165" s="226"/>
      <c r="GF165" s="226"/>
      <c r="GG165" s="226"/>
    </row>
    <row r="166" spans="1:189" s="225" customFormat="1" ht="15.95" customHeight="1">
      <c r="A166" s="126" t="s">
        <v>149</v>
      </c>
      <c r="B166" s="128" t="s">
        <v>222</v>
      </c>
      <c r="C166" s="251" t="s">
        <v>27</v>
      </c>
      <c r="D166" s="82">
        <f>J166</f>
        <v>49.214000000000006</v>
      </c>
      <c r="E166" s="107" t="e">
        <f>#REF!</f>
        <v>#REF!</v>
      </c>
      <c r="F166" s="64" t="e">
        <f>+D166*E166</f>
        <v>#REF!</v>
      </c>
      <c r="H166" s="259">
        <f>2*F12/100</f>
        <v>44.74</v>
      </c>
      <c r="I166" s="265">
        <v>1.1000000000000001</v>
      </c>
      <c r="J166" s="259">
        <f>H166*I166</f>
        <v>49.214000000000006</v>
      </c>
      <c r="K166" s="226"/>
      <c r="L166" s="226"/>
      <c r="M166" s="226"/>
      <c r="N166" s="226"/>
      <c r="O166" s="226"/>
      <c r="P166" s="226"/>
      <c r="Q166" s="226"/>
      <c r="R166" s="226"/>
      <c r="S166" s="226"/>
      <c r="T166" s="226"/>
      <c r="U166" s="226"/>
      <c r="V166" s="226"/>
      <c r="W166" s="226"/>
      <c r="X166" s="226"/>
      <c r="Y166" s="226"/>
      <c r="Z166" s="226"/>
      <c r="AA166" s="226"/>
      <c r="AB166" s="226"/>
      <c r="AC166" s="226"/>
      <c r="AD166" s="226"/>
      <c r="AE166" s="226"/>
      <c r="AF166" s="226"/>
      <c r="AG166" s="226"/>
      <c r="AH166" s="226"/>
      <c r="AI166" s="226"/>
      <c r="AJ166" s="226"/>
      <c r="AK166" s="226"/>
      <c r="AL166" s="226"/>
      <c r="AM166" s="226"/>
      <c r="AN166" s="226"/>
      <c r="AO166" s="226"/>
      <c r="AP166" s="226"/>
      <c r="AQ166" s="226"/>
      <c r="AR166" s="226"/>
      <c r="AS166" s="226"/>
      <c r="AT166" s="226"/>
      <c r="AU166" s="226"/>
      <c r="AV166" s="226"/>
      <c r="AW166" s="226"/>
      <c r="AX166" s="226"/>
      <c r="AY166" s="226"/>
      <c r="AZ166" s="226"/>
      <c r="BA166" s="226"/>
      <c r="BB166" s="226"/>
      <c r="BC166" s="226"/>
      <c r="BD166" s="226"/>
      <c r="BE166" s="226"/>
      <c r="BF166" s="226"/>
      <c r="BG166" s="226"/>
      <c r="BH166" s="226"/>
      <c r="BI166" s="226"/>
      <c r="BJ166" s="226"/>
      <c r="BK166" s="226"/>
      <c r="BL166" s="226"/>
      <c r="BM166" s="226"/>
      <c r="BN166" s="226"/>
      <c r="BO166" s="226"/>
      <c r="BP166" s="226"/>
      <c r="BQ166" s="226"/>
      <c r="BR166" s="226"/>
      <c r="BS166" s="226"/>
      <c r="BT166" s="226"/>
      <c r="BU166" s="226"/>
      <c r="BV166" s="226"/>
      <c r="BW166" s="226"/>
      <c r="BX166" s="226"/>
      <c r="BY166" s="226"/>
      <c r="BZ166" s="226"/>
      <c r="CA166" s="226"/>
      <c r="CB166" s="226"/>
      <c r="CC166" s="226"/>
      <c r="CD166" s="226"/>
      <c r="CE166" s="226"/>
      <c r="CF166" s="226"/>
      <c r="CG166" s="226"/>
      <c r="CH166" s="226"/>
      <c r="CI166" s="226"/>
      <c r="CJ166" s="226"/>
      <c r="CK166" s="226"/>
      <c r="CL166" s="226"/>
      <c r="CM166" s="226"/>
      <c r="CN166" s="226"/>
      <c r="CO166" s="226"/>
      <c r="CP166" s="226"/>
      <c r="CQ166" s="226"/>
      <c r="CR166" s="226"/>
      <c r="CS166" s="226"/>
      <c r="CT166" s="226"/>
      <c r="CU166" s="226"/>
      <c r="CV166" s="226"/>
      <c r="CW166" s="226"/>
      <c r="CX166" s="226"/>
      <c r="CY166" s="226"/>
      <c r="CZ166" s="226"/>
      <c r="DA166" s="226"/>
      <c r="DB166" s="226"/>
      <c r="DC166" s="226"/>
      <c r="DD166" s="226"/>
      <c r="DE166" s="226"/>
      <c r="DF166" s="226"/>
      <c r="DG166" s="226"/>
      <c r="DH166" s="226"/>
      <c r="DI166" s="226"/>
      <c r="DJ166" s="226"/>
      <c r="DK166" s="226"/>
      <c r="DL166" s="226"/>
      <c r="DM166" s="226"/>
      <c r="DN166" s="226"/>
      <c r="DO166" s="226"/>
      <c r="DP166" s="226"/>
      <c r="DQ166" s="226"/>
      <c r="DR166" s="226"/>
      <c r="DS166" s="226"/>
      <c r="DT166" s="226"/>
      <c r="DU166" s="226"/>
      <c r="DV166" s="226"/>
      <c r="DW166" s="226"/>
      <c r="DX166" s="226"/>
      <c r="DY166" s="226"/>
      <c r="DZ166" s="226"/>
      <c r="EA166" s="226"/>
      <c r="EB166" s="226"/>
      <c r="EC166" s="226"/>
      <c r="ED166" s="226"/>
      <c r="EE166" s="226"/>
      <c r="EF166" s="226"/>
      <c r="EG166" s="226"/>
      <c r="EH166" s="226"/>
      <c r="EI166" s="226"/>
      <c r="EJ166" s="226"/>
      <c r="EK166" s="226"/>
      <c r="EL166" s="226"/>
      <c r="EM166" s="226"/>
      <c r="EN166" s="226"/>
      <c r="EO166" s="226"/>
      <c r="EP166" s="226"/>
      <c r="EQ166" s="226"/>
      <c r="ER166" s="226"/>
      <c r="ES166" s="226"/>
      <c r="ET166" s="226"/>
      <c r="EU166" s="226"/>
      <c r="EV166" s="226"/>
      <c r="EW166" s="226"/>
      <c r="EX166" s="226"/>
      <c r="EY166" s="226"/>
      <c r="EZ166" s="226"/>
      <c r="FA166" s="226"/>
      <c r="FB166" s="226"/>
      <c r="FC166" s="226"/>
      <c r="FD166" s="226"/>
      <c r="FE166" s="226"/>
      <c r="FF166" s="226"/>
      <c r="FG166" s="226"/>
      <c r="FH166" s="226"/>
      <c r="FI166" s="226"/>
      <c r="FJ166" s="226"/>
      <c r="FK166" s="226"/>
      <c r="FL166" s="226"/>
      <c r="FM166" s="226"/>
      <c r="FN166" s="226"/>
      <c r="FO166" s="226"/>
      <c r="FP166" s="226"/>
      <c r="FQ166" s="226"/>
      <c r="FR166" s="226"/>
      <c r="FS166" s="226"/>
      <c r="FT166" s="226"/>
      <c r="FU166" s="226"/>
      <c r="FV166" s="226"/>
      <c r="FW166" s="226"/>
      <c r="FX166" s="226"/>
      <c r="FY166" s="226"/>
      <c r="FZ166" s="226"/>
      <c r="GA166" s="226"/>
      <c r="GB166" s="226"/>
      <c r="GC166" s="226"/>
      <c r="GD166" s="226"/>
      <c r="GE166" s="226"/>
      <c r="GF166" s="226"/>
      <c r="GG166" s="226"/>
    </row>
    <row r="167" spans="1:189" s="225" customFormat="1" ht="16.5" customHeight="1">
      <c r="A167" s="141">
        <v>516</v>
      </c>
      <c r="B167" s="43" t="s">
        <v>151</v>
      </c>
      <c r="C167" s="248"/>
      <c r="D167" s="249"/>
      <c r="E167" s="109"/>
      <c r="F167" s="63"/>
      <c r="H167" s="259"/>
      <c r="I167" s="265"/>
      <c r="J167" s="259"/>
      <c r="K167" s="226"/>
      <c r="L167" s="226"/>
      <c r="M167" s="226"/>
      <c r="N167" s="226"/>
      <c r="O167" s="226"/>
      <c r="P167" s="226"/>
      <c r="Q167" s="226"/>
      <c r="R167" s="226"/>
      <c r="S167" s="226"/>
      <c r="T167" s="226"/>
      <c r="U167" s="226"/>
      <c r="V167" s="226"/>
      <c r="W167" s="226"/>
      <c r="X167" s="226"/>
      <c r="Y167" s="226"/>
      <c r="Z167" s="226"/>
      <c r="AA167" s="226"/>
      <c r="AB167" s="226"/>
      <c r="AC167" s="226"/>
      <c r="AD167" s="226"/>
      <c r="AE167" s="226"/>
      <c r="AF167" s="226"/>
      <c r="AG167" s="226"/>
      <c r="AH167" s="226"/>
      <c r="AI167" s="226"/>
      <c r="AJ167" s="226"/>
      <c r="AK167" s="226"/>
      <c r="AL167" s="226"/>
      <c r="AM167" s="226"/>
      <c r="AN167" s="226"/>
      <c r="AO167" s="226"/>
      <c r="AP167" s="226"/>
      <c r="AQ167" s="226"/>
      <c r="AR167" s="226"/>
      <c r="AS167" s="226"/>
      <c r="AT167" s="226"/>
      <c r="AU167" s="226"/>
      <c r="AV167" s="226"/>
      <c r="AW167" s="226"/>
      <c r="AX167" s="226"/>
      <c r="AY167" s="226"/>
      <c r="AZ167" s="226"/>
      <c r="BA167" s="226"/>
      <c r="BB167" s="226"/>
      <c r="BC167" s="226"/>
      <c r="BD167" s="226"/>
      <c r="BE167" s="226"/>
      <c r="BF167" s="226"/>
      <c r="BG167" s="226"/>
      <c r="BH167" s="226"/>
      <c r="BI167" s="226"/>
      <c r="BJ167" s="226"/>
      <c r="BK167" s="226"/>
      <c r="BL167" s="226"/>
      <c r="BM167" s="226"/>
      <c r="BN167" s="226"/>
      <c r="BO167" s="226"/>
      <c r="BP167" s="226"/>
      <c r="BQ167" s="226"/>
      <c r="BR167" s="226"/>
      <c r="BS167" s="226"/>
      <c r="BT167" s="226"/>
      <c r="BU167" s="226"/>
      <c r="BV167" s="226"/>
      <c r="BW167" s="226"/>
      <c r="BX167" s="226"/>
      <c r="BY167" s="226"/>
      <c r="BZ167" s="226"/>
      <c r="CA167" s="226"/>
      <c r="CB167" s="226"/>
      <c r="CC167" s="226"/>
      <c r="CD167" s="226"/>
      <c r="CE167" s="226"/>
      <c r="CF167" s="226"/>
      <c r="CG167" s="226"/>
      <c r="CH167" s="226"/>
      <c r="CI167" s="226"/>
      <c r="CJ167" s="226"/>
      <c r="CK167" s="226"/>
      <c r="CL167" s="226"/>
      <c r="CM167" s="226"/>
      <c r="CN167" s="226"/>
      <c r="CO167" s="226"/>
      <c r="CP167" s="226"/>
      <c r="CQ167" s="226"/>
      <c r="CR167" s="226"/>
      <c r="CS167" s="226"/>
      <c r="CT167" s="226"/>
      <c r="CU167" s="226"/>
      <c r="CV167" s="226"/>
      <c r="CW167" s="226"/>
      <c r="CX167" s="226"/>
      <c r="CY167" s="226"/>
      <c r="CZ167" s="226"/>
      <c r="DA167" s="226"/>
      <c r="DB167" s="226"/>
      <c r="DC167" s="226"/>
      <c r="DD167" s="226"/>
      <c r="DE167" s="226"/>
      <c r="DF167" s="226"/>
      <c r="DG167" s="226"/>
      <c r="DH167" s="226"/>
      <c r="DI167" s="226"/>
      <c r="DJ167" s="226"/>
      <c r="DK167" s="226"/>
      <c r="DL167" s="226"/>
      <c r="DM167" s="226"/>
      <c r="DN167" s="226"/>
      <c r="DO167" s="226"/>
      <c r="DP167" s="226"/>
      <c r="DQ167" s="226"/>
      <c r="DR167" s="226"/>
      <c r="DS167" s="226"/>
      <c r="DT167" s="226"/>
      <c r="DU167" s="226"/>
      <c r="DV167" s="226"/>
      <c r="DW167" s="226"/>
      <c r="DX167" s="226"/>
      <c r="DY167" s="226"/>
      <c r="DZ167" s="226"/>
      <c r="EA167" s="226"/>
      <c r="EB167" s="226"/>
      <c r="EC167" s="226"/>
      <c r="ED167" s="226"/>
      <c r="EE167" s="226"/>
      <c r="EF167" s="226"/>
      <c r="EG167" s="226"/>
      <c r="EH167" s="226"/>
      <c r="EI167" s="226"/>
      <c r="EJ167" s="226"/>
      <c r="EK167" s="226"/>
      <c r="EL167" s="226"/>
      <c r="EM167" s="226"/>
      <c r="EN167" s="226"/>
      <c r="EO167" s="226"/>
      <c r="EP167" s="226"/>
      <c r="EQ167" s="226"/>
      <c r="ER167" s="226"/>
      <c r="ES167" s="226"/>
      <c r="ET167" s="226"/>
      <c r="EU167" s="226"/>
      <c r="EV167" s="226"/>
      <c r="EW167" s="226"/>
      <c r="EX167" s="226"/>
      <c r="EY167" s="226"/>
      <c r="EZ167" s="226"/>
      <c r="FA167" s="226"/>
      <c r="FB167" s="226"/>
      <c r="FC167" s="226"/>
      <c r="FD167" s="226"/>
      <c r="FE167" s="226"/>
      <c r="FF167" s="226"/>
      <c r="FG167" s="226"/>
      <c r="FH167" s="226"/>
      <c r="FI167" s="226"/>
      <c r="FJ167" s="226"/>
      <c r="FK167" s="226"/>
      <c r="FL167" s="226"/>
      <c r="FM167" s="226"/>
      <c r="FN167" s="226"/>
      <c r="FO167" s="226"/>
      <c r="FP167" s="226"/>
      <c r="FQ167" s="226"/>
      <c r="FR167" s="226"/>
      <c r="FS167" s="226"/>
      <c r="FT167" s="226"/>
      <c r="FU167" s="226"/>
      <c r="FV167" s="226"/>
      <c r="FW167" s="226"/>
      <c r="FX167" s="226"/>
      <c r="FY167" s="226"/>
      <c r="FZ167" s="226"/>
      <c r="GA167" s="226"/>
      <c r="GB167" s="226"/>
      <c r="GC167" s="226"/>
      <c r="GD167" s="226"/>
      <c r="GE167" s="226"/>
      <c r="GF167" s="226"/>
      <c r="GG167" s="226"/>
    </row>
    <row r="168" spans="1:189" s="225" customFormat="1" ht="15.95" customHeight="1">
      <c r="A168" s="143"/>
      <c r="B168" s="196"/>
      <c r="C168" s="251" t="s">
        <v>1</v>
      </c>
      <c r="D168" s="82">
        <f>J168</f>
        <v>4627.3500000000004</v>
      </c>
      <c r="E168" s="107" t="e">
        <f>#REF!</f>
        <v>#REF!</v>
      </c>
      <c r="F168" s="64" t="e">
        <f>+D168*E168</f>
        <v>#REF!</v>
      </c>
      <c r="H168" s="259">
        <f>F3+F12+F11</f>
        <v>4407</v>
      </c>
      <c r="I168" s="265">
        <v>1.05</v>
      </c>
      <c r="J168" s="259">
        <f>H168*I168</f>
        <v>4627.3500000000004</v>
      </c>
      <c r="K168" s="226"/>
      <c r="L168" s="226"/>
      <c r="M168" s="226"/>
      <c r="N168" s="226"/>
      <c r="O168" s="226"/>
      <c r="P168" s="226"/>
      <c r="Q168" s="226"/>
      <c r="R168" s="226"/>
      <c r="S168" s="226"/>
      <c r="T168" s="226"/>
      <c r="U168" s="226"/>
      <c r="V168" s="226"/>
      <c r="W168" s="226"/>
      <c r="X168" s="226"/>
      <c r="Y168" s="226"/>
      <c r="Z168" s="226"/>
      <c r="AA168" s="226"/>
      <c r="AB168" s="226"/>
      <c r="AC168" s="226"/>
      <c r="AD168" s="226"/>
      <c r="AE168" s="226"/>
      <c r="AF168" s="226"/>
      <c r="AG168" s="226"/>
      <c r="AH168" s="226"/>
      <c r="AI168" s="226"/>
      <c r="AJ168" s="226"/>
      <c r="AK168" s="226"/>
      <c r="AL168" s="226"/>
      <c r="AM168" s="226"/>
      <c r="AN168" s="226"/>
      <c r="AO168" s="226"/>
      <c r="AP168" s="226"/>
      <c r="AQ168" s="226"/>
      <c r="AR168" s="226"/>
      <c r="AS168" s="226"/>
      <c r="AT168" s="226"/>
      <c r="AU168" s="226"/>
      <c r="AV168" s="226"/>
      <c r="AW168" s="226"/>
      <c r="AX168" s="226"/>
      <c r="AY168" s="226"/>
      <c r="AZ168" s="226"/>
      <c r="BA168" s="226"/>
      <c r="BB168" s="226"/>
      <c r="BC168" s="226"/>
      <c r="BD168" s="226"/>
      <c r="BE168" s="226"/>
      <c r="BF168" s="226"/>
      <c r="BG168" s="226"/>
      <c r="BH168" s="226"/>
      <c r="BI168" s="226"/>
      <c r="BJ168" s="226"/>
      <c r="BK168" s="226"/>
      <c r="BL168" s="226"/>
      <c r="BM168" s="226"/>
      <c r="BN168" s="226"/>
      <c r="BO168" s="226"/>
      <c r="BP168" s="226"/>
      <c r="BQ168" s="226"/>
      <c r="BR168" s="226"/>
      <c r="BS168" s="226"/>
      <c r="BT168" s="226"/>
      <c r="BU168" s="226"/>
      <c r="BV168" s="226"/>
      <c r="BW168" s="226"/>
      <c r="BX168" s="226"/>
      <c r="BY168" s="226"/>
      <c r="BZ168" s="226"/>
      <c r="CA168" s="226"/>
      <c r="CB168" s="226"/>
      <c r="CC168" s="226"/>
      <c r="CD168" s="226"/>
      <c r="CE168" s="226"/>
      <c r="CF168" s="226"/>
      <c r="CG168" s="226"/>
      <c r="CH168" s="226"/>
      <c r="CI168" s="226"/>
      <c r="CJ168" s="226"/>
      <c r="CK168" s="226"/>
      <c r="CL168" s="226"/>
      <c r="CM168" s="226"/>
      <c r="CN168" s="226"/>
      <c r="CO168" s="226"/>
      <c r="CP168" s="226"/>
      <c r="CQ168" s="226"/>
      <c r="CR168" s="226"/>
      <c r="CS168" s="226"/>
      <c r="CT168" s="226"/>
      <c r="CU168" s="226"/>
      <c r="CV168" s="226"/>
      <c r="CW168" s="226"/>
      <c r="CX168" s="226"/>
      <c r="CY168" s="226"/>
      <c r="CZ168" s="226"/>
      <c r="DA168" s="226"/>
      <c r="DB168" s="226"/>
      <c r="DC168" s="226"/>
      <c r="DD168" s="226"/>
      <c r="DE168" s="226"/>
      <c r="DF168" s="226"/>
      <c r="DG168" s="226"/>
      <c r="DH168" s="226"/>
      <c r="DI168" s="226"/>
      <c r="DJ168" s="226"/>
      <c r="DK168" s="226"/>
      <c r="DL168" s="226"/>
      <c r="DM168" s="226"/>
      <c r="DN168" s="226"/>
      <c r="DO168" s="226"/>
      <c r="DP168" s="226"/>
      <c r="DQ168" s="226"/>
      <c r="DR168" s="226"/>
      <c r="DS168" s="226"/>
      <c r="DT168" s="226"/>
      <c r="DU168" s="226"/>
      <c r="DV168" s="226"/>
      <c r="DW168" s="226"/>
      <c r="DX168" s="226"/>
      <c r="DY168" s="226"/>
      <c r="DZ168" s="226"/>
      <c r="EA168" s="226"/>
      <c r="EB168" s="226"/>
      <c r="EC168" s="226"/>
      <c r="ED168" s="226"/>
      <c r="EE168" s="226"/>
      <c r="EF168" s="226"/>
      <c r="EG168" s="226"/>
      <c r="EH168" s="226"/>
      <c r="EI168" s="226"/>
      <c r="EJ168" s="226"/>
      <c r="EK168" s="226"/>
      <c r="EL168" s="226"/>
      <c r="EM168" s="226"/>
      <c r="EN168" s="226"/>
      <c r="EO168" s="226"/>
      <c r="EP168" s="226"/>
      <c r="EQ168" s="226"/>
      <c r="ER168" s="226"/>
      <c r="ES168" s="226"/>
      <c r="ET168" s="226"/>
      <c r="EU168" s="226"/>
      <c r="EV168" s="226"/>
      <c r="EW168" s="226"/>
      <c r="EX168" s="226"/>
      <c r="EY168" s="226"/>
      <c r="EZ168" s="226"/>
      <c r="FA168" s="226"/>
      <c r="FB168" s="226"/>
      <c r="FC168" s="226"/>
      <c r="FD168" s="226"/>
      <c r="FE168" s="226"/>
      <c r="FF168" s="226"/>
      <c r="FG168" s="226"/>
      <c r="FH168" s="226"/>
      <c r="FI168" s="226"/>
      <c r="FJ168" s="226"/>
      <c r="FK168" s="226"/>
      <c r="FL168" s="226"/>
      <c r="FM168" s="226"/>
      <c r="FN168" s="226"/>
      <c r="FO168" s="226"/>
      <c r="FP168" s="226"/>
      <c r="FQ168" s="226"/>
      <c r="FR168" s="226"/>
      <c r="FS168" s="226"/>
      <c r="FT168" s="226"/>
      <c r="FU168" s="226"/>
      <c r="FV168" s="226"/>
      <c r="FW168" s="226"/>
      <c r="FX168" s="226"/>
      <c r="FY168" s="226"/>
      <c r="FZ168" s="226"/>
      <c r="GA168" s="226"/>
      <c r="GB168" s="226"/>
      <c r="GC168" s="226"/>
      <c r="GD168" s="226"/>
      <c r="GE168" s="226"/>
      <c r="GF168" s="226"/>
      <c r="GG168" s="226"/>
    </row>
    <row r="169" spans="1:189" s="225" customFormat="1" ht="15.95" customHeight="1">
      <c r="A169" s="139">
        <v>517</v>
      </c>
      <c r="B169" s="197" t="s">
        <v>152</v>
      </c>
      <c r="C169" s="252"/>
      <c r="D169" s="78"/>
      <c r="E169" s="108"/>
      <c r="F169" s="65"/>
      <c r="H169" s="259"/>
      <c r="I169" s="265"/>
      <c r="J169" s="259"/>
      <c r="K169" s="226"/>
      <c r="L169" s="226"/>
      <c r="M169" s="226"/>
      <c r="N169" s="226"/>
      <c r="O169" s="226"/>
      <c r="P169" s="226"/>
      <c r="Q169" s="226"/>
      <c r="R169" s="226"/>
      <c r="S169" s="226"/>
      <c r="T169" s="226"/>
      <c r="U169" s="226"/>
      <c r="V169" s="226"/>
      <c r="W169" s="226"/>
      <c r="X169" s="226"/>
      <c r="Y169" s="226"/>
      <c r="Z169" s="226"/>
      <c r="AA169" s="226"/>
      <c r="AB169" s="226"/>
      <c r="AC169" s="226"/>
      <c r="AD169" s="226"/>
      <c r="AE169" s="226"/>
      <c r="AF169" s="226"/>
      <c r="AG169" s="226"/>
      <c r="AH169" s="226"/>
      <c r="AI169" s="226"/>
      <c r="AJ169" s="226"/>
      <c r="AK169" s="226"/>
      <c r="AL169" s="226"/>
      <c r="AM169" s="226"/>
      <c r="AN169" s="226"/>
      <c r="AO169" s="226"/>
      <c r="AP169" s="226"/>
      <c r="AQ169" s="226"/>
      <c r="AR169" s="226"/>
      <c r="AS169" s="226"/>
      <c r="AT169" s="226"/>
      <c r="AU169" s="226"/>
      <c r="AV169" s="226"/>
      <c r="AW169" s="226"/>
      <c r="AX169" s="226"/>
      <c r="AY169" s="226"/>
      <c r="AZ169" s="226"/>
      <c r="BA169" s="226"/>
      <c r="BB169" s="226"/>
      <c r="BC169" s="226"/>
      <c r="BD169" s="226"/>
      <c r="BE169" s="226"/>
      <c r="BF169" s="226"/>
      <c r="BG169" s="226"/>
      <c r="BH169" s="226"/>
      <c r="BI169" s="226"/>
      <c r="BJ169" s="226"/>
      <c r="BK169" s="226"/>
      <c r="BL169" s="226"/>
      <c r="BM169" s="226"/>
      <c r="BN169" s="226"/>
      <c r="BO169" s="226"/>
      <c r="BP169" s="226"/>
      <c r="BQ169" s="226"/>
      <c r="BR169" s="226"/>
      <c r="BS169" s="226"/>
      <c r="BT169" s="226"/>
      <c r="BU169" s="226"/>
      <c r="BV169" s="226"/>
      <c r="BW169" s="226"/>
      <c r="BX169" s="226"/>
      <c r="BY169" s="226"/>
      <c r="BZ169" s="226"/>
      <c r="CA169" s="226"/>
      <c r="CB169" s="226"/>
      <c r="CC169" s="226"/>
      <c r="CD169" s="226"/>
      <c r="CE169" s="226"/>
      <c r="CF169" s="226"/>
      <c r="CG169" s="226"/>
      <c r="CH169" s="226"/>
      <c r="CI169" s="226"/>
      <c r="CJ169" s="226"/>
      <c r="CK169" s="226"/>
      <c r="CL169" s="226"/>
      <c r="CM169" s="226"/>
      <c r="CN169" s="226"/>
      <c r="CO169" s="226"/>
      <c r="CP169" s="226"/>
      <c r="CQ169" s="226"/>
      <c r="CR169" s="226"/>
      <c r="CS169" s="226"/>
      <c r="CT169" s="226"/>
      <c r="CU169" s="226"/>
      <c r="CV169" s="226"/>
      <c r="CW169" s="226"/>
      <c r="CX169" s="226"/>
      <c r="CY169" s="226"/>
      <c r="CZ169" s="226"/>
      <c r="DA169" s="226"/>
      <c r="DB169" s="226"/>
      <c r="DC169" s="226"/>
      <c r="DD169" s="226"/>
      <c r="DE169" s="226"/>
      <c r="DF169" s="226"/>
      <c r="DG169" s="226"/>
      <c r="DH169" s="226"/>
      <c r="DI169" s="226"/>
      <c r="DJ169" s="226"/>
      <c r="DK169" s="226"/>
      <c r="DL169" s="226"/>
      <c r="DM169" s="226"/>
      <c r="DN169" s="226"/>
      <c r="DO169" s="226"/>
      <c r="DP169" s="226"/>
      <c r="DQ169" s="226"/>
      <c r="DR169" s="226"/>
      <c r="DS169" s="226"/>
      <c r="DT169" s="226"/>
      <c r="DU169" s="226"/>
      <c r="DV169" s="226"/>
      <c r="DW169" s="226"/>
      <c r="DX169" s="226"/>
      <c r="DY169" s="226"/>
      <c r="DZ169" s="226"/>
      <c r="EA169" s="226"/>
      <c r="EB169" s="226"/>
      <c r="EC169" s="226"/>
      <c r="ED169" s="226"/>
      <c r="EE169" s="226"/>
      <c r="EF169" s="226"/>
      <c r="EG169" s="226"/>
      <c r="EH169" s="226"/>
      <c r="EI169" s="226"/>
      <c r="EJ169" s="226"/>
      <c r="EK169" s="226"/>
      <c r="EL169" s="226"/>
      <c r="EM169" s="226"/>
      <c r="EN169" s="226"/>
      <c r="EO169" s="226"/>
      <c r="EP169" s="226"/>
      <c r="EQ169" s="226"/>
      <c r="ER169" s="226"/>
      <c r="ES169" s="226"/>
      <c r="ET169" s="226"/>
      <c r="EU169" s="226"/>
      <c r="EV169" s="226"/>
      <c r="EW169" s="226"/>
      <c r="EX169" s="226"/>
      <c r="EY169" s="226"/>
      <c r="EZ169" s="226"/>
      <c r="FA169" s="226"/>
      <c r="FB169" s="226"/>
      <c r="FC169" s="226"/>
      <c r="FD169" s="226"/>
      <c r="FE169" s="226"/>
      <c r="FF169" s="226"/>
      <c r="FG169" s="226"/>
      <c r="FH169" s="226"/>
      <c r="FI169" s="226"/>
      <c r="FJ169" s="226"/>
      <c r="FK169" s="226"/>
      <c r="FL169" s="226"/>
      <c r="FM169" s="226"/>
      <c r="FN169" s="226"/>
      <c r="FO169" s="226"/>
      <c r="FP169" s="226"/>
      <c r="FQ169" s="226"/>
      <c r="FR169" s="226"/>
      <c r="FS169" s="226"/>
      <c r="FT169" s="226"/>
      <c r="FU169" s="226"/>
      <c r="FV169" s="226"/>
      <c r="FW169" s="226"/>
      <c r="FX169" s="226"/>
      <c r="FY169" s="226"/>
      <c r="FZ169" s="226"/>
      <c r="GA169" s="226"/>
      <c r="GB169" s="226"/>
      <c r="GC169" s="226"/>
      <c r="GD169" s="226"/>
      <c r="GE169" s="226"/>
      <c r="GF169" s="226"/>
      <c r="GG169" s="226"/>
    </row>
    <row r="170" spans="1:189" s="225" customFormat="1" ht="15.95" customHeight="1">
      <c r="A170" s="143" t="s">
        <v>178</v>
      </c>
      <c r="B170" s="196" t="s">
        <v>265</v>
      </c>
      <c r="C170" s="251" t="s">
        <v>1</v>
      </c>
      <c r="D170" s="82">
        <f>J170</f>
        <v>0</v>
      </c>
      <c r="E170" s="107" t="e">
        <f>#REF!</f>
        <v>#REF!</v>
      </c>
      <c r="F170" s="64" t="e">
        <f>+D170*E170</f>
        <v>#REF!</v>
      </c>
      <c r="H170" s="259">
        <v>0</v>
      </c>
      <c r="I170" s="265">
        <v>1.05</v>
      </c>
      <c r="J170" s="259">
        <f>H170*I170</f>
        <v>0</v>
      </c>
      <c r="K170" s="226"/>
      <c r="L170" s="226"/>
      <c r="M170" s="226"/>
      <c r="N170" s="226"/>
      <c r="O170" s="226"/>
      <c r="P170" s="226"/>
      <c r="Q170" s="226"/>
      <c r="R170" s="226"/>
      <c r="S170" s="226"/>
      <c r="T170" s="226"/>
      <c r="U170" s="226"/>
      <c r="V170" s="226"/>
      <c r="W170" s="226"/>
      <c r="X170" s="226"/>
      <c r="Y170" s="226"/>
      <c r="Z170" s="226"/>
      <c r="AA170" s="226"/>
      <c r="AB170" s="226"/>
      <c r="AC170" s="226"/>
      <c r="AD170" s="226"/>
      <c r="AE170" s="226"/>
      <c r="AF170" s="226"/>
      <c r="AG170" s="226"/>
      <c r="AH170" s="226"/>
      <c r="AI170" s="226"/>
      <c r="AJ170" s="226"/>
      <c r="AK170" s="226"/>
      <c r="AL170" s="226"/>
      <c r="AM170" s="226"/>
      <c r="AN170" s="226"/>
      <c r="AO170" s="226"/>
      <c r="AP170" s="226"/>
      <c r="AQ170" s="226"/>
      <c r="AR170" s="226"/>
      <c r="AS170" s="226"/>
      <c r="AT170" s="226"/>
      <c r="AU170" s="226"/>
      <c r="AV170" s="226"/>
      <c r="AW170" s="226"/>
      <c r="AX170" s="226"/>
      <c r="AY170" s="226"/>
      <c r="AZ170" s="226"/>
      <c r="BA170" s="226"/>
      <c r="BB170" s="226"/>
      <c r="BC170" s="226"/>
      <c r="BD170" s="226"/>
      <c r="BE170" s="226"/>
      <c r="BF170" s="226"/>
      <c r="BG170" s="226"/>
      <c r="BH170" s="226"/>
      <c r="BI170" s="226"/>
      <c r="BJ170" s="226"/>
      <c r="BK170" s="226"/>
      <c r="BL170" s="226"/>
      <c r="BM170" s="226"/>
      <c r="BN170" s="226"/>
      <c r="BO170" s="226"/>
      <c r="BP170" s="226"/>
      <c r="BQ170" s="226"/>
      <c r="BR170" s="226"/>
      <c r="BS170" s="226"/>
      <c r="BT170" s="226"/>
      <c r="BU170" s="226"/>
      <c r="BV170" s="226"/>
      <c r="BW170" s="226"/>
      <c r="BX170" s="226"/>
      <c r="BY170" s="226"/>
      <c r="BZ170" s="226"/>
      <c r="CA170" s="226"/>
      <c r="CB170" s="226"/>
      <c r="CC170" s="226"/>
      <c r="CD170" s="226"/>
      <c r="CE170" s="226"/>
      <c r="CF170" s="226"/>
      <c r="CG170" s="226"/>
      <c r="CH170" s="226"/>
      <c r="CI170" s="226"/>
      <c r="CJ170" s="226"/>
      <c r="CK170" s="226"/>
      <c r="CL170" s="226"/>
      <c r="CM170" s="226"/>
      <c r="CN170" s="226"/>
      <c r="CO170" s="226"/>
      <c r="CP170" s="226"/>
      <c r="CQ170" s="226"/>
      <c r="CR170" s="226"/>
      <c r="CS170" s="226"/>
      <c r="CT170" s="226"/>
      <c r="CU170" s="226"/>
      <c r="CV170" s="226"/>
      <c r="CW170" s="226"/>
      <c r="CX170" s="226"/>
      <c r="CY170" s="226"/>
      <c r="CZ170" s="226"/>
      <c r="DA170" s="226"/>
      <c r="DB170" s="226"/>
      <c r="DC170" s="226"/>
      <c r="DD170" s="226"/>
      <c r="DE170" s="226"/>
      <c r="DF170" s="226"/>
      <c r="DG170" s="226"/>
      <c r="DH170" s="226"/>
      <c r="DI170" s="226"/>
      <c r="DJ170" s="226"/>
      <c r="DK170" s="226"/>
      <c r="DL170" s="226"/>
      <c r="DM170" s="226"/>
      <c r="DN170" s="226"/>
      <c r="DO170" s="226"/>
      <c r="DP170" s="226"/>
      <c r="DQ170" s="226"/>
      <c r="DR170" s="226"/>
      <c r="DS170" s="226"/>
      <c r="DT170" s="226"/>
      <c r="DU170" s="226"/>
      <c r="DV170" s="226"/>
      <c r="DW170" s="226"/>
      <c r="DX170" s="226"/>
      <c r="DY170" s="226"/>
      <c r="DZ170" s="226"/>
      <c r="EA170" s="226"/>
      <c r="EB170" s="226"/>
      <c r="EC170" s="226"/>
      <c r="ED170" s="226"/>
      <c r="EE170" s="226"/>
      <c r="EF170" s="226"/>
      <c r="EG170" s="226"/>
      <c r="EH170" s="226"/>
      <c r="EI170" s="226"/>
      <c r="EJ170" s="226"/>
      <c r="EK170" s="226"/>
      <c r="EL170" s="226"/>
      <c r="EM170" s="226"/>
      <c r="EN170" s="226"/>
      <c r="EO170" s="226"/>
      <c r="EP170" s="226"/>
      <c r="EQ170" s="226"/>
      <c r="ER170" s="226"/>
      <c r="ES170" s="226"/>
      <c r="ET170" s="226"/>
      <c r="EU170" s="226"/>
      <c r="EV170" s="226"/>
      <c r="EW170" s="226"/>
      <c r="EX170" s="226"/>
      <c r="EY170" s="226"/>
      <c r="EZ170" s="226"/>
      <c r="FA170" s="226"/>
      <c r="FB170" s="226"/>
      <c r="FC170" s="226"/>
      <c r="FD170" s="226"/>
      <c r="FE170" s="226"/>
      <c r="FF170" s="226"/>
      <c r="FG170" s="226"/>
      <c r="FH170" s="226"/>
      <c r="FI170" s="226"/>
      <c r="FJ170" s="226"/>
      <c r="FK170" s="226"/>
      <c r="FL170" s="226"/>
      <c r="FM170" s="226"/>
      <c r="FN170" s="226"/>
      <c r="FO170" s="226"/>
      <c r="FP170" s="226"/>
      <c r="FQ170" s="226"/>
      <c r="FR170" s="226"/>
      <c r="FS170" s="226"/>
      <c r="FT170" s="226"/>
      <c r="FU170" s="226"/>
      <c r="FV170" s="226"/>
      <c r="FW170" s="226"/>
      <c r="FX170" s="226"/>
      <c r="FY170" s="226"/>
      <c r="FZ170" s="226"/>
      <c r="GA170" s="226"/>
      <c r="GB170" s="226"/>
      <c r="GC170" s="226"/>
      <c r="GD170" s="226"/>
      <c r="GE170" s="226"/>
      <c r="GF170" s="226"/>
      <c r="GG170" s="226"/>
    </row>
    <row r="171" spans="1:189" s="225" customFormat="1" ht="15.95" customHeight="1">
      <c r="A171" s="139">
        <v>518</v>
      </c>
      <c r="B171" s="43" t="s">
        <v>180</v>
      </c>
      <c r="C171" s="252"/>
      <c r="D171" s="78"/>
      <c r="E171" s="108"/>
      <c r="F171" s="65"/>
      <c r="H171" s="259"/>
      <c r="I171" s="265"/>
      <c r="J171" s="259"/>
      <c r="K171" s="226"/>
      <c r="L171" s="226"/>
      <c r="M171" s="226"/>
      <c r="N171" s="226"/>
      <c r="O171" s="226"/>
      <c r="P171" s="226"/>
      <c r="Q171" s="226"/>
      <c r="R171" s="226"/>
      <c r="S171" s="226"/>
      <c r="T171" s="226"/>
      <c r="U171" s="226"/>
      <c r="V171" s="226"/>
      <c r="W171" s="226"/>
      <c r="X171" s="226"/>
      <c r="Y171" s="226"/>
      <c r="Z171" s="226"/>
      <c r="AA171" s="226"/>
      <c r="AB171" s="226"/>
      <c r="AC171" s="226"/>
      <c r="AD171" s="226"/>
      <c r="AE171" s="226"/>
      <c r="AF171" s="226"/>
      <c r="AG171" s="226"/>
      <c r="AH171" s="226"/>
      <c r="AI171" s="226"/>
      <c r="AJ171" s="226"/>
      <c r="AK171" s="226"/>
      <c r="AL171" s="226"/>
      <c r="AM171" s="226"/>
      <c r="AN171" s="226"/>
      <c r="AO171" s="226"/>
      <c r="AP171" s="226"/>
      <c r="AQ171" s="226"/>
      <c r="AR171" s="226"/>
      <c r="AS171" s="226"/>
      <c r="AT171" s="226"/>
      <c r="AU171" s="226"/>
      <c r="AV171" s="226"/>
      <c r="AW171" s="226"/>
      <c r="AX171" s="226"/>
      <c r="AY171" s="226"/>
      <c r="AZ171" s="226"/>
      <c r="BA171" s="226"/>
      <c r="BB171" s="226"/>
      <c r="BC171" s="226"/>
      <c r="BD171" s="226"/>
      <c r="BE171" s="226"/>
      <c r="BF171" s="226"/>
      <c r="BG171" s="226"/>
      <c r="BH171" s="226"/>
      <c r="BI171" s="226"/>
      <c r="BJ171" s="226"/>
      <c r="BK171" s="226"/>
      <c r="BL171" s="226"/>
      <c r="BM171" s="226"/>
      <c r="BN171" s="226"/>
      <c r="BO171" s="226"/>
      <c r="BP171" s="226"/>
      <c r="BQ171" s="226"/>
      <c r="BR171" s="226"/>
      <c r="BS171" s="226"/>
      <c r="BT171" s="226"/>
      <c r="BU171" s="226"/>
      <c r="BV171" s="226"/>
      <c r="BW171" s="226"/>
      <c r="BX171" s="226"/>
      <c r="BY171" s="226"/>
      <c r="BZ171" s="226"/>
      <c r="CA171" s="226"/>
      <c r="CB171" s="226"/>
      <c r="CC171" s="226"/>
      <c r="CD171" s="226"/>
      <c r="CE171" s="226"/>
      <c r="CF171" s="226"/>
      <c r="CG171" s="226"/>
      <c r="CH171" s="226"/>
      <c r="CI171" s="226"/>
      <c r="CJ171" s="226"/>
      <c r="CK171" s="226"/>
      <c r="CL171" s="226"/>
      <c r="CM171" s="226"/>
      <c r="CN171" s="226"/>
      <c r="CO171" s="226"/>
      <c r="CP171" s="226"/>
      <c r="CQ171" s="226"/>
      <c r="CR171" s="226"/>
      <c r="CS171" s="226"/>
      <c r="CT171" s="226"/>
      <c r="CU171" s="226"/>
      <c r="CV171" s="226"/>
      <c r="CW171" s="226"/>
      <c r="CX171" s="226"/>
      <c r="CY171" s="226"/>
      <c r="CZ171" s="226"/>
      <c r="DA171" s="226"/>
      <c r="DB171" s="226"/>
      <c r="DC171" s="226"/>
      <c r="DD171" s="226"/>
      <c r="DE171" s="226"/>
      <c r="DF171" s="226"/>
      <c r="DG171" s="226"/>
      <c r="DH171" s="226"/>
      <c r="DI171" s="226"/>
      <c r="DJ171" s="226"/>
      <c r="DK171" s="226"/>
      <c r="DL171" s="226"/>
      <c r="DM171" s="226"/>
      <c r="DN171" s="226"/>
      <c r="DO171" s="226"/>
      <c r="DP171" s="226"/>
      <c r="DQ171" s="226"/>
      <c r="DR171" s="226"/>
      <c r="DS171" s="226"/>
      <c r="DT171" s="226"/>
      <c r="DU171" s="226"/>
      <c r="DV171" s="226"/>
      <c r="DW171" s="226"/>
      <c r="DX171" s="226"/>
      <c r="DY171" s="226"/>
      <c r="DZ171" s="226"/>
      <c r="EA171" s="226"/>
      <c r="EB171" s="226"/>
      <c r="EC171" s="226"/>
      <c r="ED171" s="226"/>
      <c r="EE171" s="226"/>
      <c r="EF171" s="226"/>
      <c r="EG171" s="226"/>
      <c r="EH171" s="226"/>
      <c r="EI171" s="226"/>
      <c r="EJ171" s="226"/>
      <c r="EK171" s="226"/>
      <c r="EL171" s="226"/>
      <c r="EM171" s="226"/>
      <c r="EN171" s="226"/>
      <c r="EO171" s="226"/>
      <c r="EP171" s="226"/>
      <c r="EQ171" s="226"/>
      <c r="ER171" s="226"/>
      <c r="ES171" s="226"/>
      <c r="ET171" s="226"/>
      <c r="EU171" s="226"/>
      <c r="EV171" s="226"/>
      <c r="EW171" s="226"/>
      <c r="EX171" s="226"/>
      <c r="EY171" s="226"/>
      <c r="EZ171" s="226"/>
      <c r="FA171" s="226"/>
      <c r="FB171" s="226"/>
      <c r="FC171" s="226"/>
      <c r="FD171" s="226"/>
      <c r="FE171" s="226"/>
      <c r="FF171" s="226"/>
      <c r="FG171" s="226"/>
      <c r="FH171" s="226"/>
      <c r="FI171" s="226"/>
      <c r="FJ171" s="226"/>
      <c r="FK171" s="226"/>
      <c r="FL171" s="226"/>
      <c r="FM171" s="226"/>
      <c r="FN171" s="226"/>
      <c r="FO171" s="226"/>
      <c r="FP171" s="226"/>
      <c r="FQ171" s="226"/>
      <c r="FR171" s="226"/>
      <c r="FS171" s="226"/>
      <c r="FT171" s="226"/>
      <c r="FU171" s="226"/>
      <c r="FV171" s="226"/>
      <c r="FW171" s="226"/>
      <c r="FX171" s="226"/>
      <c r="FY171" s="226"/>
      <c r="FZ171" s="226"/>
      <c r="GA171" s="226"/>
      <c r="GB171" s="226"/>
      <c r="GC171" s="226"/>
      <c r="GD171" s="226"/>
      <c r="GE171" s="226"/>
      <c r="GF171" s="226"/>
      <c r="GG171" s="226"/>
    </row>
    <row r="172" spans="1:189" s="225" customFormat="1" ht="15.95" customHeight="1">
      <c r="A172" s="139" t="s">
        <v>179</v>
      </c>
      <c r="B172" s="230" t="s">
        <v>181</v>
      </c>
      <c r="C172" s="252" t="s">
        <v>1</v>
      </c>
      <c r="D172" s="138">
        <v>0</v>
      </c>
      <c r="E172" s="108" t="e">
        <f>#REF!</f>
        <v>#REF!</v>
      </c>
      <c r="F172" s="65" t="e">
        <f>+D172*E172</f>
        <v>#REF!</v>
      </c>
      <c r="H172" s="259">
        <f>7*20</f>
        <v>140</v>
      </c>
      <c r="I172" s="265">
        <v>1.05</v>
      </c>
      <c r="J172" s="259">
        <f>H172*I172</f>
        <v>147</v>
      </c>
      <c r="K172" s="226"/>
      <c r="L172" s="226"/>
      <c r="M172" s="226"/>
      <c r="N172" s="226"/>
      <c r="O172" s="226"/>
      <c r="P172" s="226"/>
      <c r="Q172" s="226"/>
      <c r="R172" s="226"/>
      <c r="S172" s="226"/>
      <c r="T172" s="226"/>
      <c r="U172" s="226"/>
      <c r="V172" s="226"/>
      <c r="W172" s="226"/>
      <c r="X172" s="226"/>
      <c r="Y172" s="226"/>
      <c r="Z172" s="226"/>
      <c r="AA172" s="226"/>
      <c r="AB172" s="226"/>
      <c r="AC172" s="226"/>
      <c r="AD172" s="226"/>
      <c r="AE172" s="226"/>
      <c r="AF172" s="226"/>
      <c r="AG172" s="226"/>
      <c r="AH172" s="226"/>
      <c r="AI172" s="226"/>
      <c r="AJ172" s="226"/>
      <c r="AK172" s="226"/>
      <c r="AL172" s="226"/>
      <c r="AM172" s="226"/>
      <c r="AN172" s="226"/>
      <c r="AO172" s="226"/>
      <c r="AP172" s="226"/>
      <c r="AQ172" s="226"/>
      <c r="AR172" s="226"/>
      <c r="AS172" s="226"/>
      <c r="AT172" s="226"/>
      <c r="AU172" s="226"/>
      <c r="AV172" s="226"/>
      <c r="AW172" s="226"/>
      <c r="AX172" s="226"/>
      <c r="AY172" s="226"/>
      <c r="AZ172" s="226"/>
      <c r="BA172" s="226"/>
      <c r="BB172" s="226"/>
      <c r="BC172" s="226"/>
      <c r="BD172" s="226"/>
      <c r="BE172" s="226"/>
      <c r="BF172" s="226"/>
      <c r="BG172" s="226"/>
      <c r="BH172" s="226"/>
      <c r="BI172" s="226"/>
      <c r="BJ172" s="226"/>
      <c r="BK172" s="226"/>
      <c r="BL172" s="226"/>
      <c r="BM172" s="226"/>
      <c r="BN172" s="226"/>
      <c r="BO172" s="226"/>
      <c r="BP172" s="226"/>
      <c r="BQ172" s="226"/>
      <c r="BR172" s="226"/>
      <c r="BS172" s="226"/>
      <c r="BT172" s="226"/>
      <c r="BU172" s="226"/>
      <c r="BV172" s="226"/>
      <c r="BW172" s="226"/>
      <c r="BX172" s="226"/>
      <c r="BY172" s="226"/>
      <c r="BZ172" s="226"/>
      <c r="CA172" s="226"/>
      <c r="CB172" s="226"/>
      <c r="CC172" s="226"/>
      <c r="CD172" s="226"/>
      <c r="CE172" s="226"/>
      <c r="CF172" s="226"/>
      <c r="CG172" s="226"/>
      <c r="CH172" s="226"/>
      <c r="CI172" s="226"/>
      <c r="CJ172" s="226"/>
      <c r="CK172" s="226"/>
      <c r="CL172" s="226"/>
      <c r="CM172" s="226"/>
      <c r="CN172" s="226"/>
      <c r="CO172" s="226"/>
      <c r="CP172" s="226"/>
      <c r="CQ172" s="226"/>
      <c r="CR172" s="226"/>
      <c r="CS172" s="226"/>
      <c r="CT172" s="226"/>
      <c r="CU172" s="226"/>
      <c r="CV172" s="226"/>
      <c r="CW172" s="226"/>
      <c r="CX172" s="226"/>
      <c r="CY172" s="226"/>
      <c r="CZ172" s="226"/>
      <c r="DA172" s="226"/>
      <c r="DB172" s="226"/>
      <c r="DC172" s="226"/>
      <c r="DD172" s="226"/>
      <c r="DE172" s="226"/>
      <c r="DF172" s="226"/>
      <c r="DG172" s="226"/>
      <c r="DH172" s="226"/>
      <c r="DI172" s="226"/>
      <c r="DJ172" s="226"/>
      <c r="DK172" s="226"/>
      <c r="DL172" s="226"/>
      <c r="DM172" s="226"/>
      <c r="DN172" s="226"/>
      <c r="DO172" s="226"/>
      <c r="DP172" s="226"/>
      <c r="DQ172" s="226"/>
      <c r="DR172" s="226"/>
      <c r="DS172" s="226"/>
      <c r="DT172" s="226"/>
      <c r="DU172" s="226"/>
      <c r="DV172" s="226"/>
      <c r="DW172" s="226"/>
      <c r="DX172" s="226"/>
      <c r="DY172" s="226"/>
      <c r="DZ172" s="226"/>
      <c r="EA172" s="226"/>
      <c r="EB172" s="226"/>
      <c r="EC172" s="226"/>
      <c r="ED172" s="226"/>
      <c r="EE172" s="226"/>
      <c r="EF172" s="226"/>
      <c r="EG172" s="226"/>
      <c r="EH172" s="226"/>
      <c r="EI172" s="226"/>
      <c r="EJ172" s="226"/>
      <c r="EK172" s="226"/>
      <c r="EL172" s="226"/>
      <c r="EM172" s="226"/>
      <c r="EN172" s="226"/>
      <c r="EO172" s="226"/>
      <c r="EP172" s="226"/>
      <c r="EQ172" s="226"/>
      <c r="ER172" s="226"/>
      <c r="ES172" s="226"/>
      <c r="ET172" s="226"/>
      <c r="EU172" s="226"/>
      <c r="EV172" s="226"/>
      <c r="EW172" s="226"/>
      <c r="EX172" s="226"/>
      <c r="EY172" s="226"/>
      <c r="EZ172" s="226"/>
      <c r="FA172" s="226"/>
      <c r="FB172" s="226"/>
      <c r="FC172" s="226"/>
      <c r="FD172" s="226"/>
      <c r="FE172" s="226"/>
      <c r="FF172" s="226"/>
      <c r="FG172" s="226"/>
      <c r="FH172" s="226"/>
      <c r="FI172" s="226"/>
      <c r="FJ172" s="226"/>
      <c r="FK172" s="226"/>
      <c r="FL172" s="226"/>
      <c r="FM172" s="226"/>
      <c r="FN172" s="226"/>
      <c r="FO172" s="226"/>
      <c r="FP172" s="226"/>
      <c r="FQ172" s="226"/>
      <c r="FR172" s="226"/>
      <c r="FS172" s="226"/>
      <c r="FT172" s="226"/>
      <c r="FU172" s="226"/>
      <c r="FV172" s="226"/>
      <c r="FW172" s="226"/>
      <c r="FX172" s="226"/>
      <c r="FY172" s="226"/>
      <c r="FZ172" s="226"/>
      <c r="GA172" s="226"/>
      <c r="GB172" s="226"/>
      <c r="GC172" s="226"/>
      <c r="GD172" s="226"/>
      <c r="GE172" s="226"/>
      <c r="GF172" s="226"/>
      <c r="GG172" s="226"/>
    </row>
    <row r="173" spans="1:189" s="225" customFormat="1" ht="15.95" customHeight="1">
      <c r="A173" s="36" t="s">
        <v>183</v>
      </c>
      <c r="B173" s="196" t="s">
        <v>182</v>
      </c>
      <c r="C173" s="254" t="s">
        <v>1</v>
      </c>
      <c r="D173" s="82">
        <v>0</v>
      </c>
      <c r="E173" s="107" t="e">
        <f>#REF!</f>
        <v>#REF!</v>
      </c>
      <c r="F173" s="64" t="e">
        <f>+D173*E173</f>
        <v>#REF!</v>
      </c>
      <c r="H173" s="259">
        <f>F8</f>
        <v>4554</v>
      </c>
      <c r="I173" s="265">
        <v>1.05</v>
      </c>
      <c r="J173" s="259">
        <f>H173*I173</f>
        <v>4781.7</v>
      </c>
      <c r="K173" s="226"/>
      <c r="L173" s="226">
        <f>17500*657</f>
        <v>11497500</v>
      </c>
      <c r="M173" s="226"/>
      <c r="N173" s="226"/>
      <c r="O173" s="226"/>
      <c r="P173" s="226"/>
      <c r="Q173" s="226"/>
      <c r="R173" s="226"/>
      <c r="S173" s="226"/>
      <c r="T173" s="226"/>
      <c r="U173" s="226"/>
      <c r="V173" s="226"/>
      <c r="W173" s="226"/>
      <c r="X173" s="226"/>
      <c r="Y173" s="226"/>
      <c r="Z173" s="226"/>
      <c r="AA173" s="226"/>
      <c r="AB173" s="226"/>
      <c r="AC173" s="226"/>
      <c r="AD173" s="226"/>
      <c r="AE173" s="226"/>
      <c r="AF173" s="226"/>
      <c r="AG173" s="226"/>
      <c r="AH173" s="226"/>
      <c r="AI173" s="226"/>
      <c r="AJ173" s="226"/>
      <c r="AK173" s="226"/>
      <c r="AL173" s="226"/>
      <c r="AM173" s="226"/>
      <c r="AN173" s="226"/>
      <c r="AO173" s="226"/>
      <c r="AP173" s="226"/>
      <c r="AQ173" s="226"/>
      <c r="AR173" s="226"/>
      <c r="AS173" s="226"/>
      <c r="AT173" s="226"/>
      <c r="AU173" s="226"/>
      <c r="AV173" s="226"/>
      <c r="AW173" s="226"/>
      <c r="AX173" s="226"/>
      <c r="AY173" s="226"/>
      <c r="AZ173" s="226"/>
      <c r="BA173" s="226"/>
      <c r="BB173" s="226"/>
      <c r="BC173" s="226"/>
      <c r="BD173" s="226"/>
      <c r="BE173" s="226"/>
      <c r="BF173" s="226"/>
      <c r="BG173" s="226"/>
      <c r="BH173" s="226"/>
      <c r="BI173" s="226"/>
      <c r="BJ173" s="226"/>
      <c r="BK173" s="226"/>
      <c r="BL173" s="226"/>
      <c r="BM173" s="226"/>
      <c r="BN173" s="226"/>
      <c r="BO173" s="226"/>
      <c r="BP173" s="226"/>
      <c r="BQ173" s="226"/>
      <c r="BR173" s="226"/>
      <c r="BS173" s="226"/>
      <c r="BT173" s="226"/>
      <c r="BU173" s="226"/>
      <c r="BV173" s="226"/>
      <c r="BW173" s="226"/>
      <c r="BX173" s="226"/>
      <c r="BY173" s="226"/>
      <c r="BZ173" s="226"/>
      <c r="CA173" s="226"/>
      <c r="CB173" s="226"/>
      <c r="CC173" s="226"/>
      <c r="CD173" s="226"/>
      <c r="CE173" s="226"/>
      <c r="CF173" s="226"/>
      <c r="CG173" s="226"/>
      <c r="CH173" s="226"/>
      <c r="CI173" s="226"/>
      <c r="CJ173" s="226"/>
      <c r="CK173" s="226"/>
      <c r="CL173" s="226"/>
      <c r="CM173" s="226"/>
      <c r="CN173" s="226"/>
      <c r="CO173" s="226"/>
      <c r="CP173" s="226"/>
      <c r="CQ173" s="226"/>
      <c r="CR173" s="226"/>
      <c r="CS173" s="226"/>
      <c r="CT173" s="226"/>
      <c r="CU173" s="226"/>
      <c r="CV173" s="226"/>
      <c r="CW173" s="226"/>
      <c r="CX173" s="226"/>
      <c r="CY173" s="226"/>
      <c r="CZ173" s="226"/>
      <c r="DA173" s="226"/>
      <c r="DB173" s="226"/>
      <c r="DC173" s="226"/>
      <c r="DD173" s="226"/>
      <c r="DE173" s="226"/>
      <c r="DF173" s="226"/>
      <c r="DG173" s="226"/>
      <c r="DH173" s="226"/>
      <c r="DI173" s="226"/>
      <c r="DJ173" s="226"/>
      <c r="DK173" s="226"/>
      <c r="DL173" s="226"/>
      <c r="DM173" s="226"/>
      <c r="DN173" s="226"/>
      <c r="DO173" s="226"/>
      <c r="DP173" s="226"/>
      <c r="DQ173" s="226"/>
      <c r="DR173" s="226"/>
      <c r="DS173" s="226"/>
      <c r="DT173" s="226"/>
      <c r="DU173" s="226"/>
      <c r="DV173" s="226"/>
      <c r="DW173" s="226"/>
      <c r="DX173" s="226"/>
      <c r="DY173" s="226"/>
      <c r="DZ173" s="226"/>
      <c r="EA173" s="226"/>
      <c r="EB173" s="226"/>
      <c r="EC173" s="226"/>
      <c r="ED173" s="226"/>
      <c r="EE173" s="226"/>
      <c r="EF173" s="226"/>
      <c r="EG173" s="226"/>
      <c r="EH173" s="226"/>
      <c r="EI173" s="226"/>
      <c r="EJ173" s="226"/>
      <c r="EK173" s="226"/>
      <c r="EL173" s="226"/>
      <c r="EM173" s="226"/>
      <c r="EN173" s="226"/>
      <c r="EO173" s="226"/>
      <c r="EP173" s="226"/>
      <c r="EQ173" s="226"/>
      <c r="ER173" s="226"/>
      <c r="ES173" s="226"/>
      <c r="ET173" s="226"/>
      <c r="EU173" s="226"/>
      <c r="EV173" s="226"/>
      <c r="EW173" s="226"/>
      <c r="EX173" s="226"/>
      <c r="EY173" s="226"/>
      <c r="EZ173" s="226"/>
      <c r="FA173" s="226"/>
      <c r="FB173" s="226"/>
      <c r="FC173" s="226"/>
      <c r="FD173" s="226"/>
      <c r="FE173" s="226"/>
      <c r="FF173" s="226"/>
      <c r="FG173" s="226"/>
      <c r="FH173" s="226"/>
      <c r="FI173" s="226"/>
      <c r="FJ173" s="226"/>
      <c r="FK173" s="226"/>
      <c r="FL173" s="226"/>
      <c r="FM173" s="226"/>
      <c r="FN173" s="226"/>
      <c r="FO173" s="226"/>
      <c r="FP173" s="226"/>
      <c r="FQ173" s="226"/>
      <c r="FR173" s="226"/>
      <c r="FS173" s="226"/>
      <c r="FT173" s="226"/>
      <c r="FU173" s="226"/>
      <c r="FV173" s="226"/>
      <c r="FW173" s="226"/>
      <c r="FX173" s="226"/>
      <c r="FY173" s="226"/>
      <c r="FZ173" s="226"/>
      <c r="GA173" s="226"/>
      <c r="GB173" s="226"/>
      <c r="GC173" s="226"/>
      <c r="GD173" s="226"/>
      <c r="GE173" s="226"/>
      <c r="GF173" s="226"/>
      <c r="GG173" s="226"/>
    </row>
    <row r="174" spans="1:189" s="225" customFormat="1" ht="15.95" customHeight="1">
      <c r="A174" s="139">
        <v>523</v>
      </c>
      <c r="B174" s="43" t="s">
        <v>240</v>
      </c>
      <c r="C174" s="252"/>
      <c r="D174" s="78"/>
      <c r="E174" s="108"/>
      <c r="F174" s="65"/>
      <c r="H174" s="259"/>
      <c r="I174" s="265"/>
      <c r="J174" s="259"/>
      <c r="K174" s="226"/>
      <c r="L174" s="226"/>
      <c r="M174" s="226"/>
      <c r="N174" s="226"/>
      <c r="O174" s="226"/>
      <c r="P174" s="226"/>
      <c r="Q174" s="226"/>
      <c r="R174" s="226"/>
      <c r="S174" s="226"/>
      <c r="T174" s="226"/>
      <c r="U174" s="226"/>
      <c r="V174" s="226"/>
      <c r="W174" s="226"/>
      <c r="X174" s="226"/>
      <c r="Y174" s="226"/>
      <c r="Z174" s="226"/>
      <c r="AA174" s="226"/>
      <c r="AB174" s="226"/>
      <c r="AC174" s="226"/>
      <c r="AD174" s="226"/>
      <c r="AE174" s="226"/>
      <c r="AF174" s="226"/>
      <c r="AG174" s="226"/>
      <c r="AH174" s="226"/>
      <c r="AI174" s="226"/>
      <c r="AJ174" s="226"/>
      <c r="AK174" s="226"/>
      <c r="AL174" s="226"/>
      <c r="AM174" s="226"/>
      <c r="AN174" s="226"/>
      <c r="AO174" s="226"/>
      <c r="AP174" s="226"/>
      <c r="AQ174" s="226"/>
      <c r="AR174" s="226"/>
      <c r="AS174" s="226"/>
      <c r="AT174" s="226"/>
      <c r="AU174" s="226"/>
      <c r="AV174" s="226"/>
      <c r="AW174" s="226"/>
      <c r="AX174" s="226"/>
      <c r="AY174" s="226"/>
      <c r="AZ174" s="226"/>
      <c r="BA174" s="226"/>
      <c r="BB174" s="226"/>
      <c r="BC174" s="226"/>
      <c r="BD174" s="226"/>
      <c r="BE174" s="226"/>
      <c r="BF174" s="226"/>
      <c r="BG174" s="226"/>
      <c r="BH174" s="226"/>
      <c r="BI174" s="226"/>
      <c r="BJ174" s="226"/>
      <c r="BK174" s="226"/>
      <c r="BL174" s="226"/>
      <c r="BM174" s="226"/>
      <c r="BN174" s="226"/>
      <c r="BO174" s="226"/>
      <c r="BP174" s="226"/>
      <c r="BQ174" s="226"/>
      <c r="BR174" s="226"/>
      <c r="BS174" s="226"/>
      <c r="BT174" s="226"/>
      <c r="BU174" s="226"/>
      <c r="BV174" s="226"/>
      <c r="BW174" s="226"/>
      <c r="BX174" s="226"/>
      <c r="BY174" s="226"/>
      <c r="BZ174" s="226"/>
      <c r="CA174" s="226"/>
      <c r="CB174" s="226"/>
      <c r="CC174" s="226"/>
      <c r="CD174" s="226"/>
      <c r="CE174" s="226"/>
      <c r="CF174" s="226"/>
      <c r="CG174" s="226"/>
      <c r="CH174" s="226"/>
      <c r="CI174" s="226"/>
      <c r="CJ174" s="226"/>
      <c r="CK174" s="226"/>
      <c r="CL174" s="226"/>
      <c r="CM174" s="226"/>
      <c r="CN174" s="226"/>
      <c r="CO174" s="226"/>
      <c r="CP174" s="226"/>
      <c r="CQ174" s="226"/>
      <c r="CR174" s="226"/>
      <c r="CS174" s="226"/>
      <c r="CT174" s="226"/>
      <c r="CU174" s="226"/>
      <c r="CV174" s="226"/>
      <c r="CW174" s="226"/>
      <c r="CX174" s="226"/>
      <c r="CY174" s="226"/>
      <c r="CZ174" s="226"/>
      <c r="DA174" s="226"/>
      <c r="DB174" s="226"/>
      <c r="DC174" s="226"/>
      <c r="DD174" s="226"/>
      <c r="DE174" s="226"/>
      <c r="DF174" s="226"/>
      <c r="DG174" s="226"/>
      <c r="DH174" s="226"/>
      <c r="DI174" s="226"/>
      <c r="DJ174" s="226"/>
      <c r="DK174" s="226"/>
      <c r="DL174" s="226"/>
      <c r="DM174" s="226"/>
      <c r="DN174" s="226"/>
      <c r="DO174" s="226"/>
      <c r="DP174" s="226"/>
      <c r="DQ174" s="226"/>
      <c r="DR174" s="226"/>
      <c r="DS174" s="226"/>
      <c r="DT174" s="226"/>
      <c r="DU174" s="226"/>
      <c r="DV174" s="226"/>
      <c r="DW174" s="226"/>
      <c r="DX174" s="226"/>
      <c r="DY174" s="226"/>
      <c r="DZ174" s="226"/>
      <c r="EA174" s="226"/>
      <c r="EB174" s="226"/>
      <c r="EC174" s="226"/>
      <c r="ED174" s="226"/>
      <c r="EE174" s="226"/>
      <c r="EF174" s="226"/>
      <c r="EG174" s="226"/>
      <c r="EH174" s="226"/>
      <c r="EI174" s="226"/>
      <c r="EJ174" s="226"/>
      <c r="EK174" s="226"/>
      <c r="EL174" s="226"/>
      <c r="EM174" s="226"/>
      <c r="EN174" s="226"/>
      <c r="EO174" s="226"/>
      <c r="EP174" s="226"/>
      <c r="EQ174" s="226"/>
      <c r="ER174" s="226"/>
      <c r="ES174" s="226"/>
      <c r="ET174" s="226"/>
      <c r="EU174" s="226"/>
      <c r="EV174" s="226"/>
      <c r="EW174" s="226"/>
      <c r="EX174" s="226"/>
      <c r="EY174" s="226"/>
      <c r="EZ174" s="226"/>
      <c r="FA174" s="226"/>
      <c r="FB174" s="226"/>
      <c r="FC174" s="226"/>
      <c r="FD174" s="226"/>
      <c r="FE174" s="226"/>
      <c r="FF174" s="226"/>
      <c r="FG174" s="226"/>
      <c r="FH174" s="226"/>
      <c r="FI174" s="226"/>
      <c r="FJ174" s="226"/>
      <c r="FK174" s="226"/>
      <c r="FL174" s="226"/>
      <c r="FM174" s="226"/>
      <c r="FN174" s="226"/>
      <c r="FO174" s="226"/>
      <c r="FP174" s="226"/>
      <c r="FQ174" s="226"/>
      <c r="FR174" s="226"/>
      <c r="FS174" s="226"/>
      <c r="FT174" s="226"/>
      <c r="FU174" s="226"/>
      <c r="FV174" s="226"/>
      <c r="FW174" s="226"/>
      <c r="FX174" s="226"/>
      <c r="FY174" s="226"/>
      <c r="FZ174" s="226"/>
      <c r="GA174" s="226"/>
      <c r="GB174" s="226"/>
      <c r="GC174" s="226"/>
      <c r="GD174" s="226"/>
      <c r="GE174" s="226"/>
      <c r="GF174" s="226"/>
      <c r="GG174" s="226"/>
    </row>
    <row r="175" spans="1:189" s="225" customFormat="1" ht="15.95" customHeight="1">
      <c r="A175" s="139" t="s">
        <v>242</v>
      </c>
      <c r="B175" s="271" t="s">
        <v>241</v>
      </c>
      <c r="C175" s="252" t="s">
        <v>27</v>
      </c>
      <c r="D175" s="138">
        <v>0</v>
      </c>
      <c r="E175" s="108" t="e">
        <f>#REF!</f>
        <v>#REF!</v>
      </c>
      <c r="F175" s="65" t="e">
        <f>+D175*E175</f>
        <v>#REF!</v>
      </c>
      <c r="H175" s="259"/>
      <c r="I175" s="265"/>
      <c r="J175" s="259"/>
      <c r="K175" s="226"/>
      <c r="L175" s="226"/>
      <c r="M175" s="226"/>
      <c r="N175" s="226"/>
      <c r="O175" s="226"/>
      <c r="P175" s="226"/>
      <c r="Q175" s="226"/>
      <c r="R175" s="226"/>
      <c r="S175" s="226"/>
      <c r="T175" s="226"/>
      <c r="U175" s="226"/>
      <c r="V175" s="226"/>
      <c r="W175" s="226"/>
      <c r="X175" s="226"/>
      <c r="Y175" s="226"/>
      <c r="Z175" s="226"/>
      <c r="AA175" s="226"/>
      <c r="AB175" s="226"/>
      <c r="AC175" s="226"/>
      <c r="AD175" s="226"/>
      <c r="AE175" s="226"/>
      <c r="AF175" s="226"/>
      <c r="AG175" s="226"/>
      <c r="AH175" s="226"/>
      <c r="AI175" s="226"/>
      <c r="AJ175" s="226"/>
      <c r="AK175" s="226"/>
      <c r="AL175" s="226"/>
      <c r="AM175" s="226"/>
      <c r="AN175" s="226"/>
      <c r="AO175" s="226"/>
      <c r="AP175" s="226"/>
      <c r="AQ175" s="226"/>
      <c r="AR175" s="226"/>
      <c r="AS175" s="226"/>
      <c r="AT175" s="226"/>
      <c r="AU175" s="226"/>
      <c r="AV175" s="226"/>
      <c r="AW175" s="226"/>
      <c r="AX175" s="226"/>
      <c r="AY175" s="226"/>
      <c r="AZ175" s="226"/>
      <c r="BA175" s="226"/>
      <c r="BB175" s="226"/>
      <c r="BC175" s="226"/>
      <c r="BD175" s="226"/>
      <c r="BE175" s="226"/>
      <c r="BF175" s="226"/>
      <c r="BG175" s="226"/>
      <c r="BH175" s="226"/>
      <c r="BI175" s="226"/>
      <c r="BJ175" s="226"/>
      <c r="BK175" s="226"/>
      <c r="BL175" s="226"/>
      <c r="BM175" s="226"/>
      <c r="BN175" s="226"/>
      <c r="BO175" s="226"/>
      <c r="BP175" s="226"/>
      <c r="BQ175" s="226"/>
      <c r="BR175" s="226"/>
      <c r="BS175" s="226"/>
      <c r="BT175" s="226"/>
      <c r="BU175" s="226"/>
      <c r="BV175" s="226"/>
      <c r="BW175" s="226"/>
      <c r="BX175" s="226"/>
      <c r="BY175" s="226"/>
      <c r="BZ175" s="226"/>
      <c r="CA175" s="226"/>
      <c r="CB175" s="226"/>
      <c r="CC175" s="226"/>
      <c r="CD175" s="226"/>
      <c r="CE175" s="226"/>
      <c r="CF175" s="226"/>
      <c r="CG175" s="226"/>
      <c r="CH175" s="226"/>
      <c r="CI175" s="226"/>
      <c r="CJ175" s="226"/>
      <c r="CK175" s="226"/>
      <c r="CL175" s="226"/>
      <c r="CM175" s="226"/>
      <c r="CN175" s="226"/>
      <c r="CO175" s="226"/>
      <c r="CP175" s="226"/>
      <c r="CQ175" s="226"/>
      <c r="CR175" s="226"/>
      <c r="CS175" s="226"/>
      <c r="CT175" s="226"/>
      <c r="CU175" s="226"/>
      <c r="CV175" s="226"/>
      <c r="CW175" s="226"/>
      <c r="CX175" s="226"/>
      <c r="CY175" s="226"/>
      <c r="CZ175" s="226"/>
      <c r="DA175" s="226"/>
      <c r="DB175" s="226"/>
      <c r="DC175" s="226"/>
      <c r="DD175" s="226"/>
      <c r="DE175" s="226"/>
      <c r="DF175" s="226"/>
      <c r="DG175" s="226"/>
      <c r="DH175" s="226"/>
      <c r="DI175" s="226"/>
      <c r="DJ175" s="226"/>
      <c r="DK175" s="226"/>
      <c r="DL175" s="226"/>
      <c r="DM175" s="226"/>
      <c r="DN175" s="226"/>
      <c r="DO175" s="226"/>
      <c r="DP175" s="226"/>
      <c r="DQ175" s="226"/>
      <c r="DR175" s="226"/>
      <c r="DS175" s="226"/>
      <c r="DT175" s="226"/>
      <c r="DU175" s="226"/>
      <c r="DV175" s="226"/>
      <c r="DW175" s="226"/>
      <c r="DX175" s="226"/>
      <c r="DY175" s="226"/>
      <c r="DZ175" s="226"/>
      <c r="EA175" s="226"/>
      <c r="EB175" s="226"/>
      <c r="EC175" s="226"/>
      <c r="ED175" s="226"/>
      <c r="EE175" s="226"/>
      <c r="EF175" s="226"/>
      <c r="EG175" s="226"/>
      <c r="EH175" s="226"/>
      <c r="EI175" s="226"/>
      <c r="EJ175" s="226"/>
      <c r="EK175" s="226"/>
      <c r="EL175" s="226"/>
      <c r="EM175" s="226"/>
      <c r="EN175" s="226"/>
      <c r="EO175" s="226"/>
      <c r="EP175" s="226"/>
      <c r="EQ175" s="226"/>
      <c r="ER175" s="226"/>
      <c r="ES175" s="226"/>
      <c r="ET175" s="226"/>
      <c r="EU175" s="226"/>
      <c r="EV175" s="226"/>
      <c r="EW175" s="226"/>
      <c r="EX175" s="226"/>
      <c r="EY175" s="226"/>
      <c r="EZ175" s="226"/>
      <c r="FA175" s="226"/>
      <c r="FB175" s="226"/>
      <c r="FC175" s="226"/>
      <c r="FD175" s="226"/>
      <c r="FE175" s="226"/>
      <c r="FF175" s="226"/>
      <c r="FG175" s="226"/>
      <c r="FH175" s="226"/>
      <c r="FI175" s="226"/>
      <c r="FJ175" s="226"/>
      <c r="FK175" s="226"/>
      <c r="FL175" s="226"/>
      <c r="FM175" s="226"/>
      <c r="FN175" s="226"/>
      <c r="FO175" s="226"/>
      <c r="FP175" s="226"/>
      <c r="FQ175" s="226"/>
      <c r="FR175" s="226"/>
      <c r="FS175" s="226"/>
      <c r="FT175" s="226"/>
      <c r="FU175" s="226"/>
      <c r="FV175" s="226"/>
      <c r="FW175" s="226"/>
      <c r="FX175" s="226"/>
      <c r="FY175" s="226"/>
      <c r="FZ175" s="226"/>
      <c r="GA175" s="226"/>
      <c r="GB175" s="226"/>
      <c r="GC175" s="226"/>
      <c r="GD175" s="226"/>
      <c r="GE175" s="226"/>
      <c r="GF175" s="226"/>
      <c r="GG175" s="226"/>
    </row>
    <row r="176" spans="1:189" s="225" customFormat="1" ht="15.95" customHeight="1">
      <c r="A176" s="36"/>
      <c r="B176" s="196"/>
      <c r="C176" s="254"/>
      <c r="D176" s="82"/>
      <c r="E176" s="107"/>
      <c r="F176" s="64"/>
      <c r="H176" s="259"/>
      <c r="I176" s="265"/>
      <c r="J176" s="259"/>
      <c r="K176" s="226"/>
      <c r="L176" s="226"/>
      <c r="M176" s="226"/>
      <c r="N176" s="226"/>
      <c r="O176" s="226"/>
      <c r="P176" s="226"/>
      <c r="Q176" s="226"/>
      <c r="R176" s="226"/>
      <c r="S176" s="226"/>
      <c r="T176" s="226"/>
      <c r="U176" s="226"/>
      <c r="V176" s="226"/>
      <c r="W176" s="226"/>
      <c r="X176" s="226"/>
      <c r="Y176" s="226"/>
      <c r="Z176" s="226"/>
      <c r="AA176" s="226"/>
      <c r="AB176" s="226"/>
      <c r="AC176" s="226"/>
      <c r="AD176" s="226"/>
      <c r="AE176" s="226"/>
      <c r="AF176" s="226"/>
      <c r="AG176" s="226"/>
      <c r="AH176" s="226"/>
      <c r="AI176" s="226"/>
      <c r="AJ176" s="226"/>
      <c r="AK176" s="226"/>
      <c r="AL176" s="226"/>
      <c r="AM176" s="226"/>
      <c r="AN176" s="226"/>
      <c r="AO176" s="226"/>
      <c r="AP176" s="226"/>
      <c r="AQ176" s="226"/>
      <c r="AR176" s="226"/>
      <c r="AS176" s="226"/>
      <c r="AT176" s="226"/>
      <c r="AU176" s="226"/>
      <c r="AV176" s="226"/>
      <c r="AW176" s="226"/>
      <c r="AX176" s="226"/>
      <c r="AY176" s="226"/>
      <c r="AZ176" s="226"/>
      <c r="BA176" s="226"/>
      <c r="BB176" s="226"/>
      <c r="BC176" s="226"/>
      <c r="BD176" s="226"/>
      <c r="BE176" s="226"/>
      <c r="BF176" s="226"/>
      <c r="BG176" s="226"/>
      <c r="BH176" s="226"/>
      <c r="BI176" s="226"/>
      <c r="BJ176" s="226"/>
      <c r="BK176" s="226"/>
      <c r="BL176" s="226"/>
      <c r="BM176" s="226"/>
      <c r="BN176" s="226"/>
      <c r="BO176" s="226"/>
      <c r="BP176" s="226"/>
      <c r="BQ176" s="226"/>
      <c r="BR176" s="226"/>
      <c r="BS176" s="226"/>
      <c r="BT176" s="226"/>
      <c r="BU176" s="226"/>
      <c r="BV176" s="226"/>
      <c r="BW176" s="226"/>
      <c r="BX176" s="226"/>
      <c r="BY176" s="226"/>
      <c r="BZ176" s="226"/>
      <c r="CA176" s="226"/>
      <c r="CB176" s="226"/>
      <c r="CC176" s="226"/>
      <c r="CD176" s="226"/>
      <c r="CE176" s="226"/>
      <c r="CF176" s="226"/>
      <c r="CG176" s="226"/>
      <c r="CH176" s="226"/>
      <c r="CI176" s="226"/>
      <c r="CJ176" s="226"/>
      <c r="CK176" s="226"/>
      <c r="CL176" s="226"/>
      <c r="CM176" s="226"/>
      <c r="CN176" s="226"/>
      <c r="CO176" s="226"/>
      <c r="CP176" s="226"/>
      <c r="CQ176" s="226"/>
      <c r="CR176" s="226"/>
      <c r="CS176" s="226"/>
      <c r="CT176" s="226"/>
      <c r="CU176" s="226"/>
      <c r="CV176" s="226"/>
      <c r="CW176" s="226"/>
      <c r="CX176" s="226"/>
      <c r="CY176" s="226"/>
      <c r="CZ176" s="226"/>
      <c r="DA176" s="226"/>
      <c r="DB176" s="226"/>
      <c r="DC176" s="226"/>
      <c r="DD176" s="226"/>
      <c r="DE176" s="226"/>
      <c r="DF176" s="226"/>
      <c r="DG176" s="226"/>
      <c r="DH176" s="226"/>
      <c r="DI176" s="226"/>
      <c r="DJ176" s="226"/>
      <c r="DK176" s="226"/>
      <c r="DL176" s="226"/>
      <c r="DM176" s="226"/>
      <c r="DN176" s="226"/>
      <c r="DO176" s="226"/>
      <c r="DP176" s="226"/>
      <c r="DQ176" s="226"/>
      <c r="DR176" s="226"/>
      <c r="DS176" s="226"/>
      <c r="DT176" s="226"/>
      <c r="DU176" s="226"/>
      <c r="DV176" s="226"/>
      <c r="DW176" s="226"/>
      <c r="DX176" s="226"/>
      <c r="DY176" s="226"/>
      <c r="DZ176" s="226"/>
      <c r="EA176" s="226"/>
      <c r="EB176" s="226"/>
      <c r="EC176" s="226"/>
      <c r="ED176" s="226"/>
      <c r="EE176" s="226"/>
      <c r="EF176" s="226"/>
      <c r="EG176" s="226"/>
      <c r="EH176" s="226"/>
      <c r="EI176" s="226"/>
      <c r="EJ176" s="226"/>
      <c r="EK176" s="226"/>
      <c r="EL176" s="226"/>
      <c r="EM176" s="226"/>
      <c r="EN176" s="226"/>
      <c r="EO176" s="226"/>
      <c r="EP176" s="226"/>
      <c r="EQ176" s="226"/>
      <c r="ER176" s="226"/>
      <c r="ES176" s="226"/>
      <c r="ET176" s="226"/>
      <c r="EU176" s="226"/>
      <c r="EV176" s="226"/>
      <c r="EW176" s="226"/>
      <c r="EX176" s="226"/>
      <c r="EY176" s="226"/>
      <c r="EZ176" s="226"/>
      <c r="FA176" s="226"/>
      <c r="FB176" s="226"/>
      <c r="FC176" s="226"/>
      <c r="FD176" s="226"/>
      <c r="FE176" s="226"/>
      <c r="FF176" s="226"/>
      <c r="FG176" s="226"/>
      <c r="FH176" s="226"/>
      <c r="FI176" s="226"/>
      <c r="FJ176" s="226"/>
      <c r="FK176" s="226"/>
      <c r="FL176" s="226"/>
      <c r="FM176" s="226"/>
      <c r="FN176" s="226"/>
      <c r="FO176" s="226"/>
      <c r="FP176" s="226"/>
      <c r="FQ176" s="226"/>
      <c r="FR176" s="226"/>
      <c r="FS176" s="226"/>
      <c r="FT176" s="226"/>
      <c r="FU176" s="226"/>
      <c r="FV176" s="226"/>
      <c r="FW176" s="226"/>
      <c r="FX176" s="226"/>
      <c r="FY176" s="226"/>
      <c r="FZ176" s="226"/>
      <c r="GA176" s="226"/>
      <c r="GB176" s="226"/>
      <c r="GC176" s="226"/>
      <c r="GD176" s="226"/>
      <c r="GE176" s="226"/>
      <c r="GF176" s="226"/>
      <c r="GG176" s="226"/>
    </row>
    <row r="177" spans="1:12" ht="24.75" customHeight="1">
      <c r="A177" s="194"/>
      <c r="B177" s="239"/>
      <c r="C177" s="95"/>
      <c r="D177" s="92"/>
      <c r="E177" s="93" t="s">
        <v>113</v>
      </c>
      <c r="F177" s="94" t="e">
        <f>SUM(F118:F176)</f>
        <v>#REF!</v>
      </c>
    </row>
    <row r="178" spans="1:12" s="129" customFormat="1" ht="15.95" customHeight="1">
      <c r="A178" s="10"/>
      <c r="B178" s="12"/>
      <c r="C178" s="13"/>
      <c r="D178" s="76"/>
      <c r="E178" s="142"/>
      <c r="F178" s="66"/>
      <c r="G178" s="142"/>
      <c r="H178" s="255"/>
      <c r="I178" s="262"/>
      <c r="J178" s="255"/>
      <c r="L178" s="129">
        <f>17500/22</f>
        <v>795.4545454545455</v>
      </c>
    </row>
    <row r="179" spans="1:12" s="129" customFormat="1" ht="24" customHeight="1">
      <c r="A179" s="1" t="s">
        <v>17</v>
      </c>
      <c r="B179" s="3"/>
      <c r="C179" s="52" t="s">
        <v>98</v>
      </c>
      <c r="D179" s="86" t="s">
        <v>99</v>
      </c>
      <c r="E179" s="241" t="s">
        <v>100</v>
      </c>
      <c r="F179" s="241" t="s">
        <v>114</v>
      </c>
      <c r="G179" s="142"/>
      <c r="H179" s="255"/>
      <c r="I179" s="262"/>
      <c r="J179" s="255"/>
    </row>
    <row r="180" spans="1:12" s="129" customFormat="1" ht="15.95" customHeight="1">
      <c r="A180" s="152" t="s">
        <v>18</v>
      </c>
      <c r="B180" s="125" t="s">
        <v>96</v>
      </c>
      <c r="C180" s="233"/>
      <c r="D180" s="234"/>
      <c r="E180" s="109"/>
      <c r="F180" s="63"/>
      <c r="G180" s="142"/>
      <c r="H180" s="255"/>
      <c r="I180" s="262"/>
      <c r="J180" s="255"/>
    </row>
    <row r="181" spans="1:12" s="129" customFormat="1" ht="15.95" customHeight="1">
      <c r="A181" s="4" t="s">
        <v>192</v>
      </c>
      <c r="B181" s="39" t="s">
        <v>193</v>
      </c>
      <c r="C181" s="235" t="s">
        <v>27</v>
      </c>
      <c r="D181" s="235">
        <f>J181</f>
        <v>379</v>
      </c>
      <c r="E181" s="108" t="e">
        <f>#REF!</f>
        <v>#REF!</v>
      </c>
      <c r="F181" s="65" t="e">
        <f>+D181*E181</f>
        <v>#REF!</v>
      </c>
      <c r="G181" s="142"/>
      <c r="H181" s="255">
        <f>(F12*2+F16*2)/25</f>
        <v>360.96</v>
      </c>
      <c r="I181" s="262">
        <v>1.05</v>
      </c>
      <c r="J181" s="255">
        <f>ROUND(H181*I181,0)</f>
        <v>379</v>
      </c>
    </row>
    <row r="182" spans="1:12" s="129" customFormat="1" ht="15.95" customHeight="1">
      <c r="A182" s="4" t="s">
        <v>194</v>
      </c>
      <c r="B182" s="39" t="s">
        <v>196</v>
      </c>
      <c r="C182" s="153" t="s">
        <v>27</v>
      </c>
      <c r="D182" s="108">
        <f>D181</f>
        <v>379</v>
      </c>
      <c r="E182" s="108" t="e">
        <f>#REF!</f>
        <v>#REF!</v>
      </c>
      <c r="F182" s="65" t="e">
        <f>+D182*E182</f>
        <v>#REF!</v>
      </c>
      <c r="G182" s="142"/>
      <c r="H182" s="255"/>
      <c r="I182" s="262"/>
      <c r="J182" s="255"/>
    </row>
    <row r="183" spans="1:12" s="129" customFormat="1" ht="15.95" customHeight="1">
      <c r="A183" s="4" t="s">
        <v>195</v>
      </c>
      <c r="B183" s="39" t="s">
        <v>238</v>
      </c>
      <c r="C183" s="153" t="s">
        <v>237</v>
      </c>
      <c r="D183" s="108">
        <f>J183</f>
        <v>0</v>
      </c>
      <c r="E183" s="108" t="e">
        <f>#REF!</f>
        <v>#REF!</v>
      </c>
      <c r="F183" s="65" t="e">
        <f>+D183*E183</f>
        <v>#REF!</v>
      </c>
      <c r="G183" s="142"/>
      <c r="H183" s="268">
        <v>0</v>
      </c>
      <c r="I183" s="269">
        <v>1.05</v>
      </c>
      <c r="J183" s="255">
        <f>ROUND(H183*I183,0)</f>
        <v>0</v>
      </c>
    </row>
    <row r="184" spans="1:12" s="129" customFormat="1" ht="15.95" customHeight="1">
      <c r="A184" s="4" t="s">
        <v>236</v>
      </c>
      <c r="B184" s="49" t="s">
        <v>239</v>
      </c>
      <c r="C184" s="113" t="s">
        <v>266</v>
      </c>
      <c r="D184" s="107">
        <v>1</v>
      </c>
      <c r="E184" s="107" t="e">
        <f>50%*#REF!</f>
        <v>#REF!</v>
      </c>
      <c r="F184" s="64" t="e">
        <f>+D184*E184</f>
        <v>#REF!</v>
      </c>
      <c r="G184" s="142"/>
      <c r="H184" s="255"/>
      <c r="I184" s="262"/>
      <c r="J184" s="255"/>
    </row>
    <row r="185" spans="1:12" s="129" customFormat="1" ht="15.95" customHeight="1">
      <c r="A185" s="152" t="s">
        <v>208</v>
      </c>
      <c r="B185" s="125" t="s">
        <v>154</v>
      </c>
      <c r="C185" s="233"/>
      <c r="D185" s="234"/>
      <c r="E185" s="109"/>
      <c r="F185" s="63"/>
      <c r="G185" s="142"/>
      <c r="H185" s="255"/>
      <c r="I185" s="262"/>
      <c r="J185" s="255"/>
    </row>
    <row r="186" spans="1:12" s="129" customFormat="1" ht="15" customHeight="1">
      <c r="A186" s="4"/>
      <c r="B186" s="39"/>
      <c r="C186" s="235" t="s">
        <v>1</v>
      </c>
      <c r="D186" s="235">
        <f>J186</f>
        <v>1892</v>
      </c>
      <c r="E186" s="108" t="e">
        <f>#REF!</f>
        <v>#REF!</v>
      </c>
      <c r="F186" s="65" t="e">
        <f>+D186*E186</f>
        <v>#REF!</v>
      </c>
      <c r="G186" s="142"/>
      <c r="H186" s="255">
        <f>10*2+F11</f>
        <v>1720</v>
      </c>
      <c r="I186" s="262">
        <v>1.1000000000000001</v>
      </c>
      <c r="J186" s="255">
        <f>ROUND(H186*I186,0)</f>
        <v>1892</v>
      </c>
    </row>
    <row r="187" spans="1:12" s="129" customFormat="1" ht="15.95" customHeight="1">
      <c r="A187" s="152" t="s">
        <v>209</v>
      </c>
      <c r="B187" s="125" t="s">
        <v>155</v>
      </c>
      <c r="C187" s="233"/>
      <c r="D187" s="234"/>
      <c r="E187" s="109"/>
      <c r="F187" s="63"/>
      <c r="G187" s="142"/>
      <c r="H187" s="255"/>
      <c r="I187" s="262"/>
      <c r="J187" s="255"/>
    </row>
    <row r="188" spans="1:12" s="129" customFormat="1" ht="15.95" customHeight="1">
      <c r="A188" s="46"/>
      <c r="B188" s="27"/>
      <c r="C188" s="160"/>
      <c r="D188" s="213"/>
      <c r="E188" s="108"/>
      <c r="F188" s="65"/>
      <c r="G188" s="142"/>
      <c r="H188" s="255"/>
      <c r="I188" s="262"/>
      <c r="J188" s="255"/>
    </row>
    <row r="189" spans="1:12" s="129" customFormat="1" ht="15" customHeight="1">
      <c r="A189" s="4" t="s">
        <v>268</v>
      </c>
      <c r="B189" s="39" t="s">
        <v>267</v>
      </c>
      <c r="C189" s="235" t="s">
        <v>1</v>
      </c>
      <c r="D189" s="235">
        <f>D186</f>
        <v>1892</v>
      </c>
      <c r="E189" s="108" t="e">
        <f>#REF!</f>
        <v>#REF!</v>
      </c>
      <c r="F189" s="65" t="e">
        <f>+D189*E189</f>
        <v>#REF!</v>
      </c>
      <c r="G189" s="142"/>
      <c r="H189" s="255">
        <f>J179*2+10*4</f>
        <v>40</v>
      </c>
      <c r="I189" s="262">
        <v>1.05</v>
      </c>
      <c r="J189" s="255">
        <f>ROUND(H189*I189,0)</f>
        <v>42</v>
      </c>
    </row>
    <row r="190" spans="1:12" s="129" customFormat="1" ht="15" customHeight="1">
      <c r="A190" s="4" t="s">
        <v>270</v>
      </c>
      <c r="B190" s="39" t="s">
        <v>269</v>
      </c>
      <c r="C190" s="281" t="s">
        <v>1</v>
      </c>
      <c r="D190" s="281">
        <f>J190</f>
        <v>0</v>
      </c>
      <c r="E190" s="151" t="e">
        <f>#REF!</f>
        <v>#REF!</v>
      </c>
      <c r="F190" s="65" t="e">
        <f>D190*E190</f>
        <v>#REF!</v>
      </c>
      <c r="G190" s="142"/>
      <c r="H190" s="255">
        <v>0</v>
      </c>
      <c r="I190" s="262">
        <v>1.05</v>
      </c>
      <c r="J190" s="255">
        <f>ROUND(H190*I190,0)</f>
        <v>0</v>
      </c>
    </row>
    <row r="191" spans="1:12" s="129" customFormat="1" ht="15" customHeight="1">
      <c r="A191" s="4" t="s">
        <v>388</v>
      </c>
      <c r="B191" s="39" t="s">
        <v>387</v>
      </c>
      <c r="C191" s="281" t="s">
        <v>1</v>
      </c>
      <c r="D191" s="281">
        <f>J191</f>
        <v>1870</v>
      </c>
      <c r="E191" s="151" t="e">
        <f>#REF!</f>
        <v>#REF!</v>
      </c>
      <c r="F191" s="65" t="e">
        <f>D191*E191</f>
        <v>#REF!</v>
      </c>
      <c r="G191" s="142"/>
      <c r="H191" s="255">
        <f>F11</f>
        <v>1700</v>
      </c>
      <c r="I191" s="262">
        <v>1.1000000000000001</v>
      </c>
      <c r="J191" s="255">
        <f>ROUND(H191*I191,0)</f>
        <v>1870</v>
      </c>
    </row>
    <row r="192" spans="1:12" s="129" customFormat="1" ht="15" customHeight="1">
      <c r="A192" s="4"/>
      <c r="B192" s="39"/>
      <c r="C192" s="281"/>
      <c r="D192" s="281"/>
      <c r="E192" s="151"/>
      <c r="F192" s="65"/>
      <c r="G192" s="142"/>
      <c r="H192" s="255"/>
      <c r="I192" s="262"/>
      <c r="J192" s="255"/>
    </row>
    <row r="193" spans="1:10" s="129" customFormat="1" ht="15.95" customHeight="1">
      <c r="A193" s="232">
        <v>604</v>
      </c>
      <c r="B193" s="43" t="s">
        <v>164</v>
      </c>
      <c r="C193" s="133"/>
      <c r="D193" s="133"/>
      <c r="E193" s="133"/>
      <c r="F193" s="109"/>
      <c r="G193" s="142"/>
      <c r="H193" s="255"/>
      <c r="I193" s="262"/>
      <c r="J193" s="255"/>
    </row>
    <row r="194" spans="1:10" s="129" customFormat="1" ht="15.95" customHeight="1">
      <c r="A194" s="47" t="s">
        <v>224</v>
      </c>
      <c r="B194" s="123" t="s">
        <v>223</v>
      </c>
      <c r="C194" s="261" t="s">
        <v>27</v>
      </c>
      <c r="D194" s="151">
        <f>J194</f>
        <v>63</v>
      </c>
      <c r="E194" s="151" t="e">
        <f>#REF!</f>
        <v>#REF!</v>
      </c>
      <c r="F194" s="108" t="e">
        <f>+D194*E194</f>
        <v>#REF!</v>
      </c>
      <c r="G194" s="142"/>
      <c r="H194" s="255">
        <f>60</f>
        <v>60</v>
      </c>
      <c r="I194" s="262">
        <v>1.05</v>
      </c>
      <c r="J194" s="255">
        <f>ROUND(H194*I194,0)</f>
        <v>63</v>
      </c>
    </row>
    <row r="195" spans="1:10" s="129" customFormat="1" ht="15.95" customHeight="1">
      <c r="A195" s="260" t="s">
        <v>225</v>
      </c>
      <c r="B195" s="24" t="s">
        <v>226</v>
      </c>
      <c r="C195" s="154" t="s">
        <v>27</v>
      </c>
      <c r="D195" s="134">
        <f>J195</f>
        <v>11</v>
      </c>
      <c r="E195" s="134" t="e">
        <f>#REF!</f>
        <v>#REF!</v>
      </c>
      <c r="F195" s="107" t="e">
        <f>+D195*E195</f>
        <v>#REF!</v>
      </c>
      <c r="G195" s="142"/>
      <c r="H195" s="255">
        <v>10</v>
      </c>
      <c r="I195" s="262">
        <v>1.05</v>
      </c>
      <c r="J195" s="255">
        <f>ROUND(H195*I195,0)</f>
        <v>11</v>
      </c>
    </row>
    <row r="196" spans="1:10" s="129" customFormat="1" ht="15.95" customHeight="1">
      <c r="A196" s="47">
        <v>605</v>
      </c>
      <c r="B196" s="26" t="s">
        <v>156</v>
      </c>
      <c r="C196" s="151"/>
      <c r="D196" s="151"/>
      <c r="E196" s="151"/>
      <c r="F196" s="109"/>
      <c r="G196" s="142"/>
      <c r="H196" s="255"/>
      <c r="I196" s="262"/>
      <c r="J196" s="255"/>
    </row>
    <row r="197" spans="1:10" s="199" customFormat="1" ht="15.95" customHeight="1">
      <c r="A197" s="353"/>
      <c r="B197" s="354"/>
      <c r="C197" s="355" t="s">
        <v>385</v>
      </c>
      <c r="D197" s="356">
        <f>J197</f>
        <v>0</v>
      </c>
      <c r="E197" s="356" t="e">
        <f>#REF!</f>
        <v>#REF!</v>
      </c>
      <c r="F197" s="322" t="e">
        <f>+D197*E197</f>
        <v>#REF!</v>
      </c>
      <c r="G197" s="198"/>
      <c r="H197" s="256">
        <v>0</v>
      </c>
      <c r="I197" s="330">
        <v>1.05</v>
      </c>
      <c r="J197" s="256">
        <f>ROUND(H197*I197,0)</f>
        <v>0</v>
      </c>
    </row>
    <row r="198" spans="1:10" s="129" customFormat="1" ht="27" customHeight="1">
      <c r="A198" s="47">
        <v>605</v>
      </c>
      <c r="B198" s="27" t="s">
        <v>386</v>
      </c>
      <c r="C198" s="151"/>
      <c r="D198" s="151"/>
      <c r="E198" s="151"/>
      <c r="F198" s="109"/>
      <c r="G198" s="142"/>
      <c r="H198" s="255"/>
      <c r="I198" s="262"/>
      <c r="J198" s="255"/>
    </row>
    <row r="199" spans="1:10" s="129" customFormat="1" ht="15.95" customHeight="1">
      <c r="A199" s="61"/>
      <c r="B199" s="24"/>
      <c r="C199" s="191" t="s">
        <v>292</v>
      </c>
      <c r="D199" s="134">
        <v>2</v>
      </c>
      <c r="E199" s="134" t="e">
        <f>#REF!</f>
        <v>#REF!</v>
      </c>
      <c r="F199" s="107" t="e">
        <f>+D199*E199</f>
        <v>#REF!</v>
      </c>
      <c r="G199" s="142"/>
      <c r="H199" s="262"/>
      <c r="I199" s="262">
        <v>1</v>
      </c>
      <c r="J199" s="255">
        <f>H199*I199</f>
        <v>0</v>
      </c>
    </row>
    <row r="200" spans="1:10" s="129" customFormat="1" ht="24.75" customHeight="1">
      <c r="A200" s="142"/>
      <c r="B200" s="142"/>
      <c r="C200" s="95"/>
      <c r="D200" s="92"/>
      <c r="E200" s="93" t="s">
        <v>112</v>
      </c>
      <c r="F200" s="94" t="e">
        <f>SUM(F180:F199)</f>
        <v>#REF!</v>
      </c>
      <c r="G200" s="142"/>
      <c r="H200" s="142"/>
      <c r="I200" s="262"/>
      <c r="J200" s="255"/>
    </row>
    <row r="201" spans="1:10" s="129" customFormat="1" ht="12" customHeight="1">
      <c r="A201" s="142"/>
      <c r="B201" s="142"/>
      <c r="C201" s="142"/>
      <c r="D201" s="75"/>
      <c r="E201" s="62"/>
      <c r="F201" s="62"/>
      <c r="G201" s="142"/>
      <c r="H201" s="255"/>
      <c r="I201" s="262"/>
      <c r="J201" s="255"/>
    </row>
    <row r="202" spans="1:10" s="129" customFormat="1" ht="25.5" customHeight="1">
      <c r="A202" s="142"/>
      <c r="B202" s="142"/>
      <c r="C202" s="95"/>
      <c r="D202" s="92"/>
      <c r="E202" s="93" t="s">
        <v>391</v>
      </c>
      <c r="F202" s="96" t="e">
        <f>+F75+F97+F115+F177+F200</f>
        <v>#REF!</v>
      </c>
      <c r="G202" s="142"/>
      <c r="H202" s="255"/>
      <c r="I202" s="142"/>
      <c r="J202" s="255"/>
    </row>
    <row r="204" spans="1:10" s="129" customFormat="1" ht="24.75" customHeight="1">
      <c r="A204" s="1" t="s">
        <v>115</v>
      </c>
      <c r="B204" s="33"/>
      <c r="C204" s="52" t="s">
        <v>98</v>
      </c>
      <c r="D204" s="70" t="s">
        <v>99</v>
      </c>
      <c r="E204" s="241" t="s">
        <v>100</v>
      </c>
      <c r="F204" s="241" t="s">
        <v>116</v>
      </c>
      <c r="G204" s="142"/>
      <c r="H204" s="255"/>
      <c r="I204" s="262"/>
      <c r="J204" s="255"/>
    </row>
    <row r="205" spans="1:10" s="129" customFormat="1" ht="15.95" customHeight="1">
      <c r="A205" s="29" t="s">
        <v>117</v>
      </c>
      <c r="B205" s="27" t="s">
        <v>118</v>
      </c>
      <c r="C205" s="34"/>
      <c r="D205" s="109"/>
      <c r="E205" s="109"/>
      <c r="F205" s="63"/>
      <c r="G205" s="142"/>
      <c r="H205" s="255"/>
      <c r="I205" s="113">
        <v>200000000</v>
      </c>
      <c r="J205" s="255"/>
    </row>
    <row r="206" spans="1:10" s="129" customFormat="1" ht="15.95" customHeight="1">
      <c r="A206" s="22"/>
      <c r="B206" s="31"/>
      <c r="C206" s="32" t="s">
        <v>119</v>
      </c>
      <c r="D206" s="113">
        <v>1</v>
      </c>
      <c r="E206" s="113">
        <v>0</v>
      </c>
      <c r="F206" s="64">
        <f>+D206*E206</f>
        <v>0</v>
      </c>
      <c r="G206" s="142"/>
      <c r="H206" s="255"/>
      <c r="I206" s="108"/>
      <c r="J206" s="255"/>
    </row>
    <row r="207" spans="1:10" s="129" customFormat="1" ht="15.95" customHeight="1">
      <c r="A207" s="29" t="s">
        <v>120</v>
      </c>
      <c r="B207" s="6" t="s">
        <v>121</v>
      </c>
      <c r="C207" s="7"/>
      <c r="D207" s="108"/>
      <c r="E207" s="108"/>
      <c r="F207" s="65"/>
      <c r="G207" s="142"/>
      <c r="H207" s="255"/>
      <c r="I207" s="113">
        <v>600000000</v>
      </c>
      <c r="J207" s="255"/>
    </row>
    <row r="208" spans="1:10" s="129" customFormat="1" ht="15.95" customHeight="1">
      <c r="A208" s="22"/>
      <c r="B208" s="31"/>
      <c r="C208" s="32" t="s">
        <v>119</v>
      </c>
      <c r="D208" s="113">
        <v>1</v>
      </c>
      <c r="E208" s="113">
        <v>0</v>
      </c>
      <c r="F208" s="64">
        <f>+D208*E208</f>
        <v>0</v>
      </c>
      <c r="G208" s="142"/>
      <c r="H208" s="255"/>
      <c r="I208" s="262"/>
      <c r="J208" s="255"/>
    </row>
    <row r="209" spans="1:10" s="129" customFormat="1" ht="23.25" customHeight="1">
      <c r="A209" s="110"/>
      <c r="B209" s="27"/>
      <c r="C209" s="95"/>
      <c r="D209" s="92"/>
      <c r="E209" s="93" t="s">
        <v>122</v>
      </c>
      <c r="F209" s="94">
        <f>SUM(F206:F208)</f>
        <v>0</v>
      </c>
      <c r="G209" s="142"/>
      <c r="H209" s="255"/>
      <c r="I209" s="262"/>
      <c r="J209" s="255"/>
    </row>
    <row r="211" spans="1:10" ht="25.5" customHeight="1">
      <c r="C211" s="95"/>
      <c r="D211" s="92"/>
      <c r="E211" s="93" t="s">
        <v>390</v>
      </c>
      <c r="F211" s="96" t="e">
        <f>F209+F202+F46</f>
        <v>#REF!</v>
      </c>
    </row>
    <row r="219" spans="1:10" ht="21">
      <c r="F219" s="1111">
        <v>25263428778.4814</v>
      </c>
    </row>
    <row r="222" spans="1:10" ht="19.5">
      <c r="A222" s="90"/>
      <c r="D222" s="62"/>
      <c r="E222" s="62"/>
      <c r="F222" s="99"/>
    </row>
    <row r="223" spans="1:10" ht="26.25">
      <c r="B223" s="1859"/>
      <c r="C223" s="1859"/>
      <c r="D223" s="1859"/>
      <c r="E223" s="1859"/>
      <c r="F223" s="1859"/>
    </row>
  </sheetData>
  <mergeCells count="2">
    <mergeCell ref="A2:F2"/>
    <mergeCell ref="B223:F223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  <rowBreaks count="4" manualBreakCount="4">
    <brk id="47" min="5" max="5" man="1"/>
    <brk id="97" max="6" man="1"/>
    <brk id="142" max="6" man="1"/>
    <brk id="182" max="6" man="1"/>
  </rowBreaks>
  <colBreaks count="1" manualBreakCount="1">
    <brk id="6" max="1048575" man="1"/>
  </col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7030A0"/>
  </sheetPr>
  <dimension ref="A1:GG209"/>
  <sheetViews>
    <sheetView topLeftCell="B127" workbookViewId="0">
      <selection sqref="A1:E1"/>
    </sheetView>
  </sheetViews>
  <sheetFormatPr baseColWidth="10" defaultColWidth="9.140625" defaultRowHeight="15"/>
  <cols>
    <col min="1" max="1" width="14.7109375" style="142" customWidth="1"/>
    <col min="2" max="2" width="79.140625" style="142" customWidth="1"/>
    <col min="3" max="3" width="11" style="142" customWidth="1"/>
    <col min="4" max="4" width="14.85546875" style="142" customWidth="1"/>
    <col min="5" max="5" width="20" style="142" customWidth="1"/>
    <col min="6" max="6" width="32.85546875" style="142" customWidth="1"/>
    <col min="7" max="7" width="9.140625" style="142"/>
    <col min="8" max="8" width="16" style="255" bestFit="1" customWidth="1"/>
    <col min="9" max="9" width="10.7109375" style="262" customWidth="1"/>
    <col min="10" max="10" width="16" style="255" bestFit="1" customWidth="1"/>
    <col min="11" max="11" width="9.140625" style="129"/>
    <col min="12" max="12" width="9.28515625" style="129" bestFit="1" customWidth="1"/>
    <col min="13" max="189" width="9.140625" style="129"/>
    <col min="190" max="16384" width="9.140625" style="142"/>
  </cols>
  <sheetData>
    <row r="1" spans="1:189" ht="20.25" thickBot="1">
      <c r="A1" s="90" t="s">
        <v>184</v>
      </c>
      <c r="D1" s="62"/>
      <c r="E1" s="62"/>
      <c r="F1" s="99"/>
    </row>
    <row r="2" spans="1:189" ht="25.5" thickBot="1">
      <c r="A2" s="1856" t="s">
        <v>285</v>
      </c>
      <c r="B2" s="1857"/>
      <c r="C2" s="1857"/>
      <c r="D2" s="1857"/>
      <c r="E2" s="1857"/>
      <c r="F2" s="1858"/>
      <c r="G2" s="119" t="s">
        <v>393</v>
      </c>
      <c r="H2" s="255" t="s">
        <v>551</v>
      </c>
    </row>
    <row r="3" spans="1:189" s="198" customFormat="1" ht="24.75">
      <c r="A3" s="381"/>
      <c r="B3" s="381"/>
      <c r="C3" s="381"/>
      <c r="D3" s="381"/>
      <c r="E3" s="535" t="s">
        <v>505</v>
      </c>
      <c r="F3" s="340">
        <v>450</v>
      </c>
      <c r="G3" s="119">
        <v>15</v>
      </c>
      <c r="H3" s="256">
        <v>750</v>
      </c>
      <c r="I3" s="330"/>
      <c r="J3" s="256"/>
      <c r="K3" s="199"/>
      <c r="L3" s="199"/>
      <c r="M3" s="199"/>
      <c r="N3" s="199"/>
      <c r="O3" s="199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199"/>
      <c r="AC3" s="199"/>
      <c r="AD3" s="199"/>
      <c r="AE3" s="199"/>
      <c r="AF3" s="199"/>
      <c r="AG3" s="199"/>
      <c r="AH3" s="199"/>
      <c r="AI3" s="199"/>
      <c r="AJ3" s="199"/>
      <c r="AK3" s="199"/>
      <c r="AL3" s="199"/>
      <c r="AM3" s="199"/>
      <c r="AN3" s="199"/>
      <c r="AO3" s="199"/>
      <c r="AP3" s="199"/>
      <c r="AQ3" s="199"/>
      <c r="AR3" s="199"/>
      <c r="AS3" s="199"/>
      <c r="AT3" s="199"/>
      <c r="AU3" s="199"/>
      <c r="AV3" s="199"/>
      <c r="AW3" s="199"/>
      <c r="AX3" s="199"/>
      <c r="AY3" s="199"/>
      <c r="AZ3" s="199"/>
      <c r="BA3" s="199"/>
      <c r="BB3" s="199"/>
      <c r="BC3" s="199"/>
      <c r="BD3" s="199"/>
      <c r="BE3" s="199"/>
      <c r="BF3" s="199"/>
      <c r="BG3" s="199"/>
      <c r="BH3" s="199"/>
      <c r="BI3" s="199"/>
      <c r="BJ3" s="199"/>
      <c r="BK3" s="199"/>
      <c r="BL3" s="199"/>
      <c r="BM3" s="199"/>
      <c r="BN3" s="199"/>
      <c r="BO3" s="199"/>
      <c r="BP3" s="199"/>
      <c r="BQ3" s="199"/>
      <c r="BR3" s="199"/>
      <c r="BS3" s="199"/>
      <c r="BT3" s="199"/>
      <c r="BU3" s="199"/>
      <c r="BV3" s="199"/>
      <c r="BW3" s="199"/>
      <c r="BX3" s="199"/>
      <c r="BY3" s="199"/>
      <c r="BZ3" s="199"/>
      <c r="CA3" s="199"/>
      <c r="CB3" s="199"/>
      <c r="CC3" s="199"/>
      <c r="CD3" s="199"/>
      <c r="CE3" s="199"/>
      <c r="CF3" s="199"/>
      <c r="CG3" s="199"/>
      <c r="CH3" s="199"/>
      <c r="CI3" s="199"/>
      <c r="CJ3" s="199"/>
      <c r="CK3" s="199"/>
      <c r="CL3" s="199"/>
      <c r="CM3" s="199"/>
      <c r="CN3" s="199"/>
      <c r="CO3" s="199"/>
      <c r="CP3" s="199"/>
      <c r="CQ3" s="199"/>
      <c r="CR3" s="199"/>
      <c r="CS3" s="199"/>
      <c r="CT3" s="199"/>
      <c r="CU3" s="199"/>
      <c r="CV3" s="199"/>
      <c r="CW3" s="199"/>
      <c r="CX3" s="199"/>
      <c r="CY3" s="199"/>
      <c r="CZ3" s="199"/>
      <c r="DA3" s="199"/>
      <c r="DB3" s="199"/>
      <c r="DC3" s="199"/>
      <c r="DD3" s="199"/>
      <c r="DE3" s="199"/>
      <c r="DF3" s="199"/>
      <c r="DG3" s="199"/>
      <c r="DH3" s="199"/>
      <c r="DI3" s="199"/>
      <c r="DJ3" s="199"/>
      <c r="DK3" s="199"/>
      <c r="DL3" s="199"/>
      <c r="DM3" s="199"/>
      <c r="DN3" s="199"/>
      <c r="DO3" s="199"/>
      <c r="DP3" s="199"/>
      <c r="DQ3" s="199"/>
      <c r="DR3" s="199"/>
      <c r="DS3" s="199"/>
      <c r="DT3" s="199"/>
      <c r="DU3" s="199"/>
      <c r="DV3" s="199"/>
      <c r="DW3" s="199"/>
      <c r="DX3" s="199"/>
      <c r="DY3" s="199"/>
      <c r="DZ3" s="199"/>
      <c r="EA3" s="199"/>
      <c r="EB3" s="199"/>
      <c r="EC3" s="199"/>
      <c r="ED3" s="199"/>
      <c r="EE3" s="199"/>
      <c r="EF3" s="199"/>
      <c r="EG3" s="199"/>
      <c r="EH3" s="199"/>
      <c r="EI3" s="199"/>
      <c r="EJ3" s="199"/>
      <c r="EK3" s="199"/>
      <c r="EL3" s="199"/>
      <c r="EM3" s="199"/>
      <c r="EN3" s="199"/>
      <c r="EO3" s="199"/>
      <c r="EP3" s="199"/>
      <c r="EQ3" s="199"/>
      <c r="ER3" s="199"/>
      <c r="ES3" s="199"/>
      <c r="ET3" s="199"/>
      <c r="EU3" s="199"/>
      <c r="EV3" s="199"/>
      <c r="EW3" s="199"/>
      <c r="EX3" s="199"/>
      <c r="EY3" s="199"/>
      <c r="EZ3" s="199"/>
      <c r="FA3" s="199"/>
      <c r="FB3" s="199"/>
      <c r="FC3" s="199"/>
      <c r="FD3" s="199"/>
      <c r="FE3" s="199"/>
      <c r="FF3" s="199"/>
      <c r="FG3" s="199"/>
      <c r="FH3" s="199"/>
      <c r="FI3" s="199"/>
      <c r="FJ3" s="199"/>
      <c r="FK3" s="199"/>
      <c r="FL3" s="199"/>
      <c r="FM3" s="199"/>
      <c r="FN3" s="199"/>
      <c r="FO3" s="199"/>
      <c r="FP3" s="199"/>
      <c r="FQ3" s="199"/>
      <c r="FR3" s="199"/>
      <c r="FS3" s="199"/>
      <c r="FT3" s="199"/>
      <c r="FU3" s="199"/>
      <c r="FV3" s="199"/>
      <c r="FW3" s="199"/>
      <c r="FX3" s="199"/>
      <c r="FY3" s="199"/>
      <c r="FZ3" s="199"/>
      <c r="GA3" s="199"/>
      <c r="GB3" s="199"/>
      <c r="GC3" s="199"/>
      <c r="GD3" s="199"/>
      <c r="GE3" s="199"/>
      <c r="GF3" s="199"/>
      <c r="GG3" s="199"/>
    </row>
    <row r="4" spans="1:189" s="198" customFormat="1" ht="24.75">
      <c r="A4" s="381"/>
      <c r="B4" s="381"/>
      <c r="C4" s="381"/>
      <c r="D4" s="381"/>
      <c r="E4" s="535" t="s">
        <v>504</v>
      </c>
      <c r="F4" s="340">
        <f>F6-F3</f>
        <v>573</v>
      </c>
      <c r="G4" s="119">
        <v>40</v>
      </c>
      <c r="H4" s="256">
        <f>1023-H3</f>
        <v>273</v>
      </c>
      <c r="I4" s="330"/>
      <c r="J4" s="256"/>
      <c r="K4" s="199"/>
      <c r="L4" s="199"/>
      <c r="M4" s="199"/>
      <c r="N4" s="199"/>
      <c r="O4" s="199"/>
      <c r="P4" s="199"/>
      <c r="Q4" s="199"/>
      <c r="R4" s="199"/>
      <c r="S4" s="199"/>
      <c r="T4" s="199"/>
      <c r="U4" s="199"/>
      <c r="V4" s="199"/>
      <c r="W4" s="199"/>
      <c r="X4" s="199"/>
      <c r="Y4" s="199"/>
      <c r="Z4" s="199"/>
      <c r="AA4" s="199"/>
      <c r="AB4" s="199"/>
      <c r="AC4" s="199"/>
      <c r="AD4" s="199"/>
      <c r="AE4" s="199"/>
      <c r="AF4" s="199"/>
      <c r="AG4" s="199"/>
      <c r="AH4" s="199"/>
      <c r="AI4" s="199"/>
      <c r="AJ4" s="199"/>
      <c r="AK4" s="199"/>
      <c r="AL4" s="199"/>
      <c r="AM4" s="199"/>
      <c r="AN4" s="199"/>
      <c r="AO4" s="199"/>
      <c r="AP4" s="199"/>
      <c r="AQ4" s="199"/>
      <c r="AR4" s="199"/>
      <c r="AS4" s="199"/>
      <c r="AT4" s="199"/>
      <c r="AU4" s="199"/>
      <c r="AV4" s="199"/>
      <c r="AW4" s="199"/>
      <c r="AX4" s="199"/>
      <c r="AY4" s="199"/>
      <c r="AZ4" s="199"/>
      <c r="BA4" s="199"/>
      <c r="BB4" s="199"/>
      <c r="BC4" s="199"/>
      <c r="BD4" s="199"/>
      <c r="BE4" s="199"/>
      <c r="BF4" s="199"/>
      <c r="BG4" s="199"/>
      <c r="BH4" s="199"/>
      <c r="BI4" s="199"/>
      <c r="BJ4" s="199"/>
      <c r="BK4" s="199"/>
      <c r="BL4" s="199"/>
      <c r="BM4" s="199"/>
      <c r="BN4" s="199"/>
      <c r="BO4" s="199"/>
      <c r="BP4" s="199"/>
      <c r="BQ4" s="199"/>
      <c r="BR4" s="199"/>
      <c r="BS4" s="199"/>
      <c r="BT4" s="199"/>
      <c r="BU4" s="199"/>
      <c r="BV4" s="199"/>
      <c r="BW4" s="199"/>
      <c r="BX4" s="199"/>
      <c r="BY4" s="199"/>
      <c r="BZ4" s="199"/>
      <c r="CA4" s="199"/>
      <c r="CB4" s="199"/>
      <c r="CC4" s="199"/>
      <c r="CD4" s="199"/>
      <c r="CE4" s="199"/>
      <c r="CF4" s="199"/>
      <c r="CG4" s="199"/>
      <c r="CH4" s="199"/>
      <c r="CI4" s="199"/>
      <c r="CJ4" s="199"/>
      <c r="CK4" s="199"/>
      <c r="CL4" s="199"/>
      <c r="CM4" s="199"/>
      <c r="CN4" s="199"/>
      <c r="CO4" s="199"/>
      <c r="CP4" s="199"/>
      <c r="CQ4" s="199"/>
      <c r="CR4" s="199"/>
      <c r="CS4" s="199"/>
      <c r="CT4" s="199"/>
      <c r="CU4" s="199"/>
      <c r="CV4" s="199"/>
      <c r="CW4" s="199"/>
      <c r="CX4" s="199"/>
      <c r="CY4" s="199"/>
      <c r="CZ4" s="199"/>
      <c r="DA4" s="199"/>
      <c r="DB4" s="199"/>
      <c r="DC4" s="199"/>
      <c r="DD4" s="199"/>
      <c r="DE4" s="199"/>
      <c r="DF4" s="199"/>
      <c r="DG4" s="199"/>
      <c r="DH4" s="199"/>
      <c r="DI4" s="199"/>
      <c r="DJ4" s="199"/>
      <c r="DK4" s="199"/>
      <c r="DL4" s="199"/>
      <c r="DM4" s="199"/>
      <c r="DN4" s="199"/>
      <c r="DO4" s="199"/>
      <c r="DP4" s="199"/>
      <c r="DQ4" s="199"/>
      <c r="DR4" s="199"/>
      <c r="DS4" s="199"/>
      <c r="DT4" s="199"/>
      <c r="DU4" s="199"/>
      <c r="DV4" s="199"/>
      <c r="DW4" s="199"/>
      <c r="DX4" s="199"/>
      <c r="DY4" s="199"/>
      <c r="DZ4" s="199"/>
      <c r="EA4" s="199"/>
      <c r="EB4" s="199"/>
      <c r="EC4" s="199"/>
      <c r="ED4" s="199"/>
      <c r="EE4" s="199"/>
      <c r="EF4" s="199"/>
      <c r="EG4" s="199"/>
      <c r="EH4" s="199"/>
      <c r="EI4" s="199"/>
      <c r="EJ4" s="199"/>
      <c r="EK4" s="199"/>
      <c r="EL4" s="199"/>
      <c r="EM4" s="199"/>
      <c r="EN4" s="199"/>
      <c r="EO4" s="199"/>
      <c r="EP4" s="199"/>
      <c r="EQ4" s="199"/>
      <c r="ER4" s="199"/>
      <c r="ES4" s="199"/>
      <c r="ET4" s="199"/>
      <c r="EU4" s="199"/>
      <c r="EV4" s="199"/>
      <c r="EW4" s="199"/>
      <c r="EX4" s="199"/>
      <c r="EY4" s="199"/>
      <c r="EZ4" s="199"/>
      <c r="FA4" s="199"/>
      <c r="FB4" s="199"/>
      <c r="FC4" s="199"/>
      <c r="FD4" s="199"/>
      <c r="FE4" s="199"/>
      <c r="FF4" s="199"/>
      <c r="FG4" s="199"/>
      <c r="FH4" s="199"/>
      <c r="FI4" s="199"/>
      <c r="FJ4" s="199"/>
      <c r="FK4" s="199"/>
      <c r="FL4" s="199"/>
      <c r="FM4" s="199"/>
      <c r="FN4" s="199"/>
      <c r="FO4" s="199"/>
      <c r="FP4" s="199"/>
      <c r="FQ4" s="199"/>
      <c r="FR4" s="199"/>
      <c r="FS4" s="199"/>
      <c r="FT4" s="199"/>
      <c r="FU4" s="199"/>
      <c r="FV4" s="199"/>
      <c r="FW4" s="199"/>
      <c r="FX4" s="199"/>
      <c r="FY4" s="199"/>
      <c r="FZ4" s="199"/>
      <c r="GA4" s="199"/>
      <c r="GB4" s="199"/>
      <c r="GC4" s="199"/>
      <c r="GD4" s="199"/>
      <c r="GE4" s="199"/>
      <c r="GF4" s="199"/>
      <c r="GG4" s="199"/>
    </row>
    <row r="5" spans="1:189" s="198" customFormat="1" ht="24.75">
      <c r="A5" s="381"/>
      <c r="B5" s="381"/>
      <c r="C5" s="381"/>
      <c r="D5" s="381"/>
      <c r="E5" s="535" t="s">
        <v>506</v>
      </c>
      <c r="F5" s="340">
        <f>36*20*2</f>
        <v>1440</v>
      </c>
      <c r="G5" s="119"/>
      <c r="H5" s="256"/>
      <c r="I5" s="330"/>
      <c r="J5" s="256"/>
      <c r="K5" s="199"/>
      <c r="L5" s="199"/>
      <c r="M5" s="199"/>
      <c r="N5" s="199"/>
      <c r="O5" s="199"/>
      <c r="P5" s="199"/>
      <c r="Q5" s="199"/>
      <c r="R5" s="199"/>
      <c r="S5" s="199"/>
      <c r="T5" s="199"/>
      <c r="U5" s="199"/>
      <c r="V5" s="199"/>
      <c r="W5" s="199"/>
      <c r="X5" s="199"/>
      <c r="Y5" s="199"/>
      <c r="Z5" s="199"/>
      <c r="AA5" s="199"/>
      <c r="AB5" s="199"/>
      <c r="AC5" s="199"/>
      <c r="AD5" s="199"/>
      <c r="AE5" s="199"/>
      <c r="AF5" s="199"/>
      <c r="AG5" s="199"/>
      <c r="AH5" s="199"/>
      <c r="AI5" s="199"/>
      <c r="AJ5" s="199"/>
      <c r="AK5" s="199"/>
      <c r="AL5" s="199"/>
      <c r="AM5" s="199"/>
      <c r="AN5" s="199"/>
      <c r="AO5" s="199"/>
      <c r="AP5" s="199"/>
      <c r="AQ5" s="199"/>
      <c r="AR5" s="199"/>
      <c r="AS5" s="199"/>
      <c r="AT5" s="199"/>
      <c r="AU5" s="199"/>
      <c r="AV5" s="199"/>
      <c r="AW5" s="199"/>
      <c r="AX5" s="199"/>
      <c r="AY5" s="199"/>
      <c r="AZ5" s="199"/>
      <c r="BA5" s="199"/>
      <c r="BB5" s="199"/>
      <c r="BC5" s="199"/>
      <c r="BD5" s="199"/>
      <c r="BE5" s="199"/>
      <c r="BF5" s="199"/>
      <c r="BG5" s="199"/>
      <c r="BH5" s="199"/>
      <c r="BI5" s="199"/>
      <c r="BJ5" s="199"/>
      <c r="BK5" s="199"/>
      <c r="BL5" s="199"/>
      <c r="BM5" s="199"/>
      <c r="BN5" s="199"/>
      <c r="BO5" s="199"/>
      <c r="BP5" s="199"/>
      <c r="BQ5" s="199"/>
      <c r="BR5" s="199"/>
      <c r="BS5" s="199"/>
      <c r="BT5" s="199"/>
      <c r="BU5" s="199"/>
      <c r="BV5" s="199"/>
      <c r="BW5" s="199"/>
      <c r="BX5" s="199"/>
      <c r="BY5" s="199"/>
      <c r="BZ5" s="199"/>
      <c r="CA5" s="199"/>
      <c r="CB5" s="199"/>
      <c r="CC5" s="199"/>
      <c r="CD5" s="199"/>
      <c r="CE5" s="199"/>
      <c r="CF5" s="199"/>
      <c r="CG5" s="199"/>
      <c r="CH5" s="199"/>
      <c r="CI5" s="199"/>
      <c r="CJ5" s="199"/>
      <c r="CK5" s="199"/>
      <c r="CL5" s="199"/>
      <c r="CM5" s="199"/>
      <c r="CN5" s="199"/>
      <c r="CO5" s="199"/>
      <c r="CP5" s="199"/>
      <c r="CQ5" s="199"/>
      <c r="CR5" s="199"/>
      <c r="CS5" s="199"/>
      <c r="CT5" s="199"/>
      <c r="CU5" s="199"/>
      <c r="CV5" s="199"/>
      <c r="CW5" s="199"/>
      <c r="CX5" s="199"/>
      <c r="CY5" s="199"/>
      <c r="CZ5" s="199"/>
      <c r="DA5" s="199"/>
      <c r="DB5" s="199"/>
      <c r="DC5" s="199"/>
      <c r="DD5" s="199"/>
      <c r="DE5" s="199"/>
      <c r="DF5" s="199"/>
      <c r="DG5" s="199"/>
      <c r="DH5" s="199"/>
      <c r="DI5" s="199"/>
      <c r="DJ5" s="199"/>
      <c r="DK5" s="199"/>
      <c r="DL5" s="199"/>
      <c r="DM5" s="199"/>
      <c r="DN5" s="199"/>
      <c r="DO5" s="199"/>
      <c r="DP5" s="199"/>
      <c r="DQ5" s="199"/>
      <c r="DR5" s="199"/>
      <c r="DS5" s="199"/>
      <c r="DT5" s="199"/>
      <c r="DU5" s="199"/>
      <c r="DV5" s="199"/>
      <c r="DW5" s="199"/>
      <c r="DX5" s="199"/>
      <c r="DY5" s="199"/>
      <c r="DZ5" s="199"/>
      <c r="EA5" s="199"/>
      <c r="EB5" s="199"/>
      <c r="EC5" s="199"/>
      <c r="ED5" s="199"/>
      <c r="EE5" s="199"/>
      <c r="EF5" s="199"/>
      <c r="EG5" s="199"/>
      <c r="EH5" s="199"/>
      <c r="EI5" s="199"/>
      <c r="EJ5" s="199"/>
      <c r="EK5" s="199"/>
      <c r="EL5" s="199"/>
      <c r="EM5" s="199"/>
      <c r="EN5" s="199"/>
      <c r="EO5" s="199"/>
      <c r="EP5" s="199"/>
      <c r="EQ5" s="199"/>
      <c r="ER5" s="199"/>
      <c r="ES5" s="199"/>
      <c r="ET5" s="199"/>
      <c r="EU5" s="199"/>
      <c r="EV5" s="199"/>
      <c r="EW5" s="199"/>
      <c r="EX5" s="199"/>
      <c r="EY5" s="199"/>
      <c r="EZ5" s="199"/>
      <c r="FA5" s="199"/>
      <c r="FB5" s="199"/>
      <c r="FC5" s="199"/>
      <c r="FD5" s="199"/>
      <c r="FE5" s="199"/>
      <c r="FF5" s="199"/>
      <c r="FG5" s="199"/>
      <c r="FH5" s="199"/>
      <c r="FI5" s="199"/>
      <c r="FJ5" s="199"/>
      <c r="FK5" s="199"/>
      <c r="FL5" s="199"/>
      <c r="FM5" s="199"/>
      <c r="FN5" s="199"/>
      <c r="FO5" s="199"/>
      <c r="FP5" s="199"/>
      <c r="FQ5" s="199"/>
      <c r="FR5" s="199"/>
      <c r="FS5" s="199"/>
      <c r="FT5" s="199"/>
      <c r="FU5" s="199"/>
      <c r="FV5" s="199"/>
      <c r="FW5" s="199"/>
      <c r="FX5" s="199"/>
      <c r="FY5" s="199"/>
      <c r="FZ5" s="199"/>
      <c r="GA5" s="199"/>
      <c r="GB5" s="199"/>
      <c r="GC5" s="199"/>
      <c r="GD5" s="199"/>
      <c r="GE5" s="199"/>
      <c r="GF5" s="199"/>
      <c r="GG5" s="199"/>
    </row>
    <row r="6" spans="1:189" ht="19.5">
      <c r="A6" s="90"/>
      <c r="D6" s="534"/>
      <c r="E6" s="144" t="s">
        <v>507</v>
      </c>
      <c r="F6" s="534">
        <v>1023</v>
      </c>
    </row>
    <row r="7" spans="1:189" ht="19.5">
      <c r="A7" s="90"/>
      <c r="D7" s="534"/>
      <c r="E7" s="144" t="s">
        <v>508</v>
      </c>
      <c r="F7" s="536">
        <f>H4*2</f>
        <v>546</v>
      </c>
    </row>
    <row r="8" spans="1:189" ht="15" customHeight="1">
      <c r="A8" s="106"/>
      <c r="D8" s="62"/>
      <c r="E8" s="99"/>
      <c r="F8" s="144"/>
      <c r="G8" s="89"/>
      <c r="H8" s="255" t="s">
        <v>186</v>
      </c>
      <c r="I8" s="262" t="s">
        <v>187</v>
      </c>
      <c r="J8" s="255" t="s">
        <v>188</v>
      </c>
    </row>
    <row r="9" spans="1:189" ht="24.75" customHeight="1">
      <c r="A9" s="1" t="s">
        <v>20</v>
      </c>
      <c r="B9" s="33"/>
      <c r="C9" s="52" t="s">
        <v>98</v>
      </c>
      <c r="D9" s="70" t="s">
        <v>99</v>
      </c>
      <c r="E9" s="241" t="s">
        <v>100</v>
      </c>
      <c r="F9" s="241" t="s">
        <v>114</v>
      </c>
    </row>
    <row r="10" spans="1:189" ht="25.5">
      <c r="A10" s="29" t="s">
        <v>22</v>
      </c>
      <c r="B10" s="27" t="s">
        <v>21</v>
      </c>
      <c r="C10" s="34"/>
      <c r="D10" s="210"/>
      <c r="E10" s="236"/>
      <c r="F10" s="204"/>
    </row>
    <row r="11" spans="1:189" ht="15.75">
      <c r="A11" s="22"/>
      <c r="B11" s="31"/>
      <c r="C11" s="32" t="s">
        <v>19</v>
      </c>
      <c r="D11" s="237">
        <v>1</v>
      </c>
      <c r="E11" s="238" t="e">
        <f>J11</f>
        <v>#REF!</v>
      </c>
      <c r="F11" s="208" t="e">
        <f>+D11*E11</f>
        <v>#REF!</v>
      </c>
      <c r="H11" s="255" t="e">
        <f>10%*F188</f>
        <v>#REF!</v>
      </c>
      <c r="I11" s="262">
        <v>1</v>
      </c>
      <c r="J11" s="255" t="e">
        <f>H11*I11</f>
        <v>#REF!</v>
      </c>
    </row>
    <row r="12" spans="1:189" ht="15.75">
      <c r="A12" s="29" t="s">
        <v>23</v>
      </c>
      <c r="B12" s="6" t="s">
        <v>24</v>
      </c>
      <c r="C12" s="7"/>
      <c r="D12" s="74"/>
      <c r="E12" s="65"/>
      <c r="F12" s="65"/>
    </row>
    <row r="13" spans="1:189" ht="15.75">
      <c r="A13" s="22"/>
      <c r="B13" s="31"/>
      <c r="C13" s="32" t="s">
        <v>1</v>
      </c>
      <c r="D13" s="73"/>
      <c r="E13" s="64" t="e">
        <f>#REF!</f>
        <v>#REF!</v>
      </c>
      <c r="F13" s="64" t="e">
        <f>+D13*E13</f>
        <v>#REF!</v>
      </c>
      <c r="H13" s="255">
        <f>F6</f>
        <v>1023</v>
      </c>
      <c r="I13" s="262">
        <v>1.05</v>
      </c>
      <c r="J13" s="255">
        <f>H13*I13</f>
        <v>1074.1500000000001</v>
      </c>
    </row>
    <row r="14" spans="1:189" ht="26.25" customHeight="1">
      <c r="A14" s="110"/>
      <c r="B14" s="27"/>
      <c r="C14" s="95"/>
      <c r="D14" s="92"/>
      <c r="E14" s="93" t="s">
        <v>108</v>
      </c>
      <c r="F14" s="94" t="e">
        <f>SUM(F10:F13)</f>
        <v>#REF!</v>
      </c>
    </row>
    <row r="15" spans="1:189">
      <c r="D15" s="75"/>
      <c r="E15" s="62"/>
      <c r="F15" s="62"/>
    </row>
    <row r="16" spans="1:189" ht="19.5">
      <c r="A16" s="1" t="s">
        <v>102</v>
      </c>
      <c r="B16" s="3"/>
      <c r="C16" s="52" t="s">
        <v>98</v>
      </c>
      <c r="D16" s="86" t="s">
        <v>99</v>
      </c>
      <c r="E16" s="241" t="s">
        <v>100</v>
      </c>
      <c r="F16" s="241" t="s">
        <v>114</v>
      </c>
    </row>
    <row r="17" spans="1:189" ht="15.75">
      <c r="A17" s="4" t="s">
        <v>0</v>
      </c>
      <c r="B17" s="6" t="s">
        <v>26</v>
      </c>
      <c r="C17" s="160"/>
      <c r="D17" s="213"/>
      <c r="E17" s="63"/>
      <c r="F17" s="63"/>
    </row>
    <row r="18" spans="1:189" ht="15.75">
      <c r="A18" s="22"/>
      <c r="B18" s="31"/>
      <c r="C18" s="294" t="s">
        <v>27</v>
      </c>
      <c r="D18" s="237"/>
      <c r="E18" s="107" t="e">
        <f>#REF!</f>
        <v>#REF!</v>
      </c>
      <c r="F18" s="64" t="e">
        <f>+D18*E18</f>
        <v>#REF!</v>
      </c>
    </row>
    <row r="19" spans="1:189" s="225" customFormat="1" ht="21.75" customHeight="1">
      <c r="A19" s="4" t="s">
        <v>201</v>
      </c>
      <c r="B19" s="6" t="s">
        <v>202</v>
      </c>
      <c r="C19" s="160"/>
      <c r="D19" s="213"/>
      <c r="E19" s="63"/>
      <c r="F19" s="63"/>
      <c r="H19" s="259"/>
      <c r="I19" s="265"/>
      <c r="J19" s="259"/>
      <c r="K19" s="226"/>
      <c r="L19" s="226"/>
      <c r="M19" s="226"/>
      <c r="N19" s="226"/>
      <c r="O19" s="226"/>
      <c r="P19" s="226"/>
      <c r="Q19" s="226"/>
      <c r="R19" s="226"/>
      <c r="S19" s="226"/>
      <c r="T19" s="226"/>
      <c r="U19" s="226"/>
      <c r="V19" s="226"/>
      <c r="W19" s="226"/>
      <c r="X19" s="226"/>
      <c r="Y19" s="226"/>
      <c r="Z19" s="226"/>
      <c r="AA19" s="226"/>
      <c r="AB19" s="226"/>
      <c r="AC19" s="226"/>
      <c r="AD19" s="226"/>
      <c r="AE19" s="226"/>
      <c r="AF19" s="226"/>
      <c r="AG19" s="226"/>
      <c r="AH19" s="226"/>
      <c r="AI19" s="226"/>
      <c r="AJ19" s="226"/>
      <c r="AK19" s="226"/>
      <c r="AL19" s="226"/>
      <c r="AM19" s="226"/>
      <c r="AN19" s="226"/>
      <c r="AO19" s="226"/>
      <c r="AP19" s="226"/>
      <c r="AQ19" s="226"/>
      <c r="AR19" s="226"/>
      <c r="AS19" s="226"/>
      <c r="AT19" s="226"/>
      <c r="AU19" s="226"/>
      <c r="AV19" s="226"/>
      <c r="AW19" s="226"/>
      <c r="AX19" s="226"/>
      <c r="AY19" s="226"/>
      <c r="AZ19" s="226"/>
      <c r="BA19" s="226"/>
      <c r="BB19" s="226"/>
      <c r="BC19" s="226"/>
      <c r="BD19" s="226"/>
      <c r="BE19" s="226"/>
      <c r="BF19" s="226"/>
      <c r="BG19" s="226"/>
      <c r="BH19" s="226"/>
      <c r="BI19" s="226"/>
      <c r="BJ19" s="226"/>
      <c r="BK19" s="226"/>
      <c r="BL19" s="226"/>
      <c r="BM19" s="226"/>
      <c r="BN19" s="226"/>
      <c r="BO19" s="226"/>
      <c r="BP19" s="226"/>
      <c r="BQ19" s="226"/>
      <c r="BR19" s="226"/>
      <c r="BS19" s="226"/>
      <c r="BT19" s="226"/>
      <c r="BU19" s="226"/>
      <c r="BV19" s="226"/>
      <c r="BW19" s="226"/>
      <c r="BX19" s="226"/>
      <c r="BY19" s="226"/>
      <c r="BZ19" s="226"/>
      <c r="CA19" s="226"/>
      <c r="CB19" s="226"/>
      <c r="CC19" s="226"/>
      <c r="CD19" s="226"/>
      <c r="CE19" s="226"/>
      <c r="CF19" s="226"/>
      <c r="CG19" s="226"/>
      <c r="CH19" s="226"/>
      <c r="CI19" s="226"/>
      <c r="CJ19" s="226"/>
      <c r="CK19" s="226"/>
      <c r="CL19" s="226"/>
      <c r="CM19" s="226"/>
      <c r="CN19" s="226"/>
      <c r="CO19" s="226"/>
      <c r="CP19" s="226"/>
      <c r="CQ19" s="226"/>
      <c r="CR19" s="226"/>
      <c r="CS19" s="226"/>
      <c r="CT19" s="226"/>
      <c r="CU19" s="226"/>
      <c r="CV19" s="226"/>
      <c r="CW19" s="226"/>
      <c r="CX19" s="226"/>
      <c r="CY19" s="226"/>
      <c r="CZ19" s="226"/>
      <c r="DA19" s="226"/>
      <c r="DB19" s="226"/>
      <c r="DC19" s="226"/>
      <c r="DD19" s="226"/>
      <c r="DE19" s="226"/>
      <c r="DF19" s="226"/>
      <c r="DG19" s="226"/>
      <c r="DH19" s="226"/>
      <c r="DI19" s="226"/>
      <c r="DJ19" s="226"/>
      <c r="DK19" s="226"/>
      <c r="DL19" s="226"/>
      <c r="DM19" s="226"/>
      <c r="DN19" s="226"/>
      <c r="DO19" s="226"/>
      <c r="DP19" s="226"/>
      <c r="DQ19" s="226"/>
      <c r="DR19" s="226"/>
      <c r="DS19" s="226"/>
      <c r="DT19" s="226"/>
      <c r="DU19" s="226"/>
      <c r="DV19" s="226"/>
      <c r="DW19" s="226"/>
      <c r="DX19" s="226"/>
      <c r="DY19" s="226"/>
      <c r="DZ19" s="226"/>
      <c r="EA19" s="226"/>
      <c r="EB19" s="226"/>
      <c r="EC19" s="226"/>
      <c r="ED19" s="226"/>
      <c r="EE19" s="226"/>
      <c r="EF19" s="226"/>
      <c r="EG19" s="226"/>
      <c r="EH19" s="226"/>
      <c r="EI19" s="226"/>
      <c r="EJ19" s="226"/>
      <c r="EK19" s="226"/>
      <c r="EL19" s="226"/>
      <c r="EM19" s="226"/>
      <c r="EN19" s="226"/>
      <c r="EO19" s="226"/>
      <c r="EP19" s="226"/>
      <c r="EQ19" s="226"/>
      <c r="ER19" s="226"/>
      <c r="ES19" s="226"/>
      <c r="ET19" s="226"/>
      <c r="EU19" s="226"/>
      <c r="EV19" s="226"/>
      <c r="EW19" s="226"/>
      <c r="EX19" s="226"/>
      <c r="EY19" s="226"/>
      <c r="EZ19" s="226"/>
      <c r="FA19" s="226"/>
      <c r="FB19" s="226"/>
      <c r="FC19" s="226"/>
      <c r="FD19" s="226"/>
      <c r="FE19" s="226"/>
      <c r="FF19" s="226"/>
      <c r="FG19" s="226"/>
      <c r="FH19" s="226"/>
      <c r="FI19" s="226"/>
      <c r="FJ19" s="226"/>
      <c r="FK19" s="226"/>
      <c r="FL19" s="226"/>
      <c r="FM19" s="226"/>
      <c r="FN19" s="226"/>
      <c r="FO19" s="226"/>
      <c r="FP19" s="226"/>
      <c r="FQ19" s="226"/>
      <c r="FR19" s="226"/>
      <c r="FS19" s="226"/>
      <c r="FT19" s="226"/>
      <c r="FU19" s="226"/>
      <c r="FV19" s="226"/>
      <c r="FW19" s="226"/>
      <c r="FX19" s="226"/>
      <c r="FY19" s="226"/>
      <c r="FZ19" s="226"/>
      <c r="GA19" s="226"/>
      <c r="GB19" s="226"/>
      <c r="GC19" s="226"/>
      <c r="GD19" s="226"/>
      <c r="GE19" s="226"/>
      <c r="GF19" s="226"/>
      <c r="GG19" s="226"/>
    </row>
    <row r="20" spans="1:189" s="225" customFormat="1" ht="21.75" customHeight="1">
      <c r="A20" s="22"/>
      <c r="B20" s="31"/>
      <c r="C20" s="294" t="s">
        <v>27</v>
      </c>
      <c r="D20" s="237">
        <v>0</v>
      </c>
      <c r="E20" s="107">
        <v>316210</v>
      </c>
      <c r="F20" s="64">
        <f>+D20*E20</f>
        <v>0</v>
      </c>
      <c r="H20" s="259">
        <f>E20*1.1</f>
        <v>347831</v>
      </c>
      <c r="I20" s="265">
        <v>1.05</v>
      </c>
      <c r="J20" s="259">
        <f>H20*I20</f>
        <v>365222.55</v>
      </c>
      <c r="K20" s="226"/>
      <c r="L20" s="226"/>
      <c r="M20" s="226"/>
      <c r="N20" s="226"/>
      <c r="O20" s="226"/>
      <c r="P20" s="226"/>
      <c r="Q20" s="226"/>
      <c r="R20" s="226"/>
      <c r="S20" s="226"/>
      <c r="T20" s="226"/>
      <c r="U20" s="226"/>
      <c r="V20" s="226"/>
      <c r="W20" s="226"/>
      <c r="X20" s="226"/>
      <c r="Y20" s="226"/>
      <c r="Z20" s="226"/>
      <c r="AA20" s="226"/>
      <c r="AB20" s="226"/>
      <c r="AC20" s="226"/>
      <c r="AD20" s="226"/>
      <c r="AE20" s="226"/>
      <c r="AF20" s="226"/>
      <c r="AG20" s="226"/>
      <c r="AH20" s="226"/>
      <c r="AI20" s="226"/>
      <c r="AJ20" s="226"/>
      <c r="AK20" s="226"/>
      <c r="AL20" s="226"/>
      <c r="AM20" s="226"/>
      <c r="AN20" s="226"/>
      <c r="AO20" s="226"/>
      <c r="AP20" s="226"/>
      <c r="AQ20" s="226"/>
      <c r="AR20" s="226"/>
      <c r="AS20" s="226"/>
      <c r="AT20" s="226"/>
      <c r="AU20" s="226"/>
      <c r="AV20" s="226"/>
      <c r="AW20" s="226"/>
      <c r="AX20" s="226"/>
      <c r="AY20" s="226"/>
      <c r="AZ20" s="226"/>
      <c r="BA20" s="226"/>
      <c r="BB20" s="226"/>
      <c r="BC20" s="226"/>
      <c r="BD20" s="226"/>
      <c r="BE20" s="226"/>
      <c r="BF20" s="226"/>
      <c r="BG20" s="226"/>
      <c r="BH20" s="226"/>
      <c r="BI20" s="226"/>
      <c r="BJ20" s="226"/>
      <c r="BK20" s="226"/>
      <c r="BL20" s="226"/>
      <c r="BM20" s="226"/>
      <c r="BN20" s="226"/>
      <c r="BO20" s="226"/>
      <c r="BP20" s="226"/>
      <c r="BQ20" s="226"/>
      <c r="BR20" s="226"/>
      <c r="BS20" s="226"/>
      <c r="BT20" s="226"/>
      <c r="BU20" s="226"/>
      <c r="BV20" s="226"/>
      <c r="BW20" s="226"/>
      <c r="BX20" s="226"/>
      <c r="BY20" s="226"/>
      <c r="BZ20" s="226"/>
      <c r="CA20" s="226"/>
      <c r="CB20" s="226"/>
      <c r="CC20" s="226"/>
      <c r="CD20" s="226"/>
      <c r="CE20" s="226"/>
      <c r="CF20" s="226"/>
      <c r="CG20" s="226"/>
      <c r="CH20" s="226"/>
      <c r="CI20" s="226"/>
      <c r="CJ20" s="226"/>
      <c r="CK20" s="226"/>
      <c r="CL20" s="226"/>
      <c r="CM20" s="226"/>
      <c r="CN20" s="226"/>
      <c r="CO20" s="226"/>
      <c r="CP20" s="226"/>
      <c r="CQ20" s="226"/>
      <c r="CR20" s="226"/>
      <c r="CS20" s="226"/>
      <c r="CT20" s="226"/>
      <c r="CU20" s="226"/>
      <c r="CV20" s="226"/>
      <c r="CW20" s="226"/>
      <c r="CX20" s="226"/>
      <c r="CY20" s="226"/>
      <c r="CZ20" s="226"/>
      <c r="DA20" s="226"/>
      <c r="DB20" s="226"/>
      <c r="DC20" s="226"/>
      <c r="DD20" s="226"/>
      <c r="DE20" s="226"/>
      <c r="DF20" s="226"/>
      <c r="DG20" s="226"/>
      <c r="DH20" s="226"/>
      <c r="DI20" s="226"/>
      <c r="DJ20" s="226"/>
      <c r="DK20" s="226"/>
      <c r="DL20" s="226"/>
      <c r="DM20" s="226"/>
      <c r="DN20" s="226"/>
      <c r="DO20" s="226"/>
      <c r="DP20" s="226"/>
      <c r="DQ20" s="226"/>
      <c r="DR20" s="226"/>
      <c r="DS20" s="226"/>
      <c r="DT20" s="226"/>
      <c r="DU20" s="226"/>
      <c r="DV20" s="226"/>
      <c r="DW20" s="226"/>
      <c r="DX20" s="226"/>
      <c r="DY20" s="226"/>
      <c r="DZ20" s="226"/>
      <c r="EA20" s="226"/>
      <c r="EB20" s="226"/>
      <c r="EC20" s="226"/>
      <c r="ED20" s="226"/>
      <c r="EE20" s="226"/>
      <c r="EF20" s="226"/>
      <c r="EG20" s="226"/>
      <c r="EH20" s="226"/>
      <c r="EI20" s="226"/>
      <c r="EJ20" s="226"/>
      <c r="EK20" s="226"/>
      <c r="EL20" s="226"/>
      <c r="EM20" s="226"/>
      <c r="EN20" s="226"/>
      <c r="EO20" s="226"/>
      <c r="EP20" s="226"/>
      <c r="EQ20" s="226"/>
      <c r="ER20" s="226"/>
      <c r="ES20" s="226"/>
      <c r="ET20" s="226"/>
      <c r="EU20" s="226"/>
      <c r="EV20" s="226"/>
      <c r="EW20" s="226"/>
      <c r="EX20" s="226"/>
      <c r="EY20" s="226"/>
      <c r="EZ20" s="226"/>
      <c r="FA20" s="226"/>
      <c r="FB20" s="226"/>
      <c r="FC20" s="226"/>
      <c r="FD20" s="226"/>
      <c r="FE20" s="226"/>
      <c r="FF20" s="226"/>
      <c r="FG20" s="226"/>
      <c r="FH20" s="226"/>
      <c r="FI20" s="226"/>
      <c r="FJ20" s="226"/>
      <c r="FK20" s="226"/>
      <c r="FL20" s="226"/>
      <c r="FM20" s="226"/>
      <c r="FN20" s="226"/>
      <c r="FO20" s="226"/>
      <c r="FP20" s="226"/>
      <c r="FQ20" s="226"/>
      <c r="FR20" s="226"/>
      <c r="FS20" s="226"/>
      <c r="FT20" s="226"/>
      <c r="FU20" s="226"/>
      <c r="FV20" s="226"/>
      <c r="FW20" s="226"/>
      <c r="FX20" s="226"/>
      <c r="FY20" s="226"/>
      <c r="FZ20" s="226"/>
      <c r="GA20" s="226"/>
      <c r="GB20" s="226"/>
      <c r="GC20" s="226"/>
      <c r="GD20" s="226"/>
      <c r="GE20" s="226"/>
      <c r="GF20" s="226"/>
      <c r="GG20" s="226"/>
    </row>
    <row r="21" spans="1:189" ht="21.75" customHeight="1">
      <c r="A21" s="17">
        <v>103</v>
      </c>
      <c r="B21" s="6" t="s">
        <v>28</v>
      </c>
      <c r="C21" s="160"/>
      <c r="D21" s="213"/>
      <c r="E21" s="109"/>
      <c r="F21" s="65"/>
    </row>
    <row r="22" spans="1:189" ht="21.75" customHeight="1">
      <c r="A22" s="17" t="s">
        <v>29</v>
      </c>
      <c r="B22" s="35" t="s">
        <v>30</v>
      </c>
      <c r="C22" s="160" t="s">
        <v>27</v>
      </c>
      <c r="D22" s="213">
        <v>30</v>
      </c>
      <c r="E22" s="108" t="e">
        <f>#REF!</f>
        <v>#REF!</v>
      </c>
      <c r="F22" s="65" t="e">
        <f>+D22*E22</f>
        <v>#REF!</v>
      </c>
    </row>
    <row r="23" spans="1:189" ht="21.75" customHeight="1">
      <c r="A23" s="17" t="s">
        <v>31</v>
      </c>
      <c r="B23" s="35" t="s">
        <v>32</v>
      </c>
      <c r="C23" s="160" t="s">
        <v>27</v>
      </c>
      <c r="D23" s="213">
        <v>35</v>
      </c>
      <c r="E23" s="108" t="e">
        <f>#REF!</f>
        <v>#REF!</v>
      </c>
      <c r="F23" s="65" t="e">
        <f t="shared" ref="F23:F30" si="0">+D23*E23</f>
        <v>#REF!</v>
      </c>
    </row>
    <row r="24" spans="1:189" ht="21.75" customHeight="1">
      <c r="A24" s="36" t="s">
        <v>227</v>
      </c>
      <c r="B24" s="9" t="s">
        <v>33</v>
      </c>
      <c r="C24" s="294" t="s">
        <v>27</v>
      </c>
      <c r="D24" s="237">
        <v>10</v>
      </c>
      <c r="E24" s="108" t="e">
        <f>#REF!</f>
        <v>#REF!</v>
      </c>
      <c r="F24" s="64" t="e">
        <f t="shared" si="0"/>
        <v>#REF!</v>
      </c>
    </row>
    <row r="25" spans="1:189" ht="18.75" customHeight="1">
      <c r="A25" s="17">
        <v>104</v>
      </c>
      <c r="B25" s="6" t="s">
        <v>34</v>
      </c>
      <c r="C25" s="160"/>
      <c r="D25" s="213"/>
      <c r="E25" s="109"/>
      <c r="F25" s="65"/>
    </row>
    <row r="26" spans="1:189" ht="16.5" customHeight="1">
      <c r="A26" s="36"/>
      <c r="B26" s="31"/>
      <c r="C26" s="294" t="s">
        <v>1</v>
      </c>
      <c r="D26" s="237">
        <v>250</v>
      </c>
      <c r="E26" s="107" t="e">
        <f>#REF!</f>
        <v>#REF!</v>
      </c>
      <c r="F26" s="64" t="e">
        <f>+D26*E26</f>
        <v>#REF!</v>
      </c>
    </row>
    <row r="27" spans="1:189" ht="21.75" customHeight="1">
      <c r="A27" s="17">
        <v>105</v>
      </c>
      <c r="B27" s="6" t="s">
        <v>35</v>
      </c>
      <c r="C27" s="160"/>
      <c r="D27" s="213"/>
      <c r="E27" s="109"/>
      <c r="F27" s="65"/>
    </row>
    <row r="28" spans="1:189" ht="16.5" customHeight="1">
      <c r="A28" s="36"/>
      <c r="B28" s="31"/>
      <c r="C28" s="294" t="s">
        <v>25</v>
      </c>
      <c r="D28" s="237">
        <v>0</v>
      </c>
      <c r="E28" s="107">
        <v>50000000</v>
      </c>
      <c r="F28" s="64">
        <f t="shared" si="0"/>
        <v>0</v>
      </c>
    </row>
    <row r="29" spans="1:189" ht="21.75" customHeight="1">
      <c r="A29" s="17">
        <v>106</v>
      </c>
      <c r="B29" s="6" t="s">
        <v>36</v>
      </c>
      <c r="C29" s="160"/>
      <c r="D29" s="213"/>
      <c r="E29" s="109"/>
      <c r="F29" s="65"/>
    </row>
    <row r="30" spans="1:189" ht="15" customHeight="1">
      <c r="A30" s="36"/>
      <c r="B30" s="31"/>
      <c r="C30" s="294" t="s">
        <v>25</v>
      </c>
      <c r="D30" s="237">
        <v>1</v>
      </c>
      <c r="E30" s="107">
        <v>8250000</v>
      </c>
      <c r="F30" s="64">
        <f t="shared" si="0"/>
        <v>8250000</v>
      </c>
    </row>
    <row r="31" spans="1:189" ht="28.5" customHeight="1">
      <c r="C31" s="95"/>
      <c r="D31" s="92"/>
      <c r="E31" s="93" t="s">
        <v>106</v>
      </c>
      <c r="F31" s="94" t="e">
        <f>SUM(F17:F30)</f>
        <v>#REF!</v>
      </c>
    </row>
    <row r="33" spans="1:189" ht="27" customHeight="1">
      <c r="C33" s="95"/>
      <c r="D33" s="92"/>
      <c r="E33" s="93" t="s">
        <v>107</v>
      </c>
      <c r="F33" s="94" t="e">
        <f>+F14+F31</f>
        <v>#REF!</v>
      </c>
    </row>
    <row r="34" spans="1:189" s="114" customFormat="1" ht="27" customHeight="1">
      <c r="C34" s="115"/>
      <c r="D34" s="116"/>
      <c r="E34" s="117"/>
      <c r="F34" s="118"/>
      <c r="H34" s="257"/>
      <c r="I34" s="263"/>
      <c r="J34" s="257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29"/>
      <c r="W34" s="129"/>
      <c r="X34" s="129"/>
      <c r="Y34" s="129"/>
      <c r="Z34" s="129"/>
      <c r="AA34" s="129"/>
      <c r="AB34" s="129"/>
      <c r="AC34" s="129"/>
      <c r="AD34" s="129"/>
      <c r="AE34" s="129"/>
      <c r="AF34" s="129"/>
      <c r="AG34" s="129"/>
      <c r="AH34" s="129"/>
      <c r="AI34" s="129"/>
      <c r="AJ34" s="129"/>
      <c r="AK34" s="129"/>
      <c r="AL34" s="129"/>
      <c r="AM34" s="129"/>
      <c r="AN34" s="129"/>
      <c r="AO34" s="129"/>
      <c r="AP34" s="129"/>
      <c r="AQ34" s="129"/>
      <c r="AR34" s="129"/>
      <c r="AS34" s="129"/>
      <c r="AT34" s="129"/>
      <c r="AU34" s="129"/>
      <c r="AV34" s="129"/>
      <c r="AW34" s="129"/>
      <c r="AX34" s="129"/>
      <c r="AY34" s="129"/>
      <c r="AZ34" s="129"/>
      <c r="BA34" s="129"/>
      <c r="BB34" s="129"/>
      <c r="BC34" s="129"/>
      <c r="BD34" s="129"/>
      <c r="BE34" s="129"/>
      <c r="BF34" s="129"/>
      <c r="BG34" s="129"/>
      <c r="BH34" s="129"/>
      <c r="BI34" s="129"/>
      <c r="BJ34" s="129"/>
      <c r="BK34" s="129"/>
      <c r="BL34" s="129"/>
      <c r="BM34" s="129"/>
      <c r="BN34" s="129"/>
      <c r="BO34" s="129"/>
      <c r="BP34" s="129"/>
      <c r="BQ34" s="129"/>
      <c r="BR34" s="129"/>
      <c r="BS34" s="129"/>
      <c r="BT34" s="129"/>
      <c r="BU34" s="129"/>
      <c r="BV34" s="129"/>
      <c r="BW34" s="129"/>
      <c r="BX34" s="129"/>
      <c r="BY34" s="129"/>
      <c r="BZ34" s="129"/>
      <c r="CA34" s="129"/>
      <c r="CB34" s="129"/>
      <c r="CC34" s="129"/>
      <c r="CD34" s="129"/>
      <c r="CE34" s="129"/>
      <c r="CF34" s="129"/>
      <c r="CG34" s="129"/>
      <c r="CH34" s="129"/>
      <c r="CI34" s="129"/>
      <c r="CJ34" s="129"/>
      <c r="CK34" s="129"/>
      <c r="CL34" s="129"/>
      <c r="CM34" s="129"/>
      <c r="CN34" s="129"/>
      <c r="CO34" s="129"/>
      <c r="CP34" s="129"/>
      <c r="CQ34" s="129"/>
      <c r="CR34" s="129"/>
      <c r="CS34" s="129"/>
      <c r="CT34" s="129"/>
      <c r="CU34" s="129"/>
      <c r="CV34" s="129"/>
      <c r="CW34" s="129"/>
      <c r="CX34" s="129"/>
      <c r="CY34" s="129"/>
      <c r="CZ34" s="129"/>
      <c r="DA34" s="129"/>
      <c r="DB34" s="129"/>
      <c r="DC34" s="129"/>
      <c r="DD34" s="129"/>
      <c r="DE34" s="129"/>
      <c r="DF34" s="129"/>
      <c r="DG34" s="129"/>
      <c r="DH34" s="129"/>
      <c r="DI34" s="129"/>
      <c r="DJ34" s="129"/>
      <c r="DK34" s="129"/>
      <c r="DL34" s="129"/>
      <c r="DM34" s="129"/>
      <c r="DN34" s="129"/>
      <c r="DO34" s="129"/>
      <c r="DP34" s="129"/>
      <c r="DQ34" s="129"/>
      <c r="DR34" s="129"/>
      <c r="DS34" s="129"/>
      <c r="DT34" s="129"/>
      <c r="DU34" s="129"/>
      <c r="DV34" s="129"/>
      <c r="DW34" s="129"/>
      <c r="DX34" s="129"/>
      <c r="DY34" s="129"/>
      <c r="DZ34" s="129"/>
      <c r="EA34" s="129"/>
      <c r="EB34" s="129"/>
      <c r="EC34" s="129"/>
      <c r="ED34" s="129"/>
      <c r="EE34" s="129"/>
      <c r="EF34" s="129"/>
      <c r="EG34" s="129"/>
      <c r="EH34" s="129"/>
      <c r="EI34" s="129"/>
      <c r="EJ34" s="129"/>
      <c r="EK34" s="129"/>
      <c r="EL34" s="129"/>
      <c r="EM34" s="129"/>
      <c r="EN34" s="129"/>
      <c r="EO34" s="129"/>
      <c r="EP34" s="129"/>
      <c r="EQ34" s="129"/>
      <c r="ER34" s="129"/>
      <c r="ES34" s="129"/>
      <c r="ET34" s="129"/>
      <c r="EU34" s="129"/>
      <c r="EV34" s="129"/>
      <c r="EW34" s="129"/>
      <c r="EX34" s="129"/>
      <c r="EY34" s="129"/>
      <c r="EZ34" s="129"/>
      <c r="FA34" s="129"/>
      <c r="FB34" s="129"/>
      <c r="FC34" s="129"/>
      <c r="FD34" s="129"/>
      <c r="FE34" s="129"/>
      <c r="FF34" s="129"/>
      <c r="FG34" s="129"/>
      <c r="FH34" s="129"/>
      <c r="FI34" s="129"/>
      <c r="FJ34" s="129"/>
      <c r="FK34" s="129"/>
      <c r="FL34" s="129"/>
      <c r="FM34" s="129"/>
      <c r="FN34" s="129"/>
      <c r="FO34" s="129"/>
      <c r="FP34" s="129"/>
      <c r="FQ34" s="129"/>
      <c r="FR34" s="129"/>
      <c r="FS34" s="129"/>
      <c r="FT34" s="129"/>
      <c r="FU34" s="129"/>
      <c r="FV34" s="129"/>
      <c r="FW34" s="129"/>
      <c r="FX34" s="129"/>
      <c r="FY34" s="129"/>
      <c r="FZ34" s="129"/>
      <c r="GA34" s="129"/>
      <c r="GB34" s="129"/>
      <c r="GC34" s="129"/>
      <c r="GD34" s="129"/>
      <c r="GE34" s="129"/>
      <c r="GF34" s="129"/>
      <c r="GG34" s="129"/>
    </row>
    <row r="35" spans="1:189" ht="8.25" customHeight="1">
      <c r="A35" s="10"/>
      <c r="B35" s="12"/>
      <c r="C35" s="51"/>
      <c r="D35" s="76"/>
      <c r="E35" s="66"/>
      <c r="F35" s="66"/>
    </row>
    <row r="36" spans="1:189" ht="23.25" customHeight="1">
      <c r="A36" s="1" t="s">
        <v>41</v>
      </c>
      <c r="B36" s="3"/>
      <c r="C36" s="52" t="s">
        <v>98</v>
      </c>
      <c r="D36" s="86" t="s">
        <v>99</v>
      </c>
      <c r="E36" s="86" t="s">
        <v>100</v>
      </c>
      <c r="F36" s="86" t="s">
        <v>114</v>
      </c>
    </row>
    <row r="37" spans="1:189" ht="15.95" customHeight="1">
      <c r="A37" s="4" t="s">
        <v>2</v>
      </c>
      <c r="B37" s="14" t="s">
        <v>38</v>
      </c>
      <c r="C37" s="7"/>
      <c r="D37" s="213"/>
      <c r="E37" s="161"/>
      <c r="F37" s="65"/>
    </row>
    <row r="38" spans="1:189" ht="15.95" customHeight="1">
      <c r="A38" s="8"/>
      <c r="B38" s="9"/>
      <c r="C38" s="53" t="s">
        <v>19</v>
      </c>
      <c r="D38" s="150">
        <v>1</v>
      </c>
      <c r="E38" s="309">
        <v>15672373</v>
      </c>
      <c r="F38" s="64">
        <f>+D38*E38</f>
        <v>15672373</v>
      </c>
    </row>
    <row r="39" spans="1:189" ht="15.95" customHeight="1">
      <c r="A39" s="4" t="s">
        <v>3</v>
      </c>
      <c r="B39" s="14" t="s">
        <v>37</v>
      </c>
      <c r="C39" s="54"/>
      <c r="D39" s="310"/>
      <c r="E39" s="161"/>
      <c r="F39" s="65"/>
    </row>
    <row r="40" spans="1:189" ht="15.95" customHeight="1">
      <c r="A40" s="22" t="s">
        <v>39</v>
      </c>
      <c r="B40" s="240" t="s">
        <v>40</v>
      </c>
      <c r="C40" s="55" t="s">
        <v>94</v>
      </c>
      <c r="D40" s="148">
        <f>J40</f>
        <v>42493.5</v>
      </c>
      <c r="E40" s="185" t="e">
        <f>#REF!</f>
        <v>#REF!</v>
      </c>
      <c r="F40" s="64" t="e">
        <f>+D40*E40</f>
        <v>#REF!</v>
      </c>
      <c r="H40" s="255">
        <f>15*F3+40*F4+36*15*20</f>
        <v>40470</v>
      </c>
      <c r="I40" s="262">
        <v>1.05</v>
      </c>
      <c r="J40" s="255">
        <f>H40*I40</f>
        <v>42493.5</v>
      </c>
    </row>
    <row r="41" spans="1:189" ht="15.95" customHeight="1">
      <c r="A41" s="17">
        <v>203</v>
      </c>
      <c r="B41" s="14" t="s">
        <v>42</v>
      </c>
      <c r="C41" s="54"/>
      <c r="D41" s="310"/>
      <c r="E41" s="161"/>
      <c r="F41" s="63"/>
    </row>
    <row r="42" spans="1:189" ht="15.95" customHeight="1">
      <c r="A42" s="22"/>
      <c r="B42" s="38"/>
      <c r="C42" s="53" t="s">
        <v>27</v>
      </c>
      <c r="D42" s="150">
        <f>J42</f>
        <v>143.22</v>
      </c>
      <c r="E42" s="185" t="e">
        <f>#REF!</f>
        <v>#REF!</v>
      </c>
      <c r="F42" s="64" t="e">
        <f>+D42*E42</f>
        <v>#REF!</v>
      </c>
      <c r="H42" s="255">
        <f>2*F6/15</f>
        <v>136.4</v>
      </c>
      <c r="I42" s="262">
        <v>1.05</v>
      </c>
      <c r="J42" s="255">
        <f>H42*I42</f>
        <v>143.22</v>
      </c>
    </row>
    <row r="43" spans="1:189" ht="15.95" customHeight="1">
      <c r="A43" s="87" t="s">
        <v>4</v>
      </c>
      <c r="B43" s="125" t="s">
        <v>43</v>
      </c>
      <c r="C43" s="57"/>
      <c r="D43" s="311"/>
      <c r="E43" s="161"/>
      <c r="F43" s="63"/>
    </row>
    <row r="44" spans="1:189" ht="15.95" customHeight="1">
      <c r="A44" s="4" t="s">
        <v>44</v>
      </c>
      <c r="B44" s="123" t="s">
        <v>46</v>
      </c>
      <c r="C44" s="54" t="s">
        <v>251</v>
      </c>
      <c r="D44" s="312">
        <v>1</v>
      </c>
      <c r="E44" s="140">
        <v>8056125</v>
      </c>
      <c r="F44" s="65">
        <f>+D44*E44</f>
        <v>8056125</v>
      </c>
      <c r="H44" s="277">
        <f>F6/1000</f>
        <v>1.0229999999999999</v>
      </c>
      <c r="I44" s="262">
        <v>1.05</v>
      </c>
      <c r="J44" s="262">
        <f>H44*I44</f>
        <v>1.0741499999999999</v>
      </c>
    </row>
    <row r="45" spans="1:189" ht="15.95" customHeight="1">
      <c r="A45" s="4" t="s">
        <v>45</v>
      </c>
      <c r="B45" s="123" t="s">
        <v>47</v>
      </c>
      <c r="C45" s="54" t="s">
        <v>251</v>
      </c>
      <c r="D45" s="312">
        <v>1</v>
      </c>
      <c r="E45" s="140">
        <v>6444900</v>
      </c>
      <c r="F45" s="65">
        <f>+D45*E45</f>
        <v>6444900</v>
      </c>
      <c r="H45" s="277">
        <f>H44</f>
        <v>1.0229999999999999</v>
      </c>
      <c r="I45" s="262">
        <v>1.05</v>
      </c>
      <c r="J45" s="262">
        <f>H45*I45</f>
        <v>1.0741499999999999</v>
      </c>
    </row>
    <row r="46" spans="1:189" ht="15.95" customHeight="1">
      <c r="A46" s="4" t="s">
        <v>48</v>
      </c>
      <c r="B46" s="123" t="s">
        <v>204</v>
      </c>
      <c r="C46" s="54" t="s">
        <v>205</v>
      </c>
      <c r="D46" s="312">
        <f>J46</f>
        <v>161.1225</v>
      </c>
      <c r="E46" s="140" t="e">
        <f>#REF!</f>
        <v>#REF!</v>
      </c>
      <c r="F46" s="65" t="e">
        <f>+D46*E46</f>
        <v>#REF!</v>
      </c>
      <c r="H46" s="277">
        <f>15%*F6</f>
        <v>153.44999999999999</v>
      </c>
      <c r="I46" s="262">
        <v>1.05</v>
      </c>
      <c r="J46" s="262">
        <f>H46*I46</f>
        <v>161.1225</v>
      </c>
    </row>
    <row r="47" spans="1:189" ht="15.95" customHeight="1">
      <c r="A47" s="22" t="s">
        <v>203</v>
      </c>
      <c r="B47" s="24" t="s">
        <v>49</v>
      </c>
      <c r="C47" s="53" t="s">
        <v>251</v>
      </c>
      <c r="D47" s="313">
        <v>1</v>
      </c>
      <c r="E47" s="140">
        <v>1322282.9465999999</v>
      </c>
      <c r="F47" s="64">
        <f>+D47*E47</f>
        <v>1322282.9465999999</v>
      </c>
      <c r="H47" s="277">
        <f>H44</f>
        <v>1.0229999999999999</v>
      </c>
      <c r="I47" s="262">
        <v>1.05</v>
      </c>
      <c r="J47" s="262">
        <f>H47*I47</f>
        <v>1.0741499999999999</v>
      </c>
    </row>
    <row r="48" spans="1:189" ht="15.95" customHeight="1">
      <c r="A48" s="17">
        <v>206</v>
      </c>
      <c r="B48" s="14" t="s">
        <v>123</v>
      </c>
      <c r="C48" s="56"/>
      <c r="D48" s="297"/>
      <c r="E48" s="161"/>
      <c r="F48" s="65"/>
    </row>
    <row r="49" spans="1:10" ht="15.95" customHeight="1">
      <c r="A49" s="8"/>
      <c r="B49" s="16"/>
      <c r="C49" s="53" t="s">
        <v>94</v>
      </c>
      <c r="D49" s="150">
        <v>0</v>
      </c>
      <c r="E49" s="185" t="e">
        <f>#REF!</f>
        <v>#REF!</v>
      </c>
      <c r="F49" s="64" t="e">
        <f>+D49*E49</f>
        <v>#REF!</v>
      </c>
    </row>
    <row r="50" spans="1:10" ht="15.95" customHeight="1">
      <c r="A50" s="41" t="s">
        <v>50</v>
      </c>
      <c r="B50" s="43" t="s">
        <v>51</v>
      </c>
      <c r="C50" s="57"/>
      <c r="D50" s="311"/>
      <c r="E50" s="161"/>
      <c r="F50" s="63"/>
    </row>
    <row r="51" spans="1:10" ht="15.95" customHeight="1">
      <c r="A51" s="8"/>
      <c r="B51" s="16"/>
      <c r="C51" s="53" t="s">
        <v>1</v>
      </c>
      <c r="D51" s="150">
        <v>0</v>
      </c>
      <c r="E51" s="185" t="e">
        <f>#REF!</f>
        <v>#REF!</v>
      </c>
      <c r="F51" s="64" t="e">
        <f>+D51*E51</f>
        <v>#REF!</v>
      </c>
    </row>
    <row r="52" spans="1:10" ht="15.95" customHeight="1">
      <c r="A52" s="41" t="s">
        <v>52</v>
      </c>
      <c r="B52" s="43" t="s">
        <v>53</v>
      </c>
      <c r="C52" s="57"/>
      <c r="D52" s="311"/>
      <c r="E52" s="161"/>
      <c r="F52" s="63"/>
    </row>
    <row r="53" spans="1:10" ht="15.95" customHeight="1">
      <c r="A53" s="17" t="s">
        <v>54</v>
      </c>
      <c r="B53" s="39" t="s">
        <v>97</v>
      </c>
      <c r="C53" s="50" t="s">
        <v>1</v>
      </c>
      <c r="D53" s="83">
        <f>J53</f>
        <v>1334.3000000000002</v>
      </c>
      <c r="E53" s="108" t="e">
        <f>#REF!</f>
        <v>#REF!</v>
      </c>
      <c r="F53" s="65" t="e">
        <f>+D53*E53</f>
        <v>#REF!</v>
      </c>
      <c r="H53" s="255">
        <f>F6+190</f>
        <v>1213</v>
      </c>
      <c r="I53" s="262">
        <v>1.1000000000000001</v>
      </c>
      <c r="J53" s="255">
        <f>H53*I53</f>
        <v>1334.3000000000002</v>
      </c>
    </row>
    <row r="54" spans="1:10" ht="15.95" customHeight="1">
      <c r="A54" s="17" t="s">
        <v>56</v>
      </c>
      <c r="B54" s="39" t="s">
        <v>55</v>
      </c>
      <c r="C54" s="50" t="s">
        <v>1</v>
      </c>
      <c r="D54" s="83">
        <v>0</v>
      </c>
      <c r="E54" s="108" t="e">
        <f>#REF!</f>
        <v>#REF!</v>
      </c>
      <c r="F54" s="64" t="e">
        <f>+D54*E54</f>
        <v>#REF!</v>
      </c>
    </row>
    <row r="55" spans="1:10" ht="15.95" customHeight="1">
      <c r="A55" s="41">
        <v>210</v>
      </c>
      <c r="B55" s="43" t="s">
        <v>57</v>
      </c>
      <c r="C55" s="57"/>
      <c r="D55" s="84"/>
      <c r="E55" s="109"/>
      <c r="F55" s="63"/>
    </row>
    <row r="56" spans="1:10" ht="15.95" customHeight="1">
      <c r="A56" s="8"/>
      <c r="B56" s="16"/>
      <c r="C56" s="53" t="s">
        <v>94</v>
      </c>
      <c r="D56" s="150">
        <v>0</v>
      </c>
      <c r="E56" s="107" t="e">
        <f>#REF!</f>
        <v>#REF!</v>
      </c>
      <c r="F56" s="64" t="e">
        <f>+D56*E56</f>
        <v>#REF!</v>
      </c>
    </row>
    <row r="57" spans="1:10" ht="15.95" customHeight="1">
      <c r="A57" s="41">
        <v>212</v>
      </c>
      <c r="B57" s="43" t="s">
        <v>58</v>
      </c>
      <c r="C57" s="57"/>
      <c r="D57" s="84"/>
      <c r="E57" s="109"/>
      <c r="F57" s="63"/>
    </row>
    <row r="58" spans="1:10" ht="15.95" customHeight="1">
      <c r="A58" s="8"/>
      <c r="B58" s="16"/>
      <c r="C58" s="53" t="s">
        <v>94</v>
      </c>
      <c r="D58" s="77">
        <v>0</v>
      </c>
      <c r="E58" s="107" t="e">
        <f>#REF!</f>
        <v>#REF!</v>
      </c>
      <c r="F58" s="64" t="e">
        <f>+D58*E58</f>
        <v>#REF!</v>
      </c>
    </row>
    <row r="59" spans="1:10" ht="15.95" customHeight="1">
      <c r="A59" s="41">
        <v>215</v>
      </c>
      <c r="B59" s="43" t="s">
        <v>59</v>
      </c>
      <c r="C59" s="57"/>
      <c r="D59" s="84"/>
      <c r="E59" s="109"/>
      <c r="F59" s="63"/>
    </row>
    <row r="60" spans="1:10" ht="15.95" customHeight="1">
      <c r="A60" s="8"/>
      <c r="B60" s="16"/>
      <c r="C60" s="53" t="s">
        <v>1</v>
      </c>
      <c r="D60" s="77">
        <f>J60</f>
        <v>1125.3000000000002</v>
      </c>
      <c r="E60" s="107" t="e">
        <f>#REF!</f>
        <v>#REF!</v>
      </c>
      <c r="F60" s="64" t="e">
        <f>+D60*E60</f>
        <v>#REF!</v>
      </c>
      <c r="H60" s="255">
        <f>F6</f>
        <v>1023</v>
      </c>
      <c r="I60" s="262">
        <f>1.1</f>
        <v>1.1000000000000001</v>
      </c>
      <c r="J60" s="255">
        <f>H60*I60</f>
        <v>1125.3000000000002</v>
      </c>
    </row>
    <row r="61" spans="1:10" ht="25.5" customHeight="1">
      <c r="A61" s="10"/>
      <c r="B61" s="40"/>
      <c r="C61" s="95"/>
      <c r="D61" s="92"/>
      <c r="E61" s="93" t="s">
        <v>111</v>
      </c>
      <c r="F61" s="94" t="e">
        <f>SUM(F37:F60)</f>
        <v>#REF!</v>
      </c>
    </row>
    <row r="62" spans="1:10" ht="15.95" customHeight="1">
      <c r="A62" s="10"/>
      <c r="B62" s="40"/>
      <c r="C62" s="51"/>
      <c r="D62" s="76"/>
      <c r="E62" s="66"/>
      <c r="F62" s="66"/>
    </row>
    <row r="63" spans="1:10" ht="23.25" customHeight="1">
      <c r="A63" s="1" t="s">
        <v>5</v>
      </c>
      <c r="B63" s="3"/>
      <c r="C63" s="52" t="s">
        <v>98</v>
      </c>
      <c r="D63" s="86" t="s">
        <v>99</v>
      </c>
      <c r="E63" s="71" t="s">
        <v>100</v>
      </c>
      <c r="F63" s="71" t="s">
        <v>114</v>
      </c>
    </row>
    <row r="64" spans="1:10" ht="15.95" customHeight="1">
      <c r="A64" s="4" t="s">
        <v>6</v>
      </c>
      <c r="B64" s="19" t="s">
        <v>60</v>
      </c>
      <c r="C64" s="7"/>
      <c r="D64" s="213"/>
      <c r="E64" s="109"/>
      <c r="F64" s="63"/>
    </row>
    <row r="65" spans="1:11" ht="15.95" customHeight="1">
      <c r="A65" s="22" t="s">
        <v>61</v>
      </c>
      <c r="B65" s="9" t="s">
        <v>62</v>
      </c>
      <c r="C65" s="55" t="s">
        <v>95</v>
      </c>
      <c r="D65" s="148">
        <f>J65</f>
        <v>12231.974999999999</v>
      </c>
      <c r="E65" s="107" t="e">
        <f>#REF!</f>
        <v>#REF!</v>
      </c>
      <c r="F65" s="64" t="e">
        <f>+D65*E65</f>
        <v>#REF!</v>
      </c>
      <c r="H65" s="255">
        <f>0.35*(G3*F3+F4*G4+36*20)</f>
        <v>10636.5</v>
      </c>
      <c r="I65" s="262">
        <f>1.15</f>
        <v>1.1499999999999999</v>
      </c>
      <c r="J65" s="255">
        <f>H65*I65</f>
        <v>12231.974999999999</v>
      </c>
    </row>
    <row r="66" spans="1:11" ht="15.95" customHeight="1">
      <c r="A66" s="4" t="s">
        <v>7</v>
      </c>
      <c r="B66" s="14" t="s">
        <v>63</v>
      </c>
      <c r="C66" s="56"/>
      <c r="D66" s="297"/>
      <c r="E66" s="108"/>
      <c r="F66" s="65"/>
      <c r="J66" s="255">
        <f>J65*0.1</f>
        <v>1223.1975</v>
      </c>
    </row>
    <row r="67" spans="1:11" ht="15.95" customHeight="1">
      <c r="A67" s="8"/>
      <c r="B67" s="16"/>
      <c r="C67" s="53" t="s">
        <v>95</v>
      </c>
      <c r="D67" s="147">
        <f>D65*0.1</f>
        <v>1223.1975</v>
      </c>
      <c r="E67" s="107" t="e">
        <f>#REF!</f>
        <v>#REF!</v>
      </c>
      <c r="F67" s="64" t="e">
        <f>+D67*E67</f>
        <v>#REF!</v>
      </c>
    </row>
    <row r="68" spans="1:11" ht="15.95" customHeight="1">
      <c r="A68" s="4" t="s">
        <v>8</v>
      </c>
      <c r="B68" s="14" t="s">
        <v>64</v>
      </c>
      <c r="C68" s="56"/>
      <c r="D68" s="297"/>
      <c r="E68" s="109"/>
      <c r="F68" s="63"/>
    </row>
    <row r="69" spans="1:11" ht="15.95" customHeight="1">
      <c r="A69" s="8"/>
      <c r="B69" s="20"/>
      <c r="C69" s="53" t="s">
        <v>95</v>
      </c>
      <c r="D69" s="150">
        <f>J69</f>
        <v>10825.297874999998</v>
      </c>
      <c r="E69" s="107" t="e">
        <f>#REF!</f>
        <v>#REF!</v>
      </c>
      <c r="F69" s="64" t="e">
        <f>+D69*E69</f>
        <v>#REF!</v>
      </c>
      <c r="H69" s="255">
        <f>H65-D67</f>
        <v>9413.3024999999998</v>
      </c>
      <c r="I69" s="262">
        <f>1.15</f>
        <v>1.1499999999999999</v>
      </c>
      <c r="J69" s="255">
        <f>H69*I69</f>
        <v>10825.297874999998</v>
      </c>
      <c r="K69" s="129">
        <f>J69-J66</f>
        <v>9602.1003749999982</v>
      </c>
    </row>
    <row r="70" spans="1:11" s="205" customFormat="1" ht="15.95" customHeight="1">
      <c r="A70" s="181" t="s">
        <v>189</v>
      </c>
      <c r="B70" s="190" t="s">
        <v>132</v>
      </c>
      <c r="C70" s="203"/>
      <c r="D70" s="283"/>
      <c r="E70" s="161"/>
      <c r="F70" s="204"/>
      <c r="H70" s="258"/>
      <c r="I70" s="264"/>
      <c r="J70" s="258"/>
    </row>
    <row r="71" spans="1:11" s="205" customFormat="1" ht="15.95" customHeight="1">
      <c r="A71" s="206"/>
      <c r="B71" s="207"/>
      <c r="C71" s="191" t="s">
        <v>95</v>
      </c>
      <c r="D71" s="150">
        <v>0</v>
      </c>
      <c r="E71" s="185" t="e">
        <f>#REF!</f>
        <v>#REF!</v>
      </c>
      <c r="F71" s="208" t="e">
        <f>+D71*E71</f>
        <v>#REF!</v>
      </c>
      <c r="H71" s="258">
        <v>0</v>
      </c>
      <c r="I71" s="264">
        <f>1.05</f>
        <v>1.05</v>
      </c>
      <c r="J71" s="258">
        <f>H71*I71</f>
        <v>0</v>
      </c>
      <c r="K71" s="205" t="s">
        <v>272</v>
      </c>
    </row>
    <row r="72" spans="1:11" s="205" customFormat="1" ht="15.95" customHeight="1">
      <c r="A72" s="181" t="s">
        <v>255</v>
      </c>
      <c r="B72" s="190" t="s">
        <v>135</v>
      </c>
      <c r="C72" s="203"/>
      <c r="D72" s="283"/>
      <c r="E72" s="161"/>
      <c r="F72" s="204"/>
      <c r="H72" s="258"/>
      <c r="I72" s="264"/>
      <c r="J72" s="258"/>
    </row>
    <row r="73" spans="1:11" s="205" customFormat="1" ht="15.95" customHeight="1">
      <c r="A73" s="206"/>
      <c r="B73" s="207"/>
      <c r="C73" s="191" t="s">
        <v>94</v>
      </c>
      <c r="D73" s="150">
        <v>1800</v>
      </c>
      <c r="E73" s="185" t="e">
        <f>#REF!</f>
        <v>#REF!</v>
      </c>
      <c r="F73" s="208" t="e">
        <f>+D73*E73</f>
        <v>#REF!</v>
      </c>
      <c r="H73" s="258">
        <v>0</v>
      </c>
      <c r="I73" s="264">
        <v>1.05</v>
      </c>
      <c r="J73" s="258">
        <f>H73*I73</f>
        <v>0</v>
      </c>
    </row>
    <row r="74" spans="1:11" ht="27" customHeight="1">
      <c r="B74" s="18"/>
      <c r="C74" s="95"/>
      <c r="D74" s="92"/>
      <c r="E74" s="93" t="s">
        <v>110</v>
      </c>
      <c r="F74" s="94" t="e">
        <f>SUM(F64:F73)</f>
        <v>#REF!</v>
      </c>
    </row>
    <row r="75" spans="1:11" ht="15.95" customHeight="1">
      <c r="B75" s="18"/>
      <c r="C75" s="48"/>
      <c r="D75" s="111"/>
      <c r="F75" s="112"/>
    </row>
    <row r="76" spans="1:11" ht="23.25" customHeight="1">
      <c r="A76" s="1" t="s">
        <v>9</v>
      </c>
      <c r="B76" s="3"/>
      <c r="C76" s="52" t="s">
        <v>98</v>
      </c>
      <c r="D76" s="86" t="s">
        <v>99</v>
      </c>
      <c r="E76" s="71" t="s">
        <v>100</v>
      </c>
      <c r="F76" s="71" t="s">
        <v>114</v>
      </c>
    </row>
    <row r="77" spans="1:11" ht="29.25" customHeight="1">
      <c r="A77" s="46" t="s">
        <v>10</v>
      </c>
      <c r="B77" s="19" t="s">
        <v>65</v>
      </c>
      <c r="C77" s="209"/>
      <c r="D77" s="210"/>
      <c r="E77" s="161"/>
      <c r="F77" s="204"/>
      <c r="H77" s="255">
        <f>(2*1.35*F3+2*9.84*F4+36*20*9.84)*0.15</f>
        <v>2936.4659999999999</v>
      </c>
      <c r="I77" s="262">
        <f>1.1</f>
        <v>1.1000000000000001</v>
      </c>
      <c r="J77" s="255">
        <f>H77*I77</f>
        <v>3230.1125999999999</v>
      </c>
    </row>
    <row r="78" spans="1:11" ht="15.95" customHeight="1">
      <c r="A78" s="8" t="s">
        <v>66</v>
      </c>
      <c r="B78" s="24" t="s">
        <v>67</v>
      </c>
      <c r="C78" s="211" t="s">
        <v>95</v>
      </c>
      <c r="D78" s="147">
        <f>J78</f>
        <v>8250.2398000000012</v>
      </c>
      <c r="E78" s="185" t="e">
        <f>#REF!</f>
        <v>#REF!</v>
      </c>
      <c r="F78" s="208" t="e">
        <f>+D78*E78</f>
        <v>#REF!</v>
      </c>
      <c r="H78" s="145">
        <f>2*0.35*1.35*F3+36*20*9.84*0.35+0.2*(15-7-0.42*2)*F3+2*9.84*F4*0.35+(40-9.84*2)*0.2</f>
        <v>7500.2179999999998</v>
      </c>
      <c r="I78" s="262">
        <f>1.1</f>
        <v>1.1000000000000001</v>
      </c>
      <c r="J78" s="255">
        <f>H78*I78</f>
        <v>8250.2398000000012</v>
      </c>
    </row>
    <row r="79" spans="1:11" ht="15.95" customHeight="1">
      <c r="A79" s="4" t="s">
        <v>11</v>
      </c>
      <c r="B79" s="19" t="s">
        <v>68</v>
      </c>
      <c r="C79" s="23"/>
      <c r="D79" s="298"/>
      <c r="E79" s="161"/>
      <c r="F79" s="63"/>
    </row>
    <row r="80" spans="1:11" ht="15.95" customHeight="1">
      <c r="A80" s="8"/>
      <c r="B80" s="24"/>
      <c r="C80" s="59" t="s">
        <v>94</v>
      </c>
      <c r="D80" s="147">
        <f>J80</f>
        <v>21831.011999999999</v>
      </c>
      <c r="E80" s="185" t="e">
        <f>#REF!</f>
        <v>#REF!</v>
      </c>
      <c r="F80" s="64" t="e">
        <f>+D80*E80</f>
        <v>#REF!</v>
      </c>
      <c r="H80" s="255">
        <f>2*1.35*2*F3+2*9.84*F4+36*20*9.84</f>
        <v>20791.439999999999</v>
      </c>
      <c r="I80" s="262">
        <f>1.05</f>
        <v>1.05</v>
      </c>
      <c r="J80" s="255">
        <f>H80*I80</f>
        <v>21831.011999999999</v>
      </c>
    </row>
    <row r="81" spans="1:10" ht="15.95" customHeight="1">
      <c r="A81" s="17">
        <v>404</v>
      </c>
      <c r="B81" s="19" t="s">
        <v>69</v>
      </c>
      <c r="C81" s="23"/>
      <c r="D81" s="210"/>
      <c r="E81" s="161"/>
      <c r="F81" s="63"/>
    </row>
    <row r="82" spans="1:10" ht="15.95" customHeight="1">
      <c r="A82" s="28"/>
      <c r="B82" s="24"/>
      <c r="C82" s="59" t="s">
        <v>94</v>
      </c>
      <c r="D82" s="147">
        <f>+D80</f>
        <v>21831.011999999999</v>
      </c>
      <c r="E82" s="185" t="e">
        <f>#REF!</f>
        <v>#REF!</v>
      </c>
      <c r="F82" s="64" t="e">
        <f>+D82*E82</f>
        <v>#REF!</v>
      </c>
    </row>
    <row r="83" spans="1:10" ht="15.95" customHeight="1">
      <c r="A83" s="17">
        <v>405</v>
      </c>
      <c r="B83" s="19" t="s">
        <v>70</v>
      </c>
      <c r="C83" s="23"/>
      <c r="D83" s="298"/>
      <c r="E83" s="161"/>
      <c r="F83" s="63"/>
    </row>
    <row r="84" spans="1:10" ht="15.95" customHeight="1">
      <c r="A84" s="8"/>
      <c r="B84" s="24"/>
      <c r="C84" s="51" t="s">
        <v>14</v>
      </c>
      <c r="D84" s="147">
        <f>J84</f>
        <v>314935.97850000003</v>
      </c>
      <c r="E84" s="140" t="e">
        <f>#REF!</f>
        <v>#REF!</v>
      </c>
      <c r="F84" s="64" t="e">
        <f>+D84*E84</f>
        <v>#REF!</v>
      </c>
      <c r="H84" s="255">
        <f>H77*1950*5%</f>
        <v>286305.435</v>
      </c>
      <c r="I84" s="262">
        <v>1.1000000000000001</v>
      </c>
      <c r="J84" s="255">
        <f>H84*I84</f>
        <v>314935.97850000003</v>
      </c>
    </row>
    <row r="85" spans="1:10" ht="15.95" customHeight="1">
      <c r="A85" s="45">
        <v>407</v>
      </c>
      <c r="B85" s="27" t="s">
        <v>556</v>
      </c>
      <c r="C85" s="60"/>
      <c r="D85" s="172"/>
      <c r="E85" s="161"/>
      <c r="F85" s="67"/>
    </row>
    <row r="86" spans="1:10" ht="15.95" customHeight="1">
      <c r="A86" s="45" t="s">
        <v>557</v>
      </c>
      <c r="B86" s="27" t="s">
        <v>558</v>
      </c>
      <c r="C86" s="282"/>
      <c r="D86" s="274"/>
      <c r="E86" s="140"/>
      <c r="F86" s="67"/>
    </row>
    <row r="87" spans="1:10" ht="15.95" customHeight="1">
      <c r="A87" s="45" t="s">
        <v>561</v>
      </c>
      <c r="B87" s="12" t="s">
        <v>559</v>
      </c>
      <c r="C87" s="282"/>
      <c r="D87" s="274">
        <f>+D90</f>
        <v>17580.684000000001</v>
      </c>
      <c r="E87" s="140">
        <f>+'BPU préf'!E9</f>
        <v>11000</v>
      </c>
      <c r="F87" s="67">
        <f>+D87*E87</f>
        <v>193387524</v>
      </c>
    </row>
    <row r="88" spans="1:10" ht="15.95" customHeight="1">
      <c r="A88" s="45" t="s">
        <v>562</v>
      </c>
      <c r="B88" s="12" t="s">
        <v>560</v>
      </c>
      <c r="C88" s="282"/>
      <c r="D88" s="274">
        <f>+D91</f>
        <v>10241.748000000001</v>
      </c>
      <c r="E88" s="140">
        <f>+'BPU préf'!E10</f>
        <v>9300</v>
      </c>
      <c r="F88" s="67">
        <f>+D88*E88</f>
        <v>95248256.400000006</v>
      </c>
    </row>
    <row r="89" spans="1:10" ht="15.95" customHeight="1">
      <c r="A89" s="45" t="s">
        <v>572</v>
      </c>
      <c r="B89" s="27" t="s">
        <v>582</v>
      </c>
      <c r="C89" s="282"/>
      <c r="D89" s="274"/>
      <c r="E89" s="140"/>
      <c r="F89" s="67"/>
    </row>
    <row r="90" spans="1:10" ht="15.95" customHeight="1">
      <c r="A90" s="45" t="s">
        <v>561</v>
      </c>
      <c r="B90" s="12" t="s">
        <v>71</v>
      </c>
      <c r="C90" s="282" t="s">
        <v>94</v>
      </c>
      <c r="D90" s="274">
        <f>J90</f>
        <v>17580.684000000001</v>
      </c>
      <c r="E90" s="140" t="e">
        <f>#REF!</f>
        <v>#REF!</v>
      </c>
      <c r="F90" s="67" t="e">
        <f>+D90*E90</f>
        <v>#REF!</v>
      </c>
      <c r="H90" s="255">
        <f>2*2.35*H3+2*9.84*H4+36*20*9.84</f>
        <v>15982.439999999999</v>
      </c>
      <c r="I90" s="262">
        <f>1.1</f>
        <v>1.1000000000000001</v>
      </c>
      <c r="J90" s="255">
        <f>H90*I90</f>
        <v>17580.684000000001</v>
      </c>
    </row>
    <row r="91" spans="1:10" ht="15.95" customHeight="1">
      <c r="A91" s="45" t="s">
        <v>562</v>
      </c>
      <c r="B91" s="9" t="s">
        <v>72</v>
      </c>
      <c r="C91" s="55" t="s">
        <v>94</v>
      </c>
      <c r="D91" s="147">
        <f>J91</f>
        <v>10241.748000000001</v>
      </c>
      <c r="E91" s="185" t="e">
        <f>#REF!</f>
        <v>#REF!</v>
      </c>
      <c r="F91" s="67" t="e">
        <f>+D91*E91</f>
        <v>#REF!</v>
      </c>
      <c r="H91" s="255">
        <f>(15-7-0.42*2)*H3+(G4-9.42*2-12)*H4+36*2*20</f>
        <v>9310.68</v>
      </c>
      <c r="I91" s="262">
        <f>1.1</f>
        <v>1.1000000000000001</v>
      </c>
      <c r="J91" s="255">
        <f>H91*I91</f>
        <v>10241.748000000001</v>
      </c>
    </row>
    <row r="92" spans="1:10" ht="15.95" customHeight="1">
      <c r="A92" s="41">
        <v>408</v>
      </c>
      <c r="B92" s="43" t="s">
        <v>565</v>
      </c>
      <c r="C92" s="282"/>
      <c r="D92" s="274"/>
      <c r="E92" s="140"/>
      <c r="F92" s="67"/>
    </row>
    <row r="93" spans="1:10" ht="15.95" customHeight="1">
      <c r="A93" s="17" t="s">
        <v>566</v>
      </c>
      <c r="B93" s="43" t="s">
        <v>571</v>
      </c>
      <c r="C93" s="282"/>
      <c r="D93" s="274"/>
      <c r="E93" s="140"/>
      <c r="F93" s="67"/>
    </row>
    <row r="94" spans="1:10" ht="15.95" customHeight="1">
      <c r="A94" s="45" t="s">
        <v>573</v>
      </c>
      <c r="B94" s="12" t="s">
        <v>567</v>
      </c>
      <c r="C94" s="282"/>
      <c r="D94" s="274">
        <f>+D99</f>
        <v>1392.6000000000001</v>
      </c>
      <c r="E94" s="140">
        <f>+'BPU préf'!E14</f>
        <v>7514</v>
      </c>
      <c r="F94" s="65">
        <f>+D94*E94</f>
        <v>10463996.4</v>
      </c>
    </row>
    <row r="95" spans="1:10" ht="15.95" customHeight="1">
      <c r="A95" s="45" t="s">
        <v>574</v>
      </c>
      <c r="B95" s="12" t="s">
        <v>568</v>
      </c>
      <c r="C95" s="282"/>
      <c r="D95" s="274">
        <f>+D100</f>
        <v>208.89000000000001</v>
      </c>
      <c r="E95" s="140">
        <f>+'BPU préf'!E15</f>
        <v>5700</v>
      </c>
      <c r="F95" s="65">
        <f>+D95*E95</f>
        <v>1190673</v>
      </c>
    </row>
    <row r="96" spans="1:10" ht="15.95" customHeight="1">
      <c r="A96" s="45" t="s">
        <v>575</v>
      </c>
      <c r="B96" s="12" t="s">
        <v>569</v>
      </c>
      <c r="C96" s="282"/>
      <c r="D96" s="274"/>
      <c r="E96" s="140">
        <f>+'BPU préf'!E16</f>
        <v>6315</v>
      </c>
      <c r="F96" s="65"/>
    </row>
    <row r="97" spans="1:14" ht="15.95" customHeight="1">
      <c r="A97" s="45" t="s">
        <v>576</v>
      </c>
      <c r="B97" s="12" t="s">
        <v>570</v>
      </c>
      <c r="C97" s="282"/>
      <c r="D97" s="274">
        <f>+D102</f>
        <v>2250.6000000000004</v>
      </c>
      <c r="E97" s="140">
        <f>+'BPU préf'!E17</f>
        <v>13829</v>
      </c>
      <c r="F97" s="65">
        <f>+D97*E97</f>
        <v>31123547.400000006</v>
      </c>
    </row>
    <row r="98" spans="1:14" ht="15.95" customHeight="1">
      <c r="A98" s="41" t="s">
        <v>579</v>
      </c>
      <c r="B98" s="43" t="s">
        <v>163</v>
      </c>
      <c r="C98" s="419"/>
      <c r="D98" s="413"/>
      <c r="E98" s="140"/>
      <c r="F98" s="65"/>
      <c r="N98" s="129">
        <f>9.42*2+6</f>
        <v>24.84</v>
      </c>
    </row>
    <row r="99" spans="1:14" ht="15.95" customHeight="1">
      <c r="A99" s="45" t="s">
        <v>577</v>
      </c>
      <c r="B99" s="12" t="s">
        <v>190</v>
      </c>
      <c r="C99" s="146" t="s">
        <v>1</v>
      </c>
      <c r="D99" s="412">
        <f>J99</f>
        <v>1392.6000000000001</v>
      </c>
      <c r="E99" s="140" t="e">
        <f>#REF!</f>
        <v>#REF!</v>
      </c>
      <c r="F99" s="65" t="e">
        <f>+D99*E99</f>
        <v>#REF!</v>
      </c>
      <c r="H99" s="256">
        <f>20*36+H4*2</f>
        <v>1266</v>
      </c>
      <c r="I99" s="330">
        <f>1.1</f>
        <v>1.1000000000000001</v>
      </c>
      <c r="J99" s="256">
        <f>H99*I99</f>
        <v>1392.6000000000001</v>
      </c>
    </row>
    <row r="100" spans="1:14" ht="15.95" customHeight="1">
      <c r="A100" s="45" t="s">
        <v>578</v>
      </c>
      <c r="B100" s="12" t="s">
        <v>191</v>
      </c>
      <c r="C100" s="146" t="s">
        <v>1</v>
      </c>
      <c r="D100" s="412">
        <f>J100</f>
        <v>208.89000000000001</v>
      </c>
      <c r="E100" s="140" t="e">
        <f>#REF!</f>
        <v>#REF!</v>
      </c>
      <c r="F100" s="65" t="e">
        <f>+D100*E100</f>
        <v>#REF!</v>
      </c>
      <c r="H100" s="255">
        <f>H99*15%</f>
        <v>189.9</v>
      </c>
      <c r="I100" s="262">
        <f>1.1</f>
        <v>1.1000000000000001</v>
      </c>
      <c r="J100" s="255">
        <f>H100*I100</f>
        <v>208.89000000000001</v>
      </c>
      <c r="N100" s="129">
        <f>40-N98</f>
        <v>15.16</v>
      </c>
    </row>
    <row r="101" spans="1:14" ht="15.95" customHeight="1">
      <c r="A101" s="45" t="s">
        <v>581</v>
      </c>
      <c r="B101" s="12" t="s">
        <v>234</v>
      </c>
      <c r="C101" s="146" t="s">
        <v>1</v>
      </c>
      <c r="D101" s="412">
        <f>J102*0</f>
        <v>0</v>
      </c>
      <c r="E101" s="140" t="e">
        <f>#REF!</f>
        <v>#REF!</v>
      </c>
      <c r="F101" s="65" t="e">
        <f>+D101*E101</f>
        <v>#REF!</v>
      </c>
      <c r="H101" s="142"/>
      <c r="I101" s="142"/>
      <c r="J101" s="142"/>
    </row>
    <row r="102" spans="1:14" ht="15.95" customHeight="1">
      <c r="A102" s="45" t="s">
        <v>580</v>
      </c>
      <c r="B102" s="9" t="s">
        <v>545</v>
      </c>
      <c r="C102" s="286" t="s">
        <v>1</v>
      </c>
      <c r="D102" s="414">
        <f>+J102</f>
        <v>2250.6000000000004</v>
      </c>
      <c r="E102" s="185" t="e">
        <f>+#REF!</f>
        <v>#REF!</v>
      </c>
      <c r="F102" s="64" t="e">
        <f>+D102*E102</f>
        <v>#REF!</v>
      </c>
      <c r="H102" s="256">
        <f>+(H3+H4)*2</f>
        <v>2046</v>
      </c>
      <c r="I102" s="262">
        <f>1.1</f>
        <v>1.1000000000000001</v>
      </c>
      <c r="J102" s="255">
        <f>H102*I102</f>
        <v>2250.6000000000004</v>
      </c>
    </row>
    <row r="103" spans="1:14" ht="30" customHeight="1">
      <c r="A103" s="10"/>
      <c r="B103" s="12"/>
      <c r="C103" s="157"/>
      <c r="D103" s="130"/>
      <c r="E103" s="131" t="s">
        <v>109</v>
      </c>
      <c r="F103" s="132" t="e">
        <f>SUM(F77:F102)</f>
        <v>#REF!</v>
      </c>
    </row>
    <row r="104" spans="1:14" ht="15.95" customHeight="1">
      <c r="A104" s="10"/>
      <c r="B104" s="12"/>
      <c r="C104" s="51"/>
      <c r="D104" s="76"/>
      <c r="E104" s="91"/>
      <c r="F104" s="91"/>
    </row>
    <row r="105" spans="1:14" ht="26.25" customHeight="1">
      <c r="A105" s="1" t="s">
        <v>73</v>
      </c>
      <c r="B105" s="3"/>
      <c r="C105" s="52" t="s">
        <v>98</v>
      </c>
      <c r="D105" s="86" t="s">
        <v>99</v>
      </c>
      <c r="E105" s="71" t="s">
        <v>100</v>
      </c>
      <c r="F105" s="71" t="s">
        <v>114</v>
      </c>
      <c r="I105" s="256">
        <f>7583*2</f>
        <v>15166</v>
      </c>
    </row>
    <row r="106" spans="1:14" ht="15.95" customHeight="1">
      <c r="A106" s="220">
        <v>501</v>
      </c>
      <c r="B106" s="216" t="s">
        <v>74</v>
      </c>
      <c r="C106" s="160"/>
      <c r="D106" s="213"/>
      <c r="E106" s="109"/>
      <c r="F106" s="68"/>
    </row>
    <row r="107" spans="1:14" ht="15.95" customHeight="1">
      <c r="A107" s="206"/>
      <c r="B107" s="207"/>
      <c r="C107" s="191" t="s">
        <v>95</v>
      </c>
      <c r="D107" s="150">
        <f>J107</f>
        <v>17073.342000000004</v>
      </c>
      <c r="E107" s="107" t="e">
        <f>#REF!</f>
        <v>#REF!</v>
      </c>
      <c r="F107" s="64" t="e">
        <f>+D107*E107</f>
        <v>#REF!</v>
      </c>
      <c r="H107" s="256">
        <f>(1.7+0.3*2+0.6*2+0.1*2)*(1.1+0.3*2+0.1)*F3+(1.7*2+0.3*3+0.6*2+0.1*2)*(1.1+0.3*2+0.1)*F4+(1+0.25*2+0.4*2+0.1*2)*(0.8+0.25*2+0.1)*F5+(0.6+0.25*2+0.4*2+0.1*2)*(0.8+0.25*2+0.1)*F7</f>
        <v>15521.220000000003</v>
      </c>
      <c r="I107" s="262">
        <v>1.1000000000000001</v>
      </c>
      <c r="J107" s="255">
        <f>H107*I107</f>
        <v>17073.342000000004</v>
      </c>
    </row>
    <row r="108" spans="1:14" ht="15.95" customHeight="1">
      <c r="A108" s="214">
        <v>502</v>
      </c>
      <c r="B108" s="216" t="s">
        <v>75</v>
      </c>
      <c r="C108" s="221"/>
      <c r="D108" s="212"/>
      <c r="E108" s="109"/>
      <c r="F108" s="69"/>
    </row>
    <row r="109" spans="1:14" ht="15.95" customHeight="1">
      <c r="A109" s="217"/>
      <c r="B109" s="219"/>
      <c r="C109" s="191" t="s">
        <v>95</v>
      </c>
      <c r="D109" s="150">
        <f>J109</f>
        <v>12038.598000000004</v>
      </c>
      <c r="E109" s="107" t="e">
        <f>#REF!</f>
        <v>#REF!</v>
      </c>
      <c r="F109" s="64" t="e">
        <f>+D109*E109</f>
        <v>#REF!</v>
      </c>
      <c r="H109" s="256">
        <f>H107-((1.1+0.3*2+0.1)*0.6*2*F3+(1.1+0.3*2+0.1)*0.6*2*F4+(1+0.25*2+0.1)*0.4*2*F5+(0.6+0.25*2+0.1)*0.4*2*F7)</f>
        <v>10944.180000000002</v>
      </c>
      <c r="I109" s="262">
        <v>1.1000000000000001</v>
      </c>
      <c r="J109" s="255">
        <f>H109*I109</f>
        <v>12038.598000000004</v>
      </c>
    </row>
    <row r="110" spans="1:14" ht="15.95" customHeight="1">
      <c r="A110" s="46" t="s">
        <v>12</v>
      </c>
      <c r="B110" s="27" t="s">
        <v>101</v>
      </c>
      <c r="C110" s="160"/>
      <c r="D110" s="213"/>
      <c r="E110" s="109"/>
      <c r="F110" s="65"/>
    </row>
    <row r="111" spans="1:14" ht="15.95" customHeight="1">
      <c r="A111" s="8"/>
      <c r="B111" s="9"/>
      <c r="C111" s="191" t="s">
        <v>95</v>
      </c>
      <c r="D111" s="150">
        <v>25</v>
      </c>
      <c r="E111" s="107" t="e">
        <f>#REF!</f>
        <v>#REF!</v>
      </c>
      <c r="F111" s="64" t="e">
        <f>+D111*E111</f>
        <v>#REF!</v>
      </c>
    </row>
    <row r="112" spans="1:14" ht="15.95" customHeight="1">
      <c r="A112" s="87" t="s">
        <v>13</v>
      </c>
      <c r="B112" s="43" t="s">
        <v>77</v>
      </c>
      <c r="C112" s="88"/>
      <c r="D112" s="85"/>
      <c r="E112" s="109"/>
      <c r="F112" s="63"/>
    </row>
    <row r="113" spans="1:6" ht="15.95" customHeight="1">
      <c r="A113" s="8"/>
      <c r="B113" s="9"/>
      <c r="C113" s="55" t="s">
        <v>94</v>
      </c>
      <c r="D113" s="82">
        <v>1250</v>
      </c>
      <c r="E113" s="107" t="e">
        <f>#REF!</f>
        <v>#REF!</v>
      </c>
      <c r="F113" s="64" t="e">
        <f>+D113*E113</f>
        <v>#REF!</v>
      </c>
    </row>
    <row r="114" spans="1:6" ht="15.95" customHeight="1">
      <c r="A114" s="17">
        <v>505</v>
      </c>
      <c r="B114" s="14" t="s">
        <v>76</v>
      </c>
      <c r="C114" s="56"/>
      <c r="D114" s="80"/>
      <c r="E114" s="109"/>
      <c r="F114" s="63"/>
    </row>
    <row r="115" spans="1:6" ht="15.95" customHeight="1">
      <c r="A115" s="17" t="s">
        <v>15</v>
      </c>
      <c r="B115" s="37" t="s">
        <v>78</v>
      </c>
      <c r="C115" s="50" t="s">
        <v>14</v>
      </c>
      <c r="D115" s="83">
        <f>(D120)*110</f>
        <v>11000</v>
      </c>
      <c r="E115" s="108" t="e">
        <f>#REF!</f>
        <v>#REF!</v>
      </c>
      <c r="F115" s="65" t="e">
        <f>+D115*E115</f>
        <v>#REF!</v>
      </c>
    </row>
    <row r="116" spans="1:6" ht="15.95" customHeight="1">
      <c r="A116" s="36" t="s">
        <v>16</v>
      </c>
      <c r="B116" s="49" t="s">
        <v>79</v>
      </c>
      <c r="C116" s="53" t="s">
        <v>14</v>
      </c>
      <c r="D116" s="77">
        <v>0</v>
      </c>
      <c r="E116" s="108" t="e">
        <f>#REF!</f>
        <v>#REF!</v>
      </c>
      <c r="F116" s="64" t="e">
        <f>+D116*E116</f>
        <v>#REF!</v>
      </c>
    </row>
    <row r="117" spans="1:6" ht="15.95" customHeight="1">
      <c r="A117" s="17">
        <v>506</v>
      </c>
      <c r="B117" s="26" t="s">
        <v>80</v>
      </c>
      <c r="C117" s="56"/>
      <c r="D117" s="80"/>
      <c r="E117" s="109"/>
      <c r="F117" s="63"/>
    </row>
    <row r="118" spans="1:6" ht="15.95" customHeight="1">
      <c r="A118" s="28"/>
      <c r="B118" s="24"/>
      <c r="C118" s="53" t="s">
        <v>95</v>
      </c>
      <c r="D118" s="82">
        <v>40</v>
      </c>
      <c r="E118" s="98" t="e">
        <f>#REF!</f>
        <v>#REF!</v>
      </c>
      <c r="F118" s="64" t="e">
        <f>+D118*E118</f>
        <v>#REF!</v>
      </c>
    </row>
    <row r="119" spans="1:6" ht="15.95" customHeight="1">
      <c r="A119" s="17">
        <v>507</v>
      </c>
      <c r="B119" s="25" t="s">
        <v>81</v>
      </c>
      <c r="C119" s="56"/>
      <c r="D119" s="80"/>
      <c r="E119" s="109"/>
      <c r="F119" s="63"/>
    </row>
    <row r="120" spans="1:6" ht="15.95" customHeight="1">
      <c r="A120" s="8"/>
      <c r="B120" s="24"/>
      <c r="C120" s="53" t="s">
        <v>95</v>
      </c>
      <c r="D120" s="78">
        <v>100</v>
      </c>
      <c r="E120" s="107" t="e">
        <f>#REF!</f>
        <v>#REF!</v>
      </c>
      <c r="F120" s="64" t="e">
        <f>+D120*E120</f>
        <v>#REF!</v>
      </c>
    </row>
    <row r="121" spans="1:6" ht="15.95" customHeight="1">
      <c r="A121" s="41">
        <v>509</v>
      </c>
      <c r="B121" s="43" t="s">
        <v>139</v>
      </c>
      <c r="C121" s="57"/>
      <c r="D121" s="84"/>
      <c r="E121" s="109"/>
      <c r="F121" s="63"/>
    </row>
    <row r="122" spans="1:6" ht="15.95" customHeight="1">
      <c r="A122" s="17" t="s">
        <v>140</v>
      </c>
      <c r="B122" s="39" t="s">
        <v>262</v>
      </c>
      <c r="C122" s="54" t="s">
        <v>94</v>
      </c>
      <c r="D122" s="83">
        <v>29</v>
      </c>
      <c r="E122" s="108">
        <f>[2]BPU!E144</f>
        <v>47298</v>
      </c>
      <c r="F122" s="65">
        <f>+D122*E122</f>
        <v>1371642</v>
      </c>
    </row>
    <row r="123" spans="1:6" ht="15.95" customHeight="1">
      <c r="A123" s="17" t="s">
        <v>141</v>
      </c>
      <c r="B123" s="39" t="s">
        <v>263</v>
      </c>
      <c r="C123" s="54" t="s">
        <v>94</v>
      </c>
      <c r="D123" s="83">
        <v>11</v>
      </c>
      <c r="E123" s="108">
        <f>[2]BPU!E145</f>
        <v>50019</v>
      </c>
      <c r="F123" s="65">
        <f>+D123*E123</f>
        <v>550209</v>
      </c>
    </row>
    <row r="124" spans="1:6" ht="15.95" customHeight="1">
      <c r="A124" s="22" t="s">
        <v>142</v>
      </c>
      <c r="B124" s="49" t="s">
        <v>281</v>
      </c>
      <c r="C124" s="53" t="s">
        <v>94</v>
      </c>
      <c r="D124" s="155">
        <v>0</v>
      </c>
      <c r="E124" s="108">
        <f>[2]BPU!E146</f>
        <v>52900</v>
      </c>
      <c r="F124" s="65">
        <f>+D124*E124</f>
        <v>0</v>
      </c>
    </row>
    <row r="125" spans="1:6" ht="15.95" customHeight="1">
      <c r="A125" s="43" t="e">
        <f>+#REF!</f>
        <v>#REF!</v>
      </c>
      <c r="B125" s="43" t="e">
        <f>+#REF!</f>
        <v>#REF!</v>
      </c>
      <c r="C125" s="57"/>
      <c r="D125" s="84"/>
      <c r="E125" s="109"/>
      <c r="F125" s="63"/>
    </row>
    <row r="126" spans="1:6" ht="15.95" customHeight="1">
      <c r="A126" s="39" t="e">
        <f>+#REF!</f>
        <v>#REF!</v>
      </c>
      <c r="B126" s="39" t="e">
        <f>+#REF!</f>
        <v>#REF!</v>
      </c>
      <c r="C126" s="58" t="s">
        <v>1</v>
      </c>
      <c r="D126" s="83">
        <v>0</v>
      </c>
      <c r="E126" s="108" t="e">
        <f>#REF!</f>
        <v>#REF!</v>
      </c>
      <c r="F126" s="65" t="e">
        <f>+D126*E126</f>
        <v>#REF!</v>
      </c>
    </row>
    <row r="127" spans="1:6" ht="15.95" customHeight="1">
      <c r="A127" s="39" t="e">
        <f>+#REF!</f>
        <v>#REF!</v>
      </c>
      <c r="B127" s="39" t="e">
        <f>+#REF!</f>
        <v>#REF!</v>
      </c>
      <c r="C127" s="58" t="s">
        <v>1</v>
      </c>
      <c r="D127" s="83">
        <f>60*5</f>
        <v>300</v>
      </c>
      <c r="E127" s="108" t="e">
        <f>#REF!</f>
        <v>#REF!</v>
      </c>
      <c r="F127" s="65" t="e">
        <f>+D127*E127</f>
        <v>#REF!</v>
      </c>
    </row>
    <row r="128" spans="1:6" ht="15.95" customHeight="1">
      <c r="A128" s="39" t="e">
        <f>+#REF!</f>
        <v>#REF!</v>
      </c>
      <c r="B128" s="39" t="e">
        <f>+#REF!</f>
        <v>#REF!</v>
      </c>
      <c r="C128" s="58" t="s">
        <v>1</v>
      </c>
      <c r="D128" s="155">
        <v>0</v>
      </c>
      <c r="E128" s="108" t="e">
        <f>#REF!</f>
        <v>#REF!</v>
      </c>
      <c r="F128" s="65" t="e">
        <f>+D128*E128</f>
        <v>#REF!</v>
      </c>
    </row>
    <row r="129" spans="1:189" ht="15.95" customHeight="1">
      <c r="A129" s="39" t="e">
        <f>+#REF!</f>
        <v>#REF!</v>
      </c>
      <c r="B129" s="39" t="e">
        <f>+#REF!</f>
        <v>#REF!</v>
      </c>
      <c r="C129" s="58" t="s">
        <v>1</v>
      </c>
      <c r="D129" s="155">
        <v>0</v>
      </c>
      <c r="E129" s="108" t="e">
        <f>#REF!</f>
        <v>#REF!</v>
      </c>
      <c r="F129" s="65" t="e">
        <f>+D129*E129</f>
        <v>#REF!</v>
      </c>
    </row>
    <row r="130" spans="1:189" ht="15.95" customHeight="1">
      <c r="A130" s="405" t="e">
        <f>+#REF!</f>
        <v>#REF!</v>
      </c>
      <c r="B130" s="452" t="e">
        <f>+#REF!</f>
        <v>#REF!</v>
      </c>
      <c r="C130" s="451"/>
      <c r="D130" s="155"/>
      <c r="E130" s="108"/>
      <c r="F130" s="65"/>
    </row>
    <row r="131" spans="1:189" ht="15.95" customHeight="1">
      <c r="A131" s="193" t="e">
        <f>+#REF!</f>
        <v>#REF!</v>
      </c>
      <c r="B131" s="230" t="e">
        <f>+#REF!</f>
        <v>#REF!</v>
      </c>
      <c r="C131" s="449" t="s">
        <v>1</v>
      </c>
      <c r="D131" s="138">
        <f>J131</f>
        <v>2394</v>
      </c>
      <c r="E131" s="108" t="e">
        <f>#REF!</f>
        <v>#REF!</v>
      </c>
      <c r="F131" s="65" t="e">
        <f>+D131*E131</f>
        <v>#REF!</v>
      </c>
      <c r="G131" s="225"/>
      <c r="H131" s="259">
        <f>F7*0+2040+2*20*6</f>
        <v>2280</v>
      </c>
      <c r="I131" s="265">
        <v>1.05</v>
      </c>
      <c r="J131" s="259">
        <f>H131*I131</f>
        <v>2394</v>
      </c>
    </row>
    <row r="132" spans="1:189" ht="15.95" customHeight="1">
      <c r="A132" s="127" t="e">
        <f>+#REF!</f>
        <v>#REF!</v>
      </c>
      <c r="B132" s="128" t="e">
        <f>+#REF!</f>
        <v>#REF!</v>
      </c>
      <c r="C132" s="449" t="s">
        <v>1</v>
      </c>
      <c r="D132" s="138">
        <f>J132</f>
        <v>0</v>
      </c>
      <c r="E132" s="108" t="e">
        <f>#REF!</f>
        <v>#REF!</v>
      </c>
      <c r="F132" s="65" t="e">
        <f>+D132*E132</f>
        <v>#REF!</v>
      </c>
      <c r="G132" s="225"/>
      <c r="H132" s="259">
        <v>0</v>
      </c>
      <c r="I132" s="265">
        <v>1.05</v>
      </c>
      <c r="J132" s="259">
        <f>H132*I132</f>
        <v>0</v>
      </c>
    </row>
    <row r="133" spans="1:189" ht="15.95" customHeight="1">
      <c r="A133" s="193" t="e">
        <f>+#REF!</f>
        <v>#REF!</v>
      </c>
      <c r="B133" s="196" t="e">
        <f>+#REF!</f>
        <v>#REF!</v>
      </c>
      <c r="C133" s="449" t="s">
        <v>1</v>
      </c>
      <c r="D133" s="138">
        <f>J133</f>
        <v>0</v>
      </c>
      <c r="E133" s="108" t="e">
        <f>#REF!</f>
        <v>#REF!</v>
      </c>
      <c r="F133" s="65" t="e">
        <f>+D133*E133</f>
        <v>#REF!</v>
      </c>
      <c r="G133" s="225"/>
      <c r="H133" s="259">
        <f>F5*0</f>
        <v>0</v>
      </c>
      <c r="I133" s="265">
        <v>1.05</v>
      </c>
      <c r="J133" s="259">
        <f>H133*I133</f>
        <v>0</v>
      </c>
    </row>
    <row r="134" spans="1:189" s="225" customFormat="1" ht="15.95" customHeight="1">
      <c r="A134" s="43" t="e">
        <f>+#REF!</f>
        <v>#REF!</v>
      </c>
      <c r="B134" s="223" t="e">
        <f>+#REF!</f>
        <v>#REF!</v>
      </c>
      <c r="C134" s="450"/>
      <c r="D134" s="200"/>
      <c r="E134" s="109"/>
      <c r="F134" s="63"/>
      <c r="H134" s="259"/>
      <c r="I134" s="265"/>
      <c r="J134" s="259"/>
      <c r="K134" s="226"/>
      <c r="L134" s="226"/>
      <c r="M134" s="226"/>
      <c r="N134" s="226"/>
      <c r="O134" s="226"/>
      <c r="P134" s="226"/>
      <c r="Q134" s="226"/>
      <c r="R134" s="226"/>
      <c r="S134" s="226"/>
      <c r="T134" s="226"/>
      <c r="U134" s="226"/>
      <c r="V134" s="226"/>
      <c r="W134" s="226"/>
      <c r="X134" s="226"/>
      <c r="Y134" s="226"/>
      <c r="Z134" s="226"/>
      <c r="AA134" s="226"/>
      <c r="AB134" s="226"/>
      <c r="AC134" s="226"/>
      <c r="AD134" s="226"/>
      <c r="AE134" s="226"/>
      <c r="AF134" s="226"/>
      <c r="AG134" s="226"/>
      <c r="AH134" s="226"/>
      <c r="AI134" s="226"/>
      <c r="AJ134" s="226"/>
      <c r="AK134" s="226"/>
      <c r="AL134" s="226"/>
      <c r="AM134" s="226"/>
      <c r="AN134" s="226"/>
      <c r="AO134" s="226"/>
      <c r="AP134" s="226"/>
      <c r="AQ134" s="226"/>
      <c r="AR134" s="226"/>
      <c r="AS134" s="226"/>
      <c r="AT134" s="226"/>
      <c r="AU134" s="226"/>
      <c r="AV134" s="226"/>
      <c r="AW134" s="226"/>
      <c r="AX134" s="226"/>
      <c r="AY134" s="226"/>
      <c r="AZ134" s="226"/>
      <c r="BA134" s="226"/>
      <c r="BB134" s="226"/>
      <c r="BC134" s="226"/>
      <c r="BD134" s="226"/>
      <c r="BE134" s="226"/>
      <c r="BF134" s="226"/>
      <c r="BG134" s="226"/>
      <c r="BH134" s="226"/>
      <c r="BI134" s="226"/>
      <c r="BJ134" s="226"/>
      <c r="BK134" s="226"/>
      <c r="BL134" s="226"/>
      <c r="BM134" s="226"/>
      <c r="BN134" s="226"/>
      <c r="BO134" s="226"/>
      <c r="BP134" s="226"/>
      <c r="BQ134" s="226"/>
      <c r="BR134" s="226"/>
      <c r="BS134" s="226"/>
      <c r="BT134" s="226"/>
      <c r="BU134" s="226"/>
      <c r="BV134" s="226"/>
      <c r="BW134" s="226"/>
      <c r="BX134" s="226"/>
      <c r="BY134" s="226"/>
      <c r="BZ134" s="226"/>
      <c r="CA134" s="226"/>
      <c r="CB134" s="226"/>
      <c r="CC134" s="226"/>
      <c r="CD134" s="226"/>
      <c r="CE134" s="226"/>
      <c r="CF134" s="226"/>
      <c r="CG134" s="226"/>
      <c r="CH134" s="226"/>
      <c r="CI134" s="226"/>
      <c r="CJ134" s="226"/>
      <c r="CK134" s="226"/>
      <c r="CL134" s="226"/>
      <c r="CM134" s="226"/>
      <c r="CN134" s="226"/>
      <c r="CO134" s="226"/>
      <c r="CP134" s="226"/>
      <c r="CQ134" s="226"/>
      <c r="CR134" s="226"/>
      <c r="CS134" s="226"/>
      <c r="CT134" s="226"/>
      <c r="CU134" s="226"/>
      <c r="CV134" s="226"/>
      <c r="CW134" s="226"/>
      <c r="CX134" s="226"/>
      <c r="CY134" s="226"/>
      <c r="CZ134" s="226"/>
      <c r="DA134" s="226"/>
      <c r="DB134" s="226"/>
      <c r="DC134" s="226"/>
      <c r="DD134" s="226"/>
      <c r="DE134" s="226"/>
      <c r="DF134" s="226"/>
      <c r="DG134" s="226"/>
      <c r="DH134" s="226"/>
      <c r="DI134" s="226"/>
      <c r="DJ134" s="226"/>
      <c r="DK134" s="226"/>
      <c r="DL134" s="226"/>
      <c r="DM134" s="226"/>
      <c r="DN134" s="226"/>
      <c r="DO134" s="226"/>
      <c r="DP134" s="226"/>
      <c r="DQ134" s="226"/>
      <c r="DR134" s="226"/>
      <c r="DS134" s="226"/>
      <c r="DT134" s="226"/>
      <c r="DU134" s="226"/>
      <c r="DV134" s="226"/>
      <c r="DW134" s="226"/>
      <c r="DX134" s="226"/>
      <c r="DY134" s="226"/>
      <c r="DZ134" s="226"/>
      <c r="EA134" s="226"/>
      <c r="EB134" s="226"/>
      <c r="EC134" s="226"/>
      <c r="ED134" s="226"/>
      <c r="EE134" s="226"/>
      <c r="EF134" s="226"/>
      <c r="EG134" s="226"/>
      <c r="EH134" s="226"/>
      <c r="EI134" s="226"/>
      <c r="EJ134" s="226"/>
      <c r="EK134" s="226"/>
      <c r="EL134" s="226"/>
      <c r="EM134" s="226"/>
      <c r="EN134" s="226"/>
      <c r="EO134" s="226"/>
      <c r="EP134" s="226"/>
      <c r="EQ134" s="226"/>
      <c r="ER134" s="226"/>
      <c r="ES134" s="226"/>
      <c r="ET134" s="226"/>
      <c r="EU134" s="226"/>
      <c r="EV134" s="226"/>
      <c r="EW134" s="226"/>
      <c r="EX134" s="226"/>
      <c r="EY134" s="226"/>
      <c r="EZ134" s="226"/>
      <c r="FA134" s="226"/>
      <c r="FB134" s="226"/>
      <c r="FC134" s="226"/>
      <c r="FD134" s="226"/>
      <c r="FE134" s="226"/>
      <c r="FF134" s="226"/>
      <c r="FG134" s="226"/>
      <c r="FH134" s="226"/>
      <c r="FI134" s="226"/>
      <c r="FJ134" s="226"/>
      <c r="FK134" s="226"/>
      <c r="FL134" s="226"/>
      <c r="FM134" s="226"/>
      <c r="FN134" s="226"/>
      <c r="FO134" s="226"/>
      <c r="FP134" s="226"/>
      <c r="FQ134" s="226"/>
      <c r="FR134" s="226"/>
      <c r="FS134" s="226"/>
      <c r="FT134" s="226"/>
      <c r="FU134" s="226"/>
      <c r="FV134" s="226"/>
      <c r="FW134" s="226"/>
      <c r="FX134" s="226"/>
      <c r="FY134" s="226"/>
      <c r="FZ134" s="226"/>
      <c r="GA134" s="226"/>
      <c r="GB134" s="226"/>
      <c r="GC134" s="226"/>
      <c r="GD134" s="226"/>
      <c r="GE134" s="226"/>
      <c r="GF134" s="226"/>
      <c r="GG134" s="226"/>
    </row>
    <row r="135" spans="1:189" s="225" customFormat="1" ht="15.95" customHeight="1">
      <c r="A135" s="193" t="e">
        <f>+#REF!</f>
        <v>#REF!</v>
      </c>
      <c r="B135" s="230" t="e">
        <f>+#REF!</f>
        <v>#REF!</v>
      </c>
      <c r="C135" s="449" t="s">
        <v>1</v>
      </c>
      <c r="D135" s="138">
        <f>J135</f>
        <v>472.5</v>
      </c>
      <c r="E135" s="108" t="e">
        <f>#REF!</f>
        <v>#REF!</v>
      </c>
      <c r="F135" s="65" t="e">
        <f>+D135*E135</f>
        <v>#REF!</v>
      </c>
      <c r="H135" s="259">
        <f>F3</f>
        <v>450</v>
      </c>
      <c r="I135" s="265">
        <v>1.05</v>
      </c>
      <c r="J135" s="259">
        <f>H135*I135</f>
        <v>472.5</v>
      </c>
      <c r="K135" s="226"/>
      <c r="L135" s="226"/>
      <c r="M135" s="226"/>
      <c r="N135" s="226"/>
      <c r="O135" s="226"/>
      <c r="P135" s="226"/>
      <c r="Q135" s="226"/>
      <c r="R135" s="226"/>
      <c r="S135" s="226"/>
      <c r="T135" s="226"/>
      <c r="U135" s="226"/>
      <c r="V135" s="226"/>
      <c r="W135" s="226"/>
      <c r="X135" s="226"/>
      <c r="Y135" s="226"/>
      <c r="Z135" s="226"/>
      <c r="AA135" s="226"/>
      <c r="AB135" s="226"/>
      <c r="AC135" s="226"/>
      <c r="AD135" s="226"/>
      <c r="AE135" s="226"/>
      <c r="AF135" s="226"/>
      <c r="AG135" s="226"/>
      <c r="AH135" s="226"/>
      <c r="AI135" s="226"/>
      <c r="AJ135" s="226"/>
      <c r="AK135" s="226"/>
      <c r="AL135" s="226"/>
      <c r="AM135" s="226"/>
      <c r="AN135" s="226"/>
      <c r="AO135" s="226"/>
      <c r="AP135" s="226"/>
      <c r="AQ135" s="226"/>
      <c r="AR135" s="226"/>
      <c r="AS135" s="226"/>
      <c r="AT135" s="226"/>
      <c r="AU135" s="226"/>
      <c r="AV135" s="226"/>
      <c r="AW135" s="226"/>
      <c r="AX135" s="226"/>
      <c r="AY135" s="226"/>
      <c r="AZ135" s="226"/>
      <c r="BA135" s="226"/>
      <c r="BB135" s="226"/>
      <c r="BC135" s="226"/>
      <c r="BD135" s="226"/>
      <c r="BE135" s="226"/>
      <c r="BF135" s="226"/>
      <c r="BG135" s="226"/>
      <c r="BH135" s="226"/>
      <c r="BI135" s="226"/>
      <c r="BJ135" s="226"/>
      <c r="BK135" s="226"/>
      <c r="BL135" s="226"/>
      <c r="BM135" s="226"/>
      <c r="BN135" s="226"/>
      <c r="BO135" s="226"/>
      <c r="BP135" s="226"/>
      <c r="BQ135" s="226"/>
      <c r="BR135" s="226"/>
      <c r="BS135" s="226"/>
      <c r="BT135" s="226"/>
      <c r="BU135" s="226"/>
      <c r="BV135" s="226"/>
      <c r="BW135" s="226"/>
      <c r="BX135" s="226"/>
      <c r="BY135" s="226"/>
      <c r="BZ135" s="226"/>
      <c r="CA135" s="226"/>
      <c r="CB135" s="226"/>
      <c r="CC135" s="226"/>
      <c r="CD135" s="226"/>
      <c r="CE135" s="226"/>
      <c r="CF135" s="226"/>
      <c r="CG135" s="226"/>
      <c r="CH135" s="226"/>
      <c r="CI135" s="226"/>
      <c r="CJ135" s="226"/>
      <c r="CK135" s="226"/>
      <c r="CL135" s="226"/>
      <c r="CM135" s="226"/>
      <c r="CN135" s="226"/>
      <c r="CO135" s="226"/>
      <c r="CP135" s="226"/>
      <c r="CQ135" s="226"/>
      <c r="CR135" s="226"/>
      <c r="CS135" s="226"/>
      <c r="CT135" s="226"/>
      <c r="CU135" s="226"/>
      <c r="CV135" s="226"/>
      <c r="CW135" s="226"/>
      <c r="CX135" s="226"/>
      <c r="CY135" s="226"/>
      <c r="CZ135" s="226"/>
      <c r="DA135" s="226"/>
      <c r="DB135" s="226"/>
      <c r="DC135" s="226"/>
      <c r="DD135" s="226"/>
      <c r="DE135" s="226"/>
      <c r="DF135" s="226"/>
      <c r="DG135" s="226"/>
      <c r="DH135" s="226"/>
      <c r="DI135" s="226"/>
      <c r="DJ135" s="226"/>
      <c r="DK135" s="226"/>
      <c r="DL135" s="226"/>
      <c r="DM135" s="226"/>
      <c r="DN135" s="226"/>
      <c r="DO135" s="226"/>
      <c r="DP135" s="226"/>
      <c r="DQ135" s="226"/>
      <c r="DR135" s="226"/>
      <c r="DS135" s="226"/>
      <c r="DT135" s="226"/>
      <c r="DU135" s="226"/>
      <c r="DV135" s="226"/>
      <c r="DW135" s="226"/>
      <c r="DX135" s="226"/>
      <c r="DY135" s="226"/>
      <c r="DZ135" s="226"/>
      <c r="EA135" s="226"/>
      <c r="EB135" s="226"/>
      <c r="EC135" s="226"/>
      <c r="ED135" s="226"/>
      <c r="EE135" s="226"/>
      <c r="EF135" s="226"/>
      <c r="EG135" s="226"/>
      <c r="EH135" s="226"/>
      <c r="EI135" s="226"/>
      <c r="EJ135" s="226"/>
      <c r="EK135" s="226"/>
      <c r="EL135" s="226"/>
      <c r="EM135" s="226"/>
      <c r="EN135" s="226"/>
      <c r="EO135" s="226"/>
      <c r="EP135" s="226"/>
      <c r="EQ135" s="226"/>
      <c r="ER135" s="226"/>
      <c r="ES135" s="226"/>
      <c r="ET135" s="226"/>
      <c r="EU135" s="226"/>
      <c r="EV135" s="226"/>
      <c r="EW135" s="226"/>
      <c r="EX135" s="226"/>
      <c r="EY135" s="226"/>
      <c r="EZ135" s="226"/>
      <c r="FA135" s="226"/>
      <c r="FB135" s="226"/>
      <c r="FC135" s="226"/>
      <c r="FD135" s="226"/>
      <c r="FE135" s="226"/>
      <c r="FF135" s="226"/>
      <c r="FG135" s="226"/>
      <c r="FH135" s="226"/>
      <c r="FI135" s="226"/>
      <c r="FJ135" s="226"/>
      <c r="FK135" s="226"/>
      <c r="FL135" s="226"/>
      <c r="FM135" s="226"/>
      <c r="FN135" s="226"/>
      <c r="FO135" s="226"/>
      <c r="FP135" s="226"/>
      <c r="FQ135" s="226"/>
      <c r="FR135" s="226"/>
      <c r="FS135" s="226"/>
      <c r="FT135" s="226"/>
      <c r="FU135" s="226"/>
      <c r="FV135" s="226"/>
      <c r="FW135" s="226"/>
      <c r="FX135" s="226"/>
      <c r="FY135" s="226"/>
      <c r="FZ135" s="226"/>
      <c r="GA135" s="226"/>
      <c r="GB135" s="226"/>
      <c r="GC135" s="226"/>
      <c r="GD135" s="226"/>
      <c r="GE135" s="226"/>
      <c r="GF135" s="226"/>
      <c r="GG135" s="226"/>
    </row>
    <row r="136" spans="1:189" s="225" customFormat="1" ht="15.95" customHeight="1">
      <c r="A136" s="193" t="e">
        <f>+#REF!</f>
        <v>#REF!</v>
      </c>
      <c r="B136" s="230" t="e">
        <f>+#REF!</f>
        <v>#REF!</v>
      </c>
      <c r="C136" s="449" t="s">
        <v>1</v>
      </c>
      <c r="D136" s="138">
        <f>J136</f>
        <v>601.65</v>
      </c>
      <c r="E136" s="108" t="e">
        <f>#REF!</f>
        <v>#REF!</v>
      </c>
      <c r="F136" s="65" t="e">
        <f>+D136*E136</f>
        <v>#REF!</v>
      </c>
      <c r="H136" s="259">
        <f>F4</f>
        <v>573</v>
      </c>
      <c r="I136" s="265">
        <v>1.05</v>
      </c>
      <c r="J136" s="259">
        <f>H136*I136</f>
        <v>601.65</v>
      </c>
      <c r="K136" s="226"/>
      <c r="L136" s="226"/>
      <c r="M136" s="226"/>
      <c r="N136" s="226"/>
      <c r="O136" s="226"/>
      <c r="P136" s="226"/>
      <c r="Q136" s="226"/>
      <c r="R136" s="226"/>
      <c r="S136" s="226"/>
      <c r="T136" s="226"/>
      <c r="U136" s="226"/>
      <c r="V136" s="226"/>
      <c r="W136" s="226"/>
      <c r="X136" s="226"/>
      <c r="Y136" s="226"/>
      <c r="Z136" s="226"/>
      <c r="AA136" s="226"/>
      <c r="AB136" s="226"/>
      <c r="AC136" s="226"/>
      <c r="AD136" s="226"/>
      <c r="AE136" s="226"/>
      <c r="AF136" s="226"/>
      <c r="AG136" s="226"/>
      <c r="AH136" s="226"/>
      <c r="AI136" s="226"/>
      <c r="AJ136" s="226"/>
      <c r="AK136" s="226"/>
      <c r="AL136" s="226"/>
      <c r="AM136" s="226"/>
      <c r="AN136" s="226"/>
      <c r="AO136" s="226"/>
      <c r="AP136" s="226"/>
      <c r="AQ136" s="226"/>
      <c r="AR136" s="226"/>
      <c r="AS136" s="226"/>
      <c r="AT136" s="226"/>
      <c r="AU136" s="226"/>
      <c r="AV136" s="226"/>
      <c r="AW136" s="226"/>
      <c r="AX136" s="226"/>
      <c r="AY136" s="226"/>
      <c r="AZ136" s="226"/>
      <c r="BA136" s="226"/>
      <c r="BB136" s="226"/>
      <c r="BC136" s="226"/>
      <c r="BD136" s="226"/>
      <c r="BE136" s="226"/>
      <c r="BF136" s="226"/>
      <c r="BG136" s="226"/>
      <c r="BH136" s="226"/>
      <c r="BI136" s="226"/>
      <c r="BJ136" s="226"/>
      <c r="BK136" s="226"/>
      <c r="BL136" s="226"/>
      <c r="BM136" s="226"/>
      <c r="BN136" s="226"/>
      <c r="BO136" s="226"/>
      <c r="BP136" s="226"/>
      <c r="BQ136" s="226"/>
      <c r="BR136" s="226"/>
      <c r="BS136" s="226"/>
      <c r="BT136" s="226"/>
      <c r="BU136" s="226"/>
      <c r="BV136" s="226"/>
      <c r="BW136" s="226"/>
      <c r="BX136" s="226"/>
      <c r="BY136" s="226"/>
      <c r="BZ136" s="226"/>
      <c r="CA136" s="226"/>
      <c r="CB136" s="226"/>
      <c r="CC136" s="226"/>
      <c r="CD136" s="226"/>
      <c r="CE136" s="226"/>
      <c r="CF136" s="226"/>
      <c r="CG136" s="226"/>
      <c r="CH136" s="226"/>
      <c r="CI136" s="226"/>
      <c r="CJ136" s="226"/>
      <c r="CK136" s="226"/>
      <c r="CL136" s="226"/>
      <c r="CM136" s="226"/>
      <c r="CN136" s="226"/>
      <c r="CO136" s="226"/>
      <c r="CP136" s="226"/>
      <c r="CQ136" s="226"/>
      <c r="CR136" s="226"/>
      <c r="CS136" s="226"/>
      <c r="CT136" s="226"/>
      <c r="CU136" s="226"/>
      <c r="CV136" s="226"/>
      <c r="CW136" s="226"/>
      <c r="CX136" s="226"/>
      <c r="CY136" s="226"/>
      <c r="CZ136" s="226"/>
      <c r="DA136" s="226"/>
      <c r="DB136" s="226"/>
      <c r="DC136" s="226"/>
      <c r="DD136" s="226"/>
      <c r="DE136" s="226"/>
      <c r="DF136" s="226"/>
      <c r="DG136" s="226"/>
      <c r="DH136" s="226"/>
      <c r="DI136" s="226"/>
      <c r="DJ136" s="226"/>
      <c r="DK136" s="226"/>
      <c r="DL136" s="226"/>
      <c r="DM136" s="226"/>
      <c r="DN136" s="226"/>
      <c r="DO136" s="226"/>
      <c r="DP136" s="226"/>
      <c r="DQ136" s="226"/>
      <c r="DR136" s="226"/>
      <c r="DS136" s="226"/>
      <c r="DT136" s="226"/>
      <c r="DU136" s="226"/>
      <c r="DV136" s="226"/>
      <c r="DW136" s="226"/>
      <c r="DX136" s="226"/>
      <c r="DY136" s="226"/>
      <c r="DZ136" s="226"/>
      <c r="EA136" s="226"/>
      <c r="EB136" s="226"/>
      <c r="EC136" s="226"/>
      <c r="ED136" s="226"/>
      <c r="EE136" s="226"/>
      <c r="EF136" s="226"/>
      <c r="EG136" s="226"/>
      <c r="EH136" s="226"/>
      <c r="EI136" s="226"/>
      <c r="EJ136" s="226"/>
      <c r="EK136" s="226"/>
      <c r="EL136" s="226"/>
      <c r="EM136" s="226"/>
      <c r="EN136" s="226"/>
      <c r="EO136" s="226"/>
      <c r="EP136" s="226"/>
      <c r="EQ136" s="226"/>
      <c r="ER136" s="226"/>
      <c r="ES136" s="226"/>
      <c r="ET136" s="226"/>
      <c r="EU136" s="226"/>
      <c r="EV136" s="226"/>
      <c r="EW136" s="226"/>
      <c r="EX136" s="226"/>
      <c r="EY136" s="226"/>
      <c r="EZ136" s="226"/>
      <c r="FA136" s="226"/>
      <c r="FB136" s="226"/>
      <c r="FC136" s="226"/>
      <c r="FD136" s="226"/>
      <c r="FE136" s="226"/>
      <c r="FF136" s="226"/>
      <c r="FG136" s="226"/>
      <c r="FH136" s="226"/>
      <c r="FI136" s="226"/>
      <c r="FJ136" s="226"/>
      <c r="FK136" s="226"/>
      <c r="FL136" s="226"/>
      <c r="FM136" s="226"/>
      <c r="FN136" s="226"/>
      <c r="FO136" s="226"/>
      <c r="FP136" s="226"/>
      <c r="FQ136" s="226"/>
      <c r="FR136" s="226"/>
      <c r="FS136" s="226"/>
      <c r="FT136" s="226"/>
      <c r="FU136" s="226"/>
      <c r="FV136" s="226"/>
      <c r="FW136" s="226"/>
      <c r="FX136" s="226"/>
      <c r="FY136" s="226"/>
      <c r="FZ136" s="226"/>
      <c r="GA136" s="226"/>
      <c r="GB136" s="226"/>
      <c r="GC136" s="226"/>
      <c r="GD136" s="226"/>
      <c r="GE136" s="226"/>
      <c r="GF136" s="226"/>
      <c r="GG136" s="226"/>
    </row>
    <row r="137" spans="1:189" s="225" customFormat="1" ht="15.95" customHeight="1">
      <c r="A137" s="17"/>
      <c r="B137" s="196"/>
      <c r="C137" s="449"/>
      <c r="D137" s="138"/>
      <c r="E137" s="140"/>
      <c r="F137" s="65"/>
      <c r="H137" s="259"/>
      <c r="I137" s="265"/>
      <c r="J137" s="259"/>
      <c r="K137" s="226"/>
      <c r="L137" s="226"/>
      <c r="M137" s="226"/>
      <c r="N137" s="226"/>
      <c r="O137" s="226"/>
      <c r="P137" s="226"/>
      <c r="Q137" s="226"/>
      <c r="R137" s="226"/>
      <c r="S137" s="226"/>
      <c r="T137" s="226"/>
      <c r="U137" s="226"/>
      <c r="V137" s="226"/>
      <c r="W137" s="226"/>
      <c r="X137" s="226"/>
      <c r="Y137" s="226"/>
      <c r="Z137" s="226"/>
      <c r="AA137" s="226"/>
      <c r="AB137" s="226"/>
      <c r="AC137" s="226"/>
      <c r="AD137" s="226"/>
      <c r="AE137" s="226"/>
      <c r="AF137" s="226"/>
      <c r="AG137" s="226"/>
      <c r="AH137" s="226"/>
      <c r="AI137" s="226"/>
      <c r="AJ137" s="226"/>
      <c r="AK137" s="226"/>
      <c r="AL137" s="226"/>
      <c r="AM137" s="226"/>
      <c r="AN137" s="226"/>
      <c r="AO137" s="226"/>
      <c r="AP137" s="226"/>
      <c r="AQ137" s="226"/>
      <c r="AR137" s="226"/>
      <c r="AS137" s="226"/>
      <c r="AT137" s="226"/>
      <c r="AU137" s="226"/>
      <c r="AV137" s="226"/>
      <c r="AW137" s="226"/>
      <c r="AX137" s="226"/>
      <c r="AY137" s="226"/>
      <c r="AZ137" s="226"/>
      <c r="BA137" s="226"/>
      <c r="BB137" s="226"/>
      <c r="BC137" s="226"/>
      <c r="BD137" s="226"/>
      <c r="BE137" s="226"/>
      <c r="BF137" s="226"/>
      <c r="BG137" s="226"/>
      <c r="BH137" s="226"/>
      <c r="BI137" s="226"/>
      <c r="BJ137" s="226"/>
      <c r="BK137" s="226"/>
      <c r="BL137" s="226"/>
      <c r="BM137" s="226"/>
      <c r="BN137" s="226"/>
      <c r="BO137" s="226"/>
      <c r="BP137" s="226"/>
      <c r="BQ137" s="226"/>
      <c r="BR137" s="226"/>
      <c r="BS137" s="226"/>
      <c r="BT137" s="226"/>
      <c r="BU137" s="226"/>
      <c r="BV137" s="226"/>
      <c r="BW137" s="226"/>
      <c r="BX137" s="226"/>
      <c r="BY137" s="226"/>
      <c r="BZ137" s="226"/>
      <c r="CA137" s="226"/>
      <c r="CB137" s="226"/>
      <c r="CC137" s="226"/>
      <c r="CD137" s="226"/>
      <c r="CE137" s="226"/>
      <c r="CF137" s="226"/>
      <c r="CG137" s="226"/>
      <c r="CH137" s="226"/>
      <c r="CI137" s="226"/>
      <c r="CJ137" s="226"/>
      <c r="CK137" s="226"/>
      <c r="CL137" s="226"/>
      <c r="CM137" s="226"/>
      <c r="CN137" s="226"/>
      <c r="CO137" s="226"/>
      <c r="CP137" s="226"/>
      <c r="CQ137" s="226"/>
      <c r="CR137" s="226"/>
      <c r="CS137" s="226"/>
      <c r="CT137" s="226"/>
      <c r="CU137" s="226"/>
      <c r="CV137" s="226"/>
      <c r="CW137" s="226"/>
      <c r="CX137" s="226"/>
      <c r="CY137" s="226"/>
      <c r="CZ137" s="226"/>
      <c r="DA137" s="226"/>
      <c r="DB137" s="226"/>
      <c r="DC137" s="226"/>
      <c r="DD137" s="226"/>
      <c r="DE137" s="226"/>
      <c r="DF137" s="226"/>
      <c r="DG137" s="226"/>
      <c r="DH137" s="226"/>
      <c r="DI137" s="226"/>
      <c r="DJ137" s="226"/>
      <c r="DK137" s="226"/>
      <c r="DL137" s="226"/>
      <c r="DM137" s="226"/>
      <c r="DN137" s="226"/>
      <c r="DO137" s="226"/>
      <c r="DP137" s="226"/>
      <c r="DQ137" s="226"/>
      <c r="DR137" s="226"/>
      <c r="DS137" s="226"/>
      <c r="DT137" s="226"/>
      <c r="DU137" s="226"/>
      <c r="DV137" s="226"/>
      <c r="DW137" s="226"/>
      <c r="DX137" s="226"/>
      <c r="DY137" s="226"/>
      <c r="DZ137" s="226"/>
      <c r="EA137" s="226"/>
      <c r="EB137" s="226"/>
      <c r="EC137" s="226"/>
      <c r="ED137" s="226"/>
      <c r="EE137" s="226"/>
      <c r="EF137" s="226"/>
      <c r="EG137" s="226"/>
      <c r="EH137" s="226"/>
      <c r="EI137" s="226"/>
      <c r="EJ137" s="226"/>
      <c r="EK137" s="226"/>
      <c r="EL137" s="226"/>
      <c r="EM137" s="226"/>
      <c r="EN137" s="226"/>
      <c r="EO137" s="226"/>
      <c r="EP137" s="226"/>
      <c r="EQ137" s="226"/>
      <c r="ER137" s="226"/>
      <c r="ES137" s="226"/>
      <c r="ET137" s="226"/>
      <c r="EU137" s="226"/>
      <c r="EV137" s="226"/>
      <c r="EW137" s="226"/>
      <c r="EX137" s="226"/>
      <c r="EY137" s="226"/>
      <c r="EZ137" s="226"/>
      <c r="FA137" s="226"/>
      <c r="FB137" s="226"/>
      <c r="FC137" s="226"/>
      <c r="FD137" s="226"/>
      <c r="FE137" s="226"/>
      <c r="FF137" s="226"/>
      <c r="FG137" s="226"/>
      <c r="FH137" s="226"/>
      <c r="FI137" s="226"/>
      <c r="FJ137" s="226"/>
      <c r="FK137" s="226"/>
      <c r="FL137" s="226"/>
      <c r="FM137" s="226"/>
      <c r="FN137" s="226"/>
      <c r="FO137" s="226"/>
      <c r="FP137" s="226"/>
      <c r="FQ137" s="226"/>
      <c r="FR137" s="226"/>
      <c r="FS137" s="226"/>
      <c r="FT137" s="226"/>
      <c r="FU137" s="226"/>
      <c r="FV137" s="226"/>
      <c r="FW137" s="226"/>
      <c r="FX137" s="226"/>
      <c r="FY137" s="226"/>
      <c r="FZ137" s="226"/>
      <c r="GA137" s="226"/>
      <c r="GB137" s="226"/>
      <c r="GC137" s="226"/>
      <c r="GD137" s="226"/>
      <c r="GE137" s="226"/>
      <c r="GF137" s="226"/>
      <c r="GG137" s="226"/>
    </row>
    <row r="138" spans="1:189" s="198" customFormat="1" ht="15.95" customHeight="1">
      <c r="A138" s="247" t="s">
        <v>229</v>
      </c>
      <c r="B138" s="223" t="s">
        <v>143</v>
      </c>
      <c r="C138" s="224"/>
      <c r="D138" s="200"/>
      <c r="E138" s="109"/>
      <c r="F138" s="63"/>
      <c r="G138" s="225"/>
      <c r="H138" s="259"/>
      <c r="I138" s="265"/>
      <c r="J138" s="259"/>
      <c r="K138" s="199"/>
      <c r="L138" s="199"/>
      <c r="M138" s="199"/>
      <c r="N138" s="199"/>
      <c r="O138" s="199"/>
      <c r="P138" s="199"/>
      <c r="Q138" s="199"/>
      <c r="R138" s="199"/>
      <c r="S138" s="199"/>
      <c r="T138" s="199"/>
      <c r="U138" s="199"/>
      <c r="V138" s="199"/>
      <c r="W138" s="199"/>
      <c r="X138" s="199"/>
      <c r="Y138" s="199"/>
      <c r="Z138" s="199"/>
      <c r="AA138" s="199"/>
      <c r="AB138" s="199"/>
      <c r="AC138" s="199"/>
      <c r="AD138" s="199"/>
      <c r="AE138" s="199"/>
      <c r="AF138" s="199"/>
      <c r="AG138" s="199"/>
      <c r="AH138" s="199"/>
      <c r="AI138" s="199"/>
      <c r="AJ138" s="199"/>
      <c r="AK138" s="199"/>
      <c r="AL138" s="199"/>
      <c r="AM138" s="199"/>
      <c r="AN138" s="199"/>
      <c r="AO138" s="199"/>
      <c r="AP138" s="199"/>
      <c r="AQ138" s="199"/>
      <c r="AR138" s="199"/>
      <c r="AS138" s="199"/>
      <c r="AT138" s="199"/>
      <c r="AU138" s="199"/>
      <c r="AV138" s="199"/>
      <c r="AW138" s="199"/>
      <c r="AX138" s="199"/>
      <c r="AY138" s="199"/>
      <c r="AZ138" s="199"/>
      <c r="BA138" s="199"/>
      <c r="BB138" s="199"/>
      <c r="BC138" s="199"/>
      <c r="BD138" s="199"/>
      <c r="BE138" s="199"/>
      <c r="BF138" s="199"/>
      <c r="BG138" s="199"/>
      <c r="BH138" s="199"/>
      <c r="BI138" s="199"/>
      <c r="BJ138" s="199"/>
      <c r="BK138" s="199"/>
      <c r="BL138" s="199"/>
      <c r="BM138" s="199"/>
      <c r="BN138" s="199"/>
      <c r="BO138" s="199"/>
      <c r="BP138" s="199"/>
      <c r="BQ138" s="199"/>
      <c r="BR138" s="199"/>
      <c r="BS138" s="199"/>
      <c r="BT138" s="199"/>
      <c r="BU138" s="199"/>
      <c r="BV138" s="199"/>
      <c r="BW138" s="199"/>
      <c r="BX138" s="199"/>
      <c r="BY138" s="199"/>
      <c r="BZ138" s="199"/>
      <c r="CA138" s="199"/>
      <c r="CB138" s="199"/>
      <c r="CC138" s="199"/>
      <c r="CD138" s="199"/>
      <c r="CE138" s="199"/>
      <c r="CF138" s="199"/>
      <c r="CG138" s="199"/>
      <c r="CH138" s="199"/>
      <c r="CI138" s="199"/>
      <c r="CJ138" s="199"/>
      <c r="CK138" s="199"/>
      <c r="CL138" s="199"/>
      <c r="CM138" s="199"/>
      <c r="CN138" s="199"/>
      <c r="CO138" s="199"/>
      <c r="CP138" s="199"/>
      <c r="CQ138" s="199"/>
      <c r="CR138" s="199"/>
      <c r="CS138" s="199"/>
      <c r="CT138" s="199"/>
      <c r="CU138" s="199"/>
      <c r="CV138" s="199"/>
      <c r="CW138" s="199"/>
      <c r="CX138" s="199"/>
      <c r="CY138" s="199"/>
      <c r="CZ138" s="199"/>
      <c r="DA138" s="199"/>
      <c r="DB138" s="199"/>
      <c r="DC138" s="199"/>
      <c r="DD138" s="199"/>
      <c r="DE138" s="199"/>
      <c r="DF138" s="199"/>
      <c r="DG138" s="199"/>
      <c r="DH138" s="199"/>
      <c r="DI138" s="199"/>
      <c r="DJ138" s="199"/>
      <c r="DK138" s="199"/>
      <c r="DL138" s="199"/>
      <c r="DM138" s="199"/>
      <c r="DN138" s="199"/>
      <c r="DO138" s="199"/>
      <c r="DP138" s="199"/>
      <c r="DQ138" s="199"/>
      <c r="DR138" s="199"/>
      <c r="DS138" s="199"/>
      <c r="DT138" s="199"/>
      <c r="DU138" s="199"/>
      <c r="DV138" s="199"/>
      <c r="DW138" s="199"/>
      <c r="DX138" s="199"/>
      <c r="DY138" s="199"/>
      <c r="DZ138" s="199"/>
      <c r="EA138" s="199"/>
      <c r="EB138" s="199"/>
      <c r="EC138" s="199"/>
      <c r="ED138" s="199"/>
      <c r="EE138" s="199"/>
      <c r="EF138" s="199"/>
      <c r="EG138" s="199"/>
      <c r="EH138" s="199"/>
      <c r="EI138" s="199"/>
      <c r="EJ138" s="199"/>
      <c r="EK138" s="199"/>
      <c r="EL138" s="199"/>
      <c r="EM138" s="199"/>
      <c r="EN138" s="199"/>
      <c r="EO138" s="199"/>
      <c r="EP138" s="199"/>
      <c r="EQ138" s="199"/>
      <c r="ER138" s="199"/>
      <c r="ES138" s="199"/>
      <c r="ET138" s="199"/>
      <c r="EU138" s="199"/>
      <c r="EV138" s="199"/>
      <c r="EW138" s="199"/>
      <c r="EX138" s="199"/>
      <c r="EY138" s="199"/>
      <c r="EZ138" s="199"/>
      <c r="FA138" s="199"/>
      <c r="FB138" s="199"/>
      <c r="FC138" s="199"/>
      <c r="FD138" s="199"/>
      <c r="FE138" s="199"/>
      <c r="FF138" s="199"/>
      <c r="FG138" s="199"/>
      <c r="FH138" s="199"/>
      <c r="FI138" s="199"/>
      <c r="FJ138" s="199"/>
      <c r="FK138" s="199"/>
      <c r="FL138" s="199"/>
      <c r="FM138" s="199"/>
      <c r="FN138" s="199"/>
      <c r="FO138" s="199"/>
      <c r="FP138" s="199"/>
      <c r="FQ138" s="199"/>
      <c r="FR138" s="199"/>
      <c r="FS138" s="199"/>
      <c r="FT138" s="199"/>
      <c r="FU138" s="199"/>
      <c r="FV138" s="199"/>
      <c r="FW138" s="199"/>
      <c r="FX138" s="199"/>
      <c r="FY138" s="199"/>
      <c r="FZ138" s="199"/>
      <c r="GA138" s="199"/>
      <c r="GB138" s="199"/>
      <c r="GC138" s="199"/>
      <c r="GD138" s="199"/>
      <c r="GE138" s="199"/>
      <c r="GF138" s="199"/>
      <c r="GG138" s="199"/>
    </row>
    <row r="139" spans="1:189" s="225" customFormat="1" ht="15.95" customHeight="1">
      <c r="A139" s="139" t="s">
        <v>228</v>
      </c>
      <c r="B139" s="193" t="s">
        <v>210</v>
      </c>
      <c r="C139" s="228" t="s">
        <v>1</v>
      </c>
      <c r="D139" s="138">
        <v>0</v>
      </c>
      <c r="E139" s="140" t="e">
        <f>#REF!</f>
        <v>#REF!</v>
      </c>
      <c r="F139" s="65" t="e">
        <f>+D139*E139</f>
        <v>#REF!</v>
      </c>
      <c r="H139" s="259">
        <f>37+13+19</f>
        <v>69</v>
      </c>
      <c r="I139" s="265">
        <v>1.05</v>
      </c>
      <c r="J139" s="259">
        <f>H139*I139</f>
        <v>72.45</v>
      </c>
      <c r="K139" s="226"/>
      <c r="L139" s="226"/>
      <c r="M139" s="226"/>
      <c r="N139" s="226"/>
      <c r="O139" s="226"/>
      <c r="P139" s="226"/>
      <c r="Q139" s="226"/>
      <c r="R139" s="226"/>
      <c r="S139" s="226"/>
      <c r="T139" s="226"/>
      <c r="U139" s="226"/>
      <c r="V139" s="226"/>
      <c r="W139" s="226"/>
      <c r="X139" s="226"/>
      <c r="Y139" s="226"/>
      <c r="Z139" s="226"/>
      <c r="AA139" s="226"/>
      <c r="AB139" s="226"/>
      <c r="AC139" s="226"/>
      <c r="AD139" s="226"/>
      <c r="AE139" s="226"/>
      <c r="AF139" s="226"/>
      <c r="AG139" s="226"/>
      <c r="AH139" s="226"/>
      <c r="AI139" s="226"/>
      <c r="AJ139" s="226"/>
      <c r="AK139" s="226"/>
      <c r="AL139" s="226"/>
      <c r="AM139" s="226"/>
      <c r="AN139" s="226"/>
      <c r="AO139" s="226"/>
      <c r="AP139" s="226"/>
      <c r="AQ139" s="226"/>
      <c r="AR139" s="226"/>
      <c r="AS139" s="226"/>
      <c r="AT139" s="226"/>
      <c r="AU139" s="226"/>
      <c r="AV139" s="226"/>
      <c r="AW139" s="226"/>
      <c r="AX139" s="226"/>
      <c r="AY139" s="226"/>
      <c r="AZ139" s="226"/>
      <c r="BA139" s="226"/>
      <c r="BB139" s="226"/>
      <c r="BC139" s="226"/>
      <c r="BD139" s="226"/>
      <c r="BE139" s="226"/>
      <c r="BF139" s="226"/>
      <c r="BG139" s="226"/>
      <c r="BH139" s="226"/>
      <c r="BI139" s="226"/>
      <c r="BJ139" s="226"/>
      <c r="BK139" s="226"/>
      <c r="BL139" s="226"/>
      <c r="BM139" s="226"/>
      <c r="BN139" s="226"/>
      <c r="BO139" s="226"/>
      <c r="BP139" s="226"/>
      <c r="BQ139" s="226"/>
      <c r="BR139" s="226"/>
      <c r="BS139" s="226"/>
      <c r="BT139" s="226"/>
      <c r="BU139" s="226"/>
      <c r="BV139" s="226"/>
      <c r="BW139" s="226"/>
      <c r="BX139" s="226"/>
      <c r="BY139" s="226"/>
      <c r="BZ139" s="226"/>
      <c r="CA139" s="226"/>
      <c r="CB139" s="226"/>
      <c r="CC139" s="226"/>
      <c r="CD139" s="226"/>
      <c r="CE139" s="226"/>
      <c r="CF139" s="226"/>
      <c r="CG139" s="226"/>
      <c r="CH139" s="226"/>
      <c r="CI139" s="226"/>
      <c r="CJ139" s="226"/>
      <c r="CK139" s="226"/>
      <c r="CL139" s="226"/>
      <c r="CM139" s="226"/>
      <c r="CN139" s="226"/>
      <c r="CO139" s="226"/>
      <c r="CP139" s="226"/>
      <c r="CQ139" s="226"/>
      <c r="CR139" s="226"/>
      <c r="CS139" s="226"/>
      <c r="CT139" s="226"/>
      <c r="CU139" s="226"/>
      <c r="CV139" s="226"/>
      <c r="CW139" s="226"/>
      <c r="CX139" s="226"/>
      <c r="CY139" s="226"/>
      <c r="CZ139" s="226"/>
      <c r="DA139" s="226"/>
      <c r="DB139" s="226"/>
      <c r="DC139" s="226"/>
      <c r="DD139" s="226"/>
      <c r="DE139" s="226"/>
      <c r="DF139" s="226"/>
      <c r="DG139" s="226"/>
      <c r="DH139" s="226"/>
      <c r="DI139" s="226"/>
      <c r="DJ139" s="226"/>
      <c r="DK139" s="226"/>
      <c r="DL139" s="226"/>
      <c r="DM139" s="226"/>
      <c r="DN139" s="226"/>
      <c r="DO139" s="226"/>
      <c r="DP139" s="226"/>
      <c r="DQ139" s="226"/>
      <c r="DR139" s="226"/>
      <c r="DS139" s="226"/>
      <c r="DT139" s="226"/>
      <c r="DU139" s="226"/>
      <c r="DV139" s="226"/>
      <c r="DW139" s="226"/>
      <c r="DX139" s="226"/>
      <c r="DY139" s="226"/>
      <c r="DZ139" s="226"/>
      <c r="EA139" s="226"/>
      <c r="EB139" s="226"/>
      <c r="EC139" s="226"/>
      <c r="ED139" s="226"/>
      <c r="EE139" s="226"/>
      <c r="EF139" s="226"/>
      <c r="EG139" s="226"/>
      <c r="EH139" s="226"/>
      <c r="EI139" s="226"/>
      <c r="EJ139" s="226"/>
      <c r="EK139" s="226"/>
      <c r="EL139" s="226"/>
      <c r="EM139" s="226"/>
      <c r="EN139" s="226"/>
      <c r="EO139" s="226"/>
      <c r="EP139" s="226"/>
      <c r="EQ139" s="226"/>
      <c r="ER139" s="226"/>
      <c r="ES139" s="226"/>
      <c r="ET139" s="226"/>
      <c r="EU139" s="226"/>
      <c r="EV139" s="226"/>
      <c r="EW139" s="226"/>
      <c r="EX139" s="226"/>
      <c r="EY139" s="226"/>
      <c r="EZ139" s="226"/>
      <c r="FA139" s="226"/>
      <c r="FB139" s="226"/>
      <c r="FC139" s="226"/>
      <c r="FD139" s="226"/>
      <c r="FE139" s="226"/>
      <c r="FF139" s="226"/>
      <c r="FG139" s="226"/>
      <c r="FH139" s="226"/>
      <c r="FI139" s="226"/>
      <c r="FJ139" s="226"/>
      <c r="FK139" s="226"/>
      <c r="FL139" s="226"/>
      <c r="FM139" s="226"/>
      <c r="FN139" s="226"/>
      <c r="FO139" s="226"/>
      <c r="FP139" s="226"/>
      <c r="FQ139" s="226"/>
      <c r="FR139" s="226"/>
      <c r="FS139" s="226"/>
      <c r="FT139" s="226"/>
      <c r="FU139" s="226"/>
      <c r="FV139" s="226"/>
      <c r="FW139" s="226"/>
      <c r="FX139" s="226"/>
      <c r="FY139" s="226"/>
      <c r="FZ139" s="226"/>
      <c r="GA139" s="226"/>
      <c r="GB139" s="226"/>
      <c r="GC139" s="226"/>
      <c r="GD139" s="226"/>
      <c r="GE139" s="226"/>
      <c r="GF139" s="226"/>
      <c r="GG139" s="226"/>
    </row>
    <row r="140" spans="1:189" s="225" customFormat="1" ht="15.95" customHeight="1">
      <c r="A140" s="17"/>
      <c r="B140" s="230"/>
      <c r="C140" s="228"/>
      <c r="D140" s="138"/>
      <c r="E140" s="108"/>
      <c r="F140" s="65"/>
      <c r="H140" s="259"/>
      <c r="I140" s="265"/>
      <c r="J140" s="259"/>
      <c r="K140" s="226"/>
      <c r="L140" s="226"/>
      <c r="M140" s="226"/>
      <c r="N140" s="226"/>
      <c r="O140" s="226"/>
      <c r="P140" s="226"/>
      <c r="Q140" s="226"/>
      <c r="R140" s="226"/>
      <c r="S140" s="226"/>
      <c r="T140" s="226"/>
      <c r="U140" s="226"/>
      <c r="V140" s="226"/>
      <c r="W140" s="226"/>
      <c r="X140" s="226"/>
      <c r="Y140" s="226"/>
      <c r="Z140" s="226"/>
      <c r="AA140" s="226"/>
      <c r="AB140" s="226"/>
      <c r="AC140" s="226"/>
      <c r="AD140" s="226"/>
      <c r="AE140" s="226"/>
      <c r="AF140" s="226"/>
      <c r="AG140" s="226"/>
      <c r="AH140" s="226"/>
      <c r="AI140" s="226"/>
      <c r="AJ140" s="226"/>
      <c r="AK140" s="226"/>
      <c r="AL140" s="226"/>
      <c r="AM140" s="226"/>
      <c r="AN140" s="226"/>
      <c r="AO140" s="226"/>
      <c r="AP140" s="226"/>
      <c r="AQ140" s="226"/>
      <c r="AR140" s="226"/>
      <c r="AS140" s="226"/>
      <c r="AT140" s="226"/>
      <c r="AU140" s="226"/>
      <c r="AV140" s="226"/>
      <c r="AW140" s="226"/>
      <c r="AX140" s="226"/>
      <c r="AY140" s="226"/>
      <c r="AZ140" s="226"/>
      <c r="BA140" s="226"/>
      <c r="BB140" s="226"/>
      <c r="BC140" s="226"/>
      <c r="BD140" s="226"/>
      <c r="BE140" s="226"/>
      <c r="BF140" s="226"/>
      <c r="BG140" s="226"/>
      <c r="BH140" s="226"/>
      <c r="BI140" s="226"/>
      <c r="BJ140" s="226"/>
      <c r="BK140" s="226"/>
      <c r="BL140" s="226"/>
      <c r="BM140" s="226"/>
      <c r="BN140" s="226"/>
      <c r="BO140" s="226"/>
      <c r="BP140" s="226"/>
      <c r="BQ140" s="226"/>
      <c r="BR140" s="226"/>
      <c r="BS140" s="226"/>
      <c r="BT140" s="226"/>
      <c r="BU140" s="226"/>
      <c r="BV140" s="226"/>
      <c r="BW140" s="226"/>
      <c r="BX140" s="226"/>
      <c r="BY140" s="226"/>
      <c r="BZ140" s="226"/>
      <c r="CA140" s="226"/>
      <c r="CB140" s="226"/>
      <c r="CC140" s="226"/>
      <c r="CD140" s="226"/>
      <c r="CE140" s="226"/>
      <c r="CF140" s="226"/>
      <c r="CG140" s="226"/>
      <c r="CH140" s="226"/>
      <c r="CI140" s="226"/>
      <c r="CJ140" s="226"/>
      <c r="CK140" s="226"/>
      <c r="CL140" s="226"/>
      <c r="CM140" s="226"/>
      <c r="CN140" s="226"/>
      <c r="CO140" s="226"/>
      <c r="CP140" s="226"/>
      <c r="CQ140" s="226"/>
      <c r="CR140" s="226"/>
      <c r="CS140" s="226"/>
      <c r="CT140" s="226"/>
      <c r="CU140" s="226"/>
      <c r="CV140" s="226"/>
      <c r="CW140" s="226"/>
      <c r="CX140" s="226"/>
      <c r="CY140" s="226"/>
      <c r="CZ140" s="226"/>
      <c r="DA140" s="226"/>
      <c r="DB140" s="226"/>
      <c r="DC140" s="226"/>
      <c r="DD140" s="226"/>
      <c r="DE140" s="226"/>
      <c r="DF140" s="226"/>
      <c r="DG140" s="226"/>
      <c r="DH140" s="226"/>
      <c r="DI140" s="226"/>
      <c r="DJ140" s="226"/>
      <c r="DK140" s="226"/>
      <c r="DL140" s="226"/>
      <c r="DM140" s="226"/>
      <c r="DN140" s="226"/>
      <c r="DO140" s="226"/>
      <c r="DP140" s="226"/>
      <c r="DQ140" s="226"/>
      <c r="DR140" s="226"/>
      <c r="DS140" s="226"/>
      <c r="DT140" s="226"/>
      <c r="DU140" s="226"/>
      <c r="DV140" s="226"/>
      <c r="DW140" s="226"/>
      <c r="DX140" s="226"/>
      <c r="DY140" s="226"/>
      <c r="DZ140" s="226"/>
      <c r="EA140" s="226"/>
      <c r="EB140" s="226"/>
      <c r="EC140" s="226"/>
      <c r="ED140" s="226"/>
      <c r="EE140" s="226"/>
      <c r="EF140" s="226"/>
      <c r="EG140" s="226"/>
      <c r="EH140" s="226"/>
      <c r="EI140" s="226"/>
      <c r="EJ140" s="226"/>
      <c r="EK140" s="226"/>
      <c r="EL140" s="226"/>
      <c r="EM140" s="226"/>
      <c r="EN140" s="226"/>
      <c r="EO140" s="226"/>
      <c r="EP140" s="226"/>
      <c r="EQ140" s="226"/>
      <c r="ER140" s="226"/>
      <c r="ES140" s="226"/>
      <c r="ET140" s="226"/>
      <c r="EU140" s="226"/>
      <c r="EV140" s="226"/>
      <c r="EW140" s="226"/>
      <c r="EX140" s="226"/>
      <c r="EY140" s="226"/>
      <c r="EZ140" s="226"/>
      <c r="FA140" s="226"/>
      <c r="FB140" s="226"/>
      <c r="FC140" s="226"/>
      <c r="FD140" s="226"/>
      <c r="FE140" s="226"/>
      <c r="FF140" s="226"/>
      <c r="FG140" s="226"/>
      <c r="FH140" s="226"/>
      <c r="FI140" s="226"/>
      <c r="FJ140" s="226"/>
      <c r="FK140" s="226"/>
      <c r="FL140" s="226"/>
      <c r="FM140" s="226"/>
      <c r="FN140" s="226"/>
      <c r="FO140" s="226"/>
      <c r="FP140" s="226"/>
      <c r="FQ140" s="226"/>
      <c r="FR140" s="226"/>
      <c r="FS140" s="226"/>
      <c r="FT140" s="226"/>
      <c r="FU140" s="226"/>
      <c r="FV140" s="226"/>
      <c r="FW140" s="226"/>
      <c r="FX140" s="226"/>
      <c r="FY140" s="226"/>
      <c r="FZ140" s="226"/>
      <c r="GA140" s="226"/>
      <c r="GB140" s="226"/>
      <c r="GC140" s="226"/>
      <c r="GD140" s="226"/>
      <c r="GE140" s="226"/>
      <c r="GF140" s="226"/>
      <c r="GG140" s="226"/>
    </row>
    <row r="141" spans="1:189" s="198" customFormat="1" ht="15.95" customHeight="1">
      <c r="A141" s="247" t="s">
        <v>219</v>
      </c>
      <c r="B141" s="223" t="s">
        <v>220</v>
      </c>
      <c r="C141" s="224"/>
      <c r="D141" s="200"/>
      <c r="E141" s="109"/>
      <c r="F141" s="63"/>
      <c r="G141" s="225"/>
      <c r="H141" s="259"/>
      <c r="I141" s="265"/>
      <c r="J141" s="259"/>
      <c r="K141" s="199"/>
      <c r="L141" s="199"/>
      <c r="M141" s="199"/>
      <c r="N141" s="199"/>
      <c r="O141" s="199"/>
      <c r="P141" s="199"/>
      <c r="Q141" s="199"/>
      <c r="R141" s="199"/>
      <c r="S141" s="199"/>
      <c r="T141" s="199"/>
      <c r="U141" s="199"/>
      <c r="V141" s="199"/>
      <c r="W141" s="199"/>
      <c r="X141" s="199"/>
      <c r="Y141" s="199"/>
      <c r="Z141" s="199"/>
      <c r="AA141" s="199"/>
      <c r="AB141" s="199"/>
      <c r="AC141" s="199"/>
      <c r="AD141" s="199"/>
      <c r="AE141" s="199"/>
      <c r="AF141" s="199"/>
      <c r="AG141" s="199"/>
      <c r="AH141" s="199"/>
      <c r="AI141" s="199"/>
      <c r="AJ141" s="199"/>
      <c r="AK141" s="199"/>
      <c r="AL141" s="199"/>
      <c r="AM141" s="199"/>
      <c r="AN141" s="199"/>
      <c r="AO141" s="199"/>
      <c r="AP141" s="199"/>
      <c r="AQ141" s="199"/>
      <c r="AR141" s="199"/>
      <c r="AS141" s="199"/>
      <c r="AT141" s="199"/>
      <c r="AU141" s="199"/>
      <c r="AV141" s="199"/>
      <c r="AW141" s="199"/>
      <c r="AX141" s="199"/>
      <c r="AY141" s="199"/>
      <c r="AZ141" s="199"/>
      <c r="BA141" s="199"/>
      <c r="BB141" s="199"/>
      <c r="BC141" s="199"/>
      <c r="BD141" s="199"/>
      <c r="BE141" s="199"/>
      <c r="BF141" s="199"/>
      <c r="BG141" s="199"/>
      <c r="BH141" s="199"/>
      <c r="BI141" s="199"/>
      <c r="BJ141" s="199"/>
      <c r="BK141" s="199"/>
      <c r="BL141" s="199"/>
      <c r="BM141" s="199"/>
      <c r="BN141" s="199"/>
      <c r="BO141" s="199"/>
      <c r="BP141" s="199"/>
      <c r="BQ141" s="199"/>
      <c r="BR141" s="199"/>
      <c r="BS141" s="199"/>
      <c r="BT141" s="199"/>
      <c r="BU141" s="199"/>
      <c r="BV141" s="199"/>
      <c r="BW141" s="199"/>
      <c r="BX141" s="199"/>
      <c r="BY141" s="199"/>
      <c r="BZ141" s="199"/>
      <c r="CA141" s="199"/>
      <c r="CB141" s="199"/>
      <c r="CC141" s="199"/>
      <c r="CD141" s="199"/>
      <c r="CE141" s="199"/>
      <c r="CF141" s="199"/>
      <c r="CG141" s="199"/>
      <c r="CH141" s="199"/>
      <c r="CI141" s="199"/>
      <c r="CJ141" s="199"/>
      <c r="CK141" s="199"/>
      <c r="CL141" s="199"/>
      <c r="CM141" s="199"/>
      <c r="CN141" s="199"/>
      <c r="CO141" s="199"/>
      <c r="CP141" s="199"/>
      <c r="CQ141" s="199"/>
      <c r="CR141" s="199"/>
      <c r="CS141" s="199"/>
      <c r="CT141" s="199"/>
      <c r="CU141" s="199"/>
      <c r="CV141" s="199"/>
      <c r="CW141" s="199"/>
      <c r="CX141" s="199"/>
      <c r="CY141" s="199"/>
      <c r="CZ141" s="199"/>
      <c r="DA141" s="199"/>
      <c r="DB141" s="199"/>
      <c r="DC141" s="199"/>
      <c r="DD141" s="199"/>
      <c r="DE141" s="199"/>
      <c r="DF141" s="199"/>
      <c r="DG141" s="199"/>
      <c r="DH141" s="199"/>
      <c r="DI141" s="199"/>
      <c r="DJ141" s="199"/>
      <c r="DK141" s="199"/>
      <c r="DL141" s="199"/>
      <c r="DM141" s="199"/>
      <c r="DN141" s="199"/>
      <c r="DO141" s="199"/>
      <c r="DP141" s="199"/>
      <c r="DQ141" s="199"/>
      <c r="DR141" s="199"/>
      <c r="DS141" s="199"/>
      <c r="DT141" s="199"/>
      <c r="DU141" s="199"/>
      <c r="DV141" s="199"/>
      <c r="DW141" s="199"/>
      <c r="DX141" s="199"/>
      <c r="DY141" s="199"/>
      <c r="DZ141" s="199"/>
      <c r="EA141" s="199"/>
      <c r="EB141" s="199"/>
      <c r="EC141" s="199"/>
      <c r="ED141" s="199"/>
      <c r="EE141" s="199"/>
      <c r="EF141" s="199"/>
      <c r="EG141" s="199"/>
      <c r="EH141" s="199"/>
      <c r="EI141" s="199"/>
      <c r="EJ141" s="199"/>
      <c r="EK141" s="199"/>
      <c r="EL141" s="199"/>
      <c r="EM141" s="199"/>
      <c r="EN141" s="199"/>
      <c r="EO141" s="199"/>
      <c r="EP141" s="199"/>
      <c r="EQ141" s="199"/>
      <c r="ER141" s="199"/>
      <c r="ES141" s="199"/>
      <c r="ET141" s="199"/>
      <c r="EU141" s="199"/>
      <c r="EV141" s="199"/>
      <c r="EW141" s="199"/>
      <c r="EX141" s="199"/>
      <c r="EY141" s="199"/>
      <c r="EZ141" s="199"/>
      <c r="FA141" s="199"/>
      <c r="FB141" s="199"/>
      <c r="FC141" s="199"/>
      <c r="FD141" s="199"/>
      <c r="FE141" s="199"/>
      <c r="FF141" s="199"/>
      <c r="FG141" s="199"/>
      <c r="FH141" s="199"/>
      <c r="FI141" s="199"/>
      <c r="FJ141" s="199"/>
      <c r="FK141" s="199"/>
      <c r="FL141" s="199"/>
      <c r="FM141" s="199"/>
      <c r="FN141" s="199"/>
      <c r="FO141" s="199"/>
      <c r="FP141" s="199"/>
      <c r="FQ141" s="199"/>
      <c r="FR141" s="199"/>
      <c r="FS141" s="199"/>
      <c r="FT141" s="199"/>
      <c r="FU141" s="199"/>
      <c r="FV141" s="199"/>
      <c r="FW141" s="199"/>
      <c r="FX141" s="199"/>
      <c r="FY141" s="199"/>
      <c r="FZ141" s="199"/>
      <c r="GA141" s="199"/>
      <c r="GB141" s="199"/>
      <c r="GC141" s="199"/>
      <c r="GD141" s="199"/>
      <c r="GE141" s="199"/>
      <c r="GF141" s="199"/>
      <c r="GG141" s="199"/>
    </row>
    <row r="142" spans="1:189" s="225" customFormat="1" ht="15.95" customHeight="1">
      <c r="A142" s="139" t="s">
        <v>230</v>
      </c>
      <c r="B142" s="193"/>
      <c r="C142" s="228" t="s">
        <v>27</v>
      </c>
      <c r="D142" s="138">
        <v>1</v>
      </c>
      <c r="E142" s="140" t="e">
        <f>#REF!</f>
        <v>#REF!</v>
      </c>
      <c r="F142" s="65" t="e">
        <f>+D142*E142</f>
        <v>#REF!</v>
      </c>
      <c r="H142" s="259">
        <f>37+13+19</f>
        <v>69</v>
      </c>
      <c r="I142" s="265">
        <v>1.05</v>
      </c>
      <c r="J142" s="259">
        <f>H142*I142</f>
        <v>72.45</v>
      </c>
      <c r="K142" s="226"/>
      <c r="L142" s="226"/>
      <c r="M142" s="226"/>
      <c r="N142" s="226"/>
      <c r="O142" s="226"/>
      <c r="P142" s="226"/>
      <c r="Q142" s="226"/>
      <c r="R142" s="226"/>
      <c r="S142" s="226"/>
      <c r="T142" s="226"/>
      <c r="U142" s="226"/>
      <c r="V142" s="226"/>
      <c r="W142" s="226"/>
      <c r="X142" s="226"/>
      <c r="Y142" s="226"/>
      <c r="Z142" s="226"/>
      <c r="AA142" s="226"/>
      <c r="AB142" s="226"/>
      <c r="AC142" s="226"/>
      <c r="AD142" s="226"/>
      <c r="AE142" s="226"/>
      <c r="AF142" s="226"/>
      <c r="AG142" s="226"/>
      <c r="AH142" s="226"/>
      <c r="AI142" s="226"/>
      <c r="AJ142" s="226"/>
      <c r="AK142" s="226"/>
      <c r="AL142" s="226"/>
      <c r="AM142" s="226"/>
      <c r="AN142" s="226"/>
      <c r="AO142" s="226"/>
      <c r="AP142" s="226"/>
      <c r="AQ142" s="226"/>
      <c r="AR142" s="226"/>
      <c r="AS142" s="226"/>
      <c r="AT142" s="226"/>
      <c r="AU142" s="226"/>
      <c r="AV142" s="226"/>
      <c r="AW142" s="226"/>
      <c r="AX142" s="226"/>
      <c r="AY142" s="226"/>
      <c r="AZ142" s="226"/>
      <c r="BA142" s="226"/>
      <c r="BB142" s="226"/>
      <c r="BC142" s="226"/>
      <c r="BD142" s="226"/>
      <c r="BE142" s="226"/>
      <c r="BF142" s="226"/>
      <c r="BG142" s="226"/>
      <c r="BH142" s="226"/>
      <c r="BI142" s="226"/>
      <c r="BJ142" s="226"/>
      <c r="BK142" s="226"/>
      <c r="BL142" s="226"/>
      <c r="BM142" s="226"/>
      <c r="BN142" s="226"/>
      <c r="BO142" s="226"/>
      <c r="BP142" s="226"/>
      <c r="BQ142" s="226"/>
      <c r="BR142" s="226"/>
      <c r="BS142" s="226"/>
      <c r="BT142" s="226"/>
      <c r="BU142" s="226"/>
      <c r="BV142" s="226"/>
      <c r="BW142" s="226"/>
      <c r="BX142" s="226"/>
      <c r="BY142" s="226"/>
      <c r="BZ142" s="226"/>
      <c r="CA142" s="226"/>
      <c r="CB142" s="226"/>
      <c r="CC142" s="226"/>
      <c r="CD142" s="226"/>
      <c r="CE142" s="226"/>
      <c r="CF142" s="226"/>
      <c r="CG142" s="226"/>
      <c r="CH142" s="226"/>
      <c r="CI142" s="226"/>
      <c r="CJ142" s="226"/>
      <c r="CK142" s="226"/>
      <c r="CL142" s="226"/>
      <c r="CM142" s="226"/>
      <c r="CN142" s="226"/>
      <c r="CO142" s="226"/>
      <c r="CP142" s="226"/>
      <c r="CQ142" s="226"/>
      <c r="CR142" s="226"/>
      <c r="CS142" s="226"/>
      <c r="CT142" s="226"/>
      <c r="CU142" s="226"/>
      <c r="CV142" s="226"/>
      <c r="CW142" s="226"/>
      <c r="CX142" s="226"/>
      <c r="CY142" s="226"/>
      <c r="CZ142" s="226"/>
      <c r="DA142" s="226"/>
      <c r="DB142" s="226"/>
      <c r="DC142" s="226"/>
      <c r="DD142" s="226"/>
      <c r="DE142" s="226"/>
      <c r="DF142" s="226"/>
      <c r="DG142" s="226"/>
      <c r="DH142" s="226"/>
      <c r="DI142" s="226"/>
      <c r="DJ142" s="226"/>
      <c r="DK142" s="226"/>
      <c r="DL142" s="226"/>
      <c r="DM142" s="226"/>
      <c r="DN142" s="226"/>
      <c r="DO142" s="226"/>
      <c r="DP142" s="226"/>
      <c r="DQ142" s="226"/>
      <c r="DR142" s="226"/>
      <c r="DS142" s="226"/>
      <c r="DT142" s="226"/>
      <c r="DU142" s="226"/>
      <c r="DV142" s="226"/>
      <c r="DW142" s="226"/>
      <c r="DX142" s="226"/>
      <c r="DY142" s="226"/>
      <c r="DZ142" s="226"/>
      <c r="EA142" s="226"/>
      <c r="EB142" s="226"/>
      <c r="EC142" s="226"/>
      <c r="ED142" s="226"/>
      <c r="EE142" s="226"/>
      <c r="EF142" s="226"/>
      <c r="EG142" s="226"/>
      <c r="EH142" s="226"/>
      <c r="EI142" s="226"/>
      <c r="EJ142" s="226"/>
      <c r="EK142" s="226"/>
      <c r="EL142" s="226"/>
      <c r="EM142" s="226"/>
      <c r="EN142" s="226"/>
      <c r="EO142" s="226"/>
      <c r="EP142" s="226"/>
      <c r="EQ142" s="226"/>
      <c r="ER142" s="226"/>
      <c r="ES142" s="226"/>
      <c r="ET142" s="226"/>
      <c r="EU142" s="226"/>
      <c r="EV142" s="226"/>
      <c r="EW142" s="226"/>
      <c r="EX142" s="226"/>
      <c r="EY142" s="226"/>
      <c r="EZ142" s="226"/>
      <c r="FA142" s="226"/>
      <c r="FB142" s="226"/>
      <c r="FC142" s="226"/>
      <c r="FD142" s="226"/>
      <c r="FE142" s="226"/>
      <c r="FF142" s="226"/>
      <c r="FG142" s="226"/>
      <c r="FH142" s="226"/>
      <c r="FI142" s="226"/>
      <c r="FJ142" s="226"/>
      <c r="FK142" s="226"/>
      <c r="FL142" s="226"/>
      <c r="FM142" s="226"/>
      <c r="FN142" s="226"/>
      <c r="FO142" s="226"/>
      <c r="FP142" s="226"/>
      <c r="FQ142" s="226"/>
      <c r="FR142" s="226"/>
      <c r="FS142" s="226"/>
      <c r="FT142" s="226"/>
      <c r="FU142" s="226"/>
      <c r="FV142" s="226"/>
      <c r="FW142" s="226"/>
      <c r="FX142" s="226"/>
      <c r="FY142" s="226"/>
      <c r="FZ142" s="226"/>
      <c r="GA142" s="226"/>
      <c r="GB142" s="226"/>
      <c r="GC142" s="226"/>
      <c r="GD142" s="226"/>
      <c r="GE142" s="226"/>
      <c r="GF142" s="226"/>
      <c r="GG142" s="226"/>
    </row>
    <row r="143" spans="1:189" s="225" customFormat="1" ht="15.95" customHeight="1">
      <c r="A143" s="17"/>
      <c r="B143" s="230"/>
      <c r="C143" s="228"/>
      <c r="D143" s="138"/>
      <c r="E143" s="108"/>
      <c r="F143" s="65"/>
      <c r="H143" s="259"/>
      <c r="I143" s="265"/>
      <c r="J143" s="259"/>
      <c r="K143" s="226"/>
      <c r="L143" s="226"/>
      <c r="M143" s="226"/>
      <c r="N143" s="226"/>
      <c r="O143" s="226"/>
      <c r="P143" s="226"/>
      <c r="Q143" s="226"/>
      <c r="R143" s="226"/>
      <c r="S143" s="226"/>
      <c r="T143" s="226"/>
      <c r="U143" s="226"/>
      <c r="V143" s="226"/>
      <c r="W143" s="226"/>
      <c r="X143" s="226"/>
      <c r="Y143" s="226"/>
      <c r="Z143" s="226"/>
      <c r="AA143" s="226"/>
      <c r="AB143" s="226"/>
      <c r="AC143" s="226"/>
      <c r="AD143" s="226"/>
      <c r="AE143" s="226"/>
      <c r="AF143" s="226"/>
      <c r="AG143" s="226"/>
      <c r="AH143" s="226"/>
      <c r="AI143" s="226"/>
      <c r="AJ143" s="226"/>
      <c r="AK143" s="226"/>
      <c r="AL143" s="226"/>
      <c r="AM143" s="226"/>
      <c r="AN143" s="226"/>
      <c r="AO143" s="226"/>
      <c r="AP143" s="226"/>
      <c r="AQ143" s="226"/>
      <c r="AR143" s="226"/>
      <c r="AS143" s="226"/>
      <c r="AT143" s="226"/>
      <c r="AU143" s="226"/>
      <c r="AV143" s="226"/>
      <c r="AW143" s="226"/>
      <c r="AX143" s="226"/>
      <c r="AY143" s="226"/>
      <c r="AZ143" s="226"/>
      <c r="BA143" s="226"/>
      <c r="BB143" s="226"/>
      <c r="BC143" s="226"/>
      <c r="BD143" s="226"/>
      <c r="BE143" s="226"/>
      <c r="BF143" s="226"/>
      <c r="BG143" s="226"/>
      <c r="BH143" s="226"/>
      <c r="BI143" s="226"/>
      <c r="BJ143" s="226"/>
      <c r="BK143" s="226"/>
      <c r="BL143" s="226"/>
      <c r="BM143" s="226"/>
      <c r="BN143" s="226"/>
      <c r="BO143" s="226"/>
      <c r="BP143" s="226"/>
      <c r="BQ143" s="226"/>
      <c r="BR143" s="226"/>
      <c r="BS143" s="226"/>
      <c r="BT143" s="226"/>
      <c r="BU143" s="226"/>
      <c r="BV143" s="226"/>
      <c r="BW143" s="226"/>
      <c r="BX143" s="226"/>
      <c r="BY143" s="226"/>
      <c r="BZ143" s="226"/>
      <c r="CA143" s="226"/>
      <c r="CB143" s="226"/>
      <c r="CC143" s="226"/>
      <c r="CD143" s="226"/>
      <c r="CE143" s="226"/>
      <c r="CF143" s="226"/>
      <c r="CG143" s="226"/>
      <c r="CH143" s="226"/>
      <c r="CI143" s="226"/>
      <c r="CJ143" s="226"/>
      <c r="CK143" s="226"/>
      <c r="CL143" s="226"/>
      <c r="CM143" s="226"/>
      <c r="CN143" s="226"/>
      <c r="CO143" s="226"/>
      <c r="CP143" s="226"/>
      <c r="CQ143" s="226"/>
      <c r="CR143" s="226"/>
      <c r="CS143" s="226"/>
      <c r="CT143" s="226"/>
      <c r="CU143" s="226"/>
      <c r="CV143" s="226"/>
      <c r="CW143" s="226"/>
      <c r="CX143" s="226"/>
      <c r="CY143" s="226"/>
      <c r="CZ143" s="226"/>
      <c r="DA143" s="226"/>
      <c r="DB143" s="226"/>
      <c r="DC143" s="226"/>
      <c r="DD143" s="226"/>
      <c r="DE143" s="226"/>
      <c r="DF143" s="226"/>
      <c r="DG143" s="226"/>
      <c r="DH143" s="226"/>
      <c r="DI143" s="226"/>
      <c r="DJ143" s="226"/>
      <c r="DK143" s="226"/>
      <c r="DL143" s="226"/>
      <c r="DM143" s="226"/>
      <c r="DN143" s="226"/>
      <c r="DO143" s="226"/>
      <c r="DP143" s="226"/>
      <c r="DQ143" s="226"/>
      <c r="DR143" s="226"/>
      <c r="DS143" s="226"/>
      <c r="DT143" s="226"/>
      <c r="DU143" s="226"/>
      <c r="DV143" s="226"/>
      <c r="DW143" s="226"/>
      <c r="DX143" s="226"/>
      <c r="DY143" s="226"/>
      <c r="DZ143" s="226"/>
      <c r="EA143" s="226"/>
      <c r="EB143" s="226"/>
      <c r="EC143" s="226"/>
      <c r="ED143" s="226"/>
      <c r="EE143" s="226"/>
      <c r="EF143" s="226"/>
      <c r="EG143" s="226"/>
      <c r="EH143" s="226"/>
      <c r="EI143" s="226"/>
      <c r="EJ143" s="226"/>
      <c r="EK143" s="226"/>
      <c r="EL143" s="226"/>
      <c r="EM143" s="226"/>
      <c r="EN143" s="226"/>
      <c r="EO143" s="226"/>
      <c r="EP143" s="226"/>
      <c r="EQ143" s="226"/>
      <c r="ER143" s="226"/>
      <c r="ES143" s="226"/>
      <c r="ET143" s="226"/>
      <c r="EU143" s="226"/>
      <c r="EV143" s="226"/>
      <c r="EW143" s="226"/>
      <c r="EX143" s="226"/>
      <c r="EY143" s="226"/>
      <c r="EZ143" s="226"/>
      <c r="FA143" s="226"/>
      <c r="FB143" s="226"/>
      <c r="FC143" s="226"/>
      <c r="FD143" s="226"/>
      <c r="FE143" s="226"/>
      <c r="FF143" s="226"/>
      <c r="FG143" s="226"/>
      <c r="FH143" s="226"/>
      <c r="FI143" s="226"/>
      <c r="FJ143" s="226"/>
      <c r="FK143" s="226"/>
      <c r="FL143" s="226"/>
      <c r="FM143" s="226"/>
      <c r="FN143" s="226"/>
      <c r="FO143" s="226"/>
      <c r="FP143" s="226"/>
      <c r="FQ143" s="226"/>
      <c r="FR143" s="226"/>
      <c r="FS143" s="226"/>
      <c r="FT143" s="226"/>
      <c r="FU143" s="226"/>
      <c r="FV143" s="226"/>
      <c r="FW143" s="226"/>
      <c r="FX143" s="226"/>
      <c r="FY143" s="226"/>
      <c r="FZ143" s="226"/>
      <c r="GA143" s="226"/>
      <c r="GB143" s="226"/>
      <c r="GC143" s="226"/>
      <c r="GD143" s="226"/>
      <c r="GE143" s="226"/>
      <c r="GF143" s="226"/>
      <c r="GG143" s="226"/>
    </row>
    <row r="144" spans="1:189" s="225" customFormat="1" ht="15.95" customHeight="1">
      <c r="A144" s="141">
        <v>513</v>
      </c>
      <c r="B144" s="223" t="e">
        <f>+#REF!</f>
        <v>#REF!</v>
      </c>
      <c r="C144" s="224"/>
      <c r="D144" s="200"/>
      <c r="E144" s="109"/>
      <c r="F144" s="63"/>
      <c r="H144" s="259"/>
      <c r="I144" s="265"/>
      <c r="J144" s="259"/>
      <c r="K144" s="226"/>
      <c r="L144" s="226"/>
      <c r="M144" s="226"/>
      <c r="N144" s="226"/>
      <c r="O144" s="226"/>
      <c r="P144" s="226"/>
      <c r="Q144" s="226"/>
      <c r="R144" s="226"/>
      <c r="S144" s="226"/>
      <c r="T144" s="226"/>
      <c r="U144" s="226"/>
      <c r="V144" s="226"/>
      <c r="W144" s="226"/>
      <c r="X144" s="226"/>
      <c r="Y144" s="226"/>
      <c r="Z144" s="226"/>
      <c r="AA144" s="226"/>
      <c r="AB144" s="226"/>
      <c r="AC144" s="226"/>
      <c r="AD144" s="226"/>
      <c r="AE144" s="226"/>
      <c r="AF144" s="226"/>
      <c r="AG144" s="226"/>
      <c r="AH144" s="226"/>
      <c r="AI144" s="226"/>
      <c r="AJ144" s="226"/>
      <c r="AK144" s="226"/>
      <c r="AL144" s="226"/>
      <c r="AM144" s="226"/>
      <c r="AN144" s="226"/>
      <c r="AO144" s="226"/>
      <c r="AP144" s="226"/>
      <c r="AQ144" s="226"/>
      <c r="AR144" s="226"/>
      <c r="AS144" s="226"/>
      <c r="AT144" s="226"/>
      <c r="AU144" s="226"/>
      <c r="AV144" s="226"/>
      <c r="AW144" s="226"/>
      <c r="AX144" s="226"/>
      <c r="AY144" s="226"/>
      <c r="AZ144" s="226"/>
      <c r="BA144" s="226"/>
      <c r="BB144" s="226"/>
      <c r="BC144" s="226"/>
      <c r="BD144" s="226"/>
      <c r="BE144" s="226"/>
      <c r="BF144" s="226"/>
      <c r="BG144" s="226"/>
      <c r="BH144" s="226"/>
      <c r="BI144" s="226"/>
      <c r="BJ144" s="226"/>
      <c r="BK144" s="226"/>
      <c r="BL144" s="226"/>
      <c r="BM144" s="226"/>
      <c r="BN144" s="226"/>
      <c r="BO144" s="226"/>
      <c r="BP144" s="226"/>
      <c r="BQ144" s="226"/>
      <c r="BR144" s="226"/>
      <c r="BS144" s="226"/>
      <c r="BT144" s="226"/>
      <c r="BU144" s="226"/>
      <c r="BV144" s="226"/>
      <c r="BW144" s="226"/>
      <c r="BX144" s="226"/>
      <c r="BY144" s="226"/>
      <c r="BZ144" s="226"/>
      <c r="CA144" s="226"/>
      <c r="CB144" s="226"/>
      <c r="CC144" s="226"/>
      <c r="CD144" s="226"/>
      <c r="CE144" s="226"/>
      <c r="CF144" s="226"/>
      <c r="CG144" s="226"/>
      <c r="CH144" s="226"/>
      <c r="CI144" s="226"/>
      <c r="CJ144" s="226"/>
      <c r="CK144" s="226"/>
      <c r="CL144" s="226"/>
      <c r="CM144" s="226"/>
      <c r="CN144" s="226"/>
      <c r="CO144" s="226"/>
      <c r="CP144" s="226"/>
      <c r="CQ144" s="226"/>
      <c r="CR144" s="226"/>
      <c r="CS144" s="226"/>
      <c r="CT144" s="226"/>
      <c r="CU144" s="226"/>
      <c r="CV144" s="226"/>
      <c r="CW144" s="226"/>
      <c r="CX144" s="226"/>
      <c r="CY144" s="226"/>
      <c r="CZ144" s="226"/>
      <c r="DA144" s="226"/>
      <c r="DB144" s="226"/>
      <c r="DC144" s="226"/>
      <c r="DD144" s="226"/>
      <c r="DE144" s="226"/>
      <c r="DF144" s="226"/>
      <c r="DG144" s="226"/>
      <c r="DH144" s="226"/>
      <c r="DI144" s="226"/>
      <c r="DJ144" s="226"/>
      <c r="DK144" s="226"/>
      <c r="DL144" s="226"/>
      <c r="DM144" s="226"/>
      <c r="DN144" s="226"/>
      <c r="DO144" s="226"/>
      <c r="DP144" s="226"/>
      <c r="DQ144" s="226"/>
      <c r="DR144" s="226"/>
      <c r="DS144" s="226"/>
      <c r="DT144" s="226"/>
      <c r="DU144" s="226"/>
      <c r="DV144" s="226"/>
      <c r="DW144" s="226"/>
      <c r="DX144" s="226"/>
      <c r="DY144" s="226"/>
      <c r="DZ144" s="226"/>
      <c r="EA144" s="226"/>
      <c r="EB144" s="226"/>
      <c r="EC144" s="226"/>
      <c r="ED144" s="226"/>
      <c r="EE144" s="226"/>
      <c r="EF144" s="226"/>
      <c r="EG144" s="226"/>
      <c r="EH144" s="226"/>
      <c r="EI144" s="226"/>
      <c r="EJ144" s="226"/>
      <c r="EK144" s="226"/>
      <c r="EL144" s="226"/>
      <c r="EM144" s="226"/>
      <c r="EN144" s="226"/>
      <c r="EO144" s="226"/>
      <c r="EP144" s="226"/>
      <c r="EQ144" s="226"/>
      <c r="ER144" s="226"/>
      <c r="ES144" s="226"/>
      <c r="ET144" s="226"/>
      <c r="EU144" s="226"/>
      <c r="EV144" s="226"/>
      <c r="EW144" s="226"/>
      <c r="EX144" s="226"/>
      <c r="EY144" s="226"/>
      <c r="EZ144" s="226"/>
      <c r="FA144" s="226"/>
      <c r="FB144" s="226"/>
      <c r="FC144" s="226"/>
      <c r="FD144" s="226"/>
      <c r="FE144" s="226"/>
      <c r="FF144" s="226"/>
      <c r="FG144" s="226"/>
      <c r="FH144" s="226"/>
      <c r="FI144" s="226"/>
      <c r="FJ144" s="226"/>
      <c r="FK144" s="226"/>
      <c r="FL144" s="226"/>
      <c r="FM144" s="226"/>
      <c r="FN144" s="226"/>
      <c r="FO144" s="226"/>
      <c r="FP144" s="226"/>
      <c r="FQ144" s="226"/>
      <c r="FR144" s="226"/>
      <c r="FS144" s="226"/>
      <c r="FT144" s="226"/>
      <c r="FU144" s="226"/>
      <c r="FV144" s="226"/>
      <c r="FW144" s="226"/>
      <c r="FX144" s="226"/>
      <c r="FY144" s="226"/>
      <c r="FZ144" s="226"/>
      <c r="GA144" s="226"/>
      <c r="GB144" s="226"/>
      <c r="GC144" s="226"/>
      <c r="GD144" s="226"/>
      <c r="GE144" s="226"/>
      <c r="GF144" s="226"/>
      <c r="GG144" s="226"/>
    </row>
    <row r="145" spans="1:189" s="225" customFormat="1" ht="30" customHeight="1">
      <c r="A145" s="231" t="e">
        <f>+#REF!</f>
        <v>#REF!</v>
      </c>
      <c r="B145" s="231" t="e">
        <f>+#REF!</f>
        <v>#REF!</v>
      </c>
      <c r="C145" s="228" t="s">
        <v>1</v>
      </c>
      <c r="D145" s="138">
        <f>J145</f>
        <v>26.483000000000001</v>
      </c>
      <c r="E145" s="108" t="e">
        <f>#REF!</f>
        <v>#REF!</v>
      </c>
      <c r="F145" s="65" t="e">
        <f>+D145*E145</f>
        <v>#REF!</v>
      </c>
      <c r="H145" s="259">
        <f>SUM(D135:D136)/50+5</f>
        <v>26.483000000000001</v>
      </c>
      <c r="I145" s="265">
        <v>1</v>
      </c>
      <c r="J145" s="259">
        <f>H145*I145</f>
        <v>26.483000000000001</v>
      </c>
      <c r="K145" s="226"/>
      <c r="L145" s="226"/>
      <c r="M145" s="226"/>
      <c r="N145" s="226"/>
      <c r="O145" s="226"/>
      <c r="P145" s="226"/>
      <c r="Q145" s="226"/>
      <c r="R145" s="226"/>
      <c r="S145" s="226"/>
      <c r="T145" s="226"/>
      <c r="U145" s="226"/>
      <c r="V145" s="226"/>
      <c r="W145" s="226"/>
      <c r="X145" s="226"/>
      <c r="Y145" s="226"/>
      <c r="Z145" s="226"/>
      <c r="AA145" s="226"/>
      <c r="AB145" s="226"/>
      <c r="AC145" s="226"/>
      <c r="AD145" s="226"/>
      <c r="AE145" s="226"/>
      <c r="AF145" s="226"/>
      <c r="AG145" s="226"/>
      <c r="AH145" s="226"/>
      <c r="AI145" s="226"/>
      <c r="AJ145" s="226"/>
      <c r="AK145" s="226"/>
      <c r="AL145" s="226"/>
      <c r="AM145" s="226"/>
      <c r="AN145" s="226"/>
      <c r="AO145" s="226"/>
      <c r="AP145" s="226"/>
      <c r="AQ145" s="226"/>
      <c r="AR145" s="226"/>
      <c r="AS145" s="226"/>
      <c r="AT145" s="226"/>
      <c r="AU145" s="226"/>
      <c r="AV145" s="226"/>
      <c r="AW145" s="226"/>
      <c r="AX145" s="226"/>
      <c r="AY145" s="226"/>
      <c r="AZ145" s="226"/>
      <c r="BA145" s="226"/>
      <c r="BB145" s="226"/>
      <c r="BC145" s="226"/>
      <c r="BD145" s="226"/>
      <c r="BE145" s="226"/>
      <c r="BF145" s="226"/>
      <c r="BG145" s="226"/>
      <c r="BH145" s="226"/>
      <c r="BI145" s="226"/>
      <c r="BJ145" s="226"/>
      <c r="BK145" s="226"/>
      <c r="BL145" s="226"/>
      <c r="BM145" s="226"/>
      <c r="BN145" s="226"/>
      <c r="BO145" s="226"/>
      <c r="BP145" s="226"/>
      <c r="BQ145" s="226"/>
      <c r="BR145" s="226"/>
      <c r="BS145" s="226"/>
      <c r="BT145" s="226"/>
      <c r="BU145" s="226"/>
      <c r="BV145" s="226"/>
      <c r="BW145" s="226"/>
      <c r="BX145" s="226"/>
      <c r="BY145" s="226"/>
      <c r="BZ145" s="226"/>
      <c r="CA145" s="226"/>
      <c r="CB145" s="226"/>
      <c r="CC145" s="226"/>
      <c r="CD145" s="226"/>
      <c r="CE145" s="226"/>
      <c r="CF145" s="226"/>
      <c r="CG145" s="226"/>
      <c r="CH145" s="226"/>
      <c r="CI145" s="226"/>
      <c r="CJ145" s="226"/>
      <c r="CK145" s="226"/>
      <c r="CL145" s="226"/>
      <c r="CM145" s="226"/>
      <c r="CN145" s="226"/>
      <c r="CO145" s="226"/>
      <c r="CP145" s="226"/>
      <c r="CQ145" s="226"/>
      <c r="CR145" s="226"/>
      <c r="CS145" s="226"/>
      <c r="CT145" s="226"/>
      <c r="CU145" s="226"/>
      <c r="CV145" s="226"/>
      <c r="CW145" s="226"/>
      <c r="CX145" s="226"/>
      <c r="CY145" s="226"/>
      <c r="CZ145" s="226"/>
      <c r="DA145" s="226"/>
      <c r="DB145" s="226"/>
      <c r="DC145" s="226"/>
      <c r="DD145" s="226"/>
      <c r="DE145" s="226"/>
      <c r="DF145" s="226"/>
      <c r="DG145" s="226"/>
      <c r="DH145" s="226"/>
      <c r="DI145" s="226"/>
      <c r="DJ145" s="226"/>
      <c r="DK145" s="226"/>
      <c r="DL145" s="226"/>
      <c r="DM145" s="226"/>
      <c r="DN145" s="226"/>
      <c r="DO145" s="226"/>
      <c r="DP145" s="226"/>
      <c r="DQ145" s="226"/>
      <c r="DR145" s="226"/>
      <c r="DS145" s="226"/>
      <c r="DT145" s="226"/>
      <c r="DU145" s="226"/>
      <c r="DV145" s="226"/>
      <c r="DW145" s="226"/>
      <c r="DX145" s="226"/>
      <c r="DY145" s="226"/>
      <c r="DZ145" s="226"/>
      <c r="EA145" s="226"/>
      <c r="EB145" s="226"/>
      <c r="EC145" s="226"/>
      <c r="ED145" s="226"/>
      <c r="EE145" s="226"/>
      <c r="EF145" s="226"/>
      <c r="EG145" s="226"/>
      <c r="EH145" s="226"/>
      <c r="EI145" s="226"/>
      <c r="EJ145" s="226"/>
      <c r="EK145" s="226"/>
      <c r="EL145" s="226"/>
      <c r="EM145" s="226"/>
      <c r="EN145" s="226"/>
      <c r="EO145" s="226"/>
      <c r="EP145" s="226"/>
      <c r="EQ145" s="226"/>
      <c r="ER145" s="226"/>
      <c r="ES145" s="226"/>
      <c r="ET145" s="226"/>
      <c r="EU145" s="226"/>
      <c r="EV145" s="226"/>
      <c r="EW145" s="226"/>
      <c r="EX145" s="226"/>
      <c r="EY145" s="226"/>
      <c r="EZ145" s="226"/>
      <c r="FA145" s="226"/>
      <c r="FB145" s="226"/>
      <c r="FC145" s="226"/>
      <c r="FD145" s="226"/>
      <c r="FE145" s="226"/>
      <c r="FF145" s="226"/>
      <c r="FG145" s="226"/>
      <c r="FH145" s="226"/>
      <c r="FI145" s="226"/>
      <c r="FJ145" s="226"/>
      <c r="FK145" s="226"/>
      <c r="FL145" s="226"/>
      <c r="FM145" s="226"/>
      <c r="FN145" s="226"/>
      <c r="FO145" s="226"/>
      <c r="FP145" s="226"/>
      <c r="FQ145" s="226"/>
      <c r="FR145" s="226"/>
      <c r="FS145" s="226"/>
      <c r="FT145" s="226"/>
      <c r="FU145" s="226"/>
      <c r="FV145" s="226"/>
      <c r="FW145" s="226"/>
      <c r="FX145" s="226"/>
      <c r="FY145" s="226"/>
      <c r="FZ145" s="226"/>
      <c r="GA145" s="226"/>
      <c r="GB145" s="226"/>
      <c r="GC145" s="226"/>
      <c r="GD145" s="226"/>
      <c r="GE145" s="226"/>
      <c r="GF145" s="226"/>
      <c r="GG145" s="226"/>
    </row>
    <row r="146" spans="1:189" s="225" customFormat="1" ht="15.95" customHeight="1">
      <c r="A146" s="231" t="e">
        <f>+#REF!</f>
        <v>#REF!</v>
      </c>
      <c r="B146" s="231" t="e">
        <f>+#REF!</f>
        <v>#REF!</v>
      </c>
      <c r="C146" s="228" t="s">
        <v>27</v>
      </c>
      <c r="D146" s="138">
        <f>J146</f>
        <v>219.45000000000002</v>
      </c>
      <c r="E146" s="108" t="e">
        <f>#REF!</f>
        <v>#REF!</v>
      </c>
      <c r="F146" s="65" t="e">
        <f>+D146*E146</f>
        <v>#REF!</v>
      </c>
      <c r="H146" s="259">
        <f>SUM(D131:D133)/12</f>
        <v>199.5</v>
      </c>
      <c r="I146" s="265">
        <v>1.1000000000000001</v>
      </c>
      <c r="J146" s="259">
        <f>H146*I146</f>
        <v>219.45000000000002</v>
      </c>
      <c r="K146" s="226"/>
      <c r="L146" s="226"/>
      <c r="M146" s="226"/>
      <c r="N146" s="226"/>
      <c r="O146" s="226"/>
      <c r="P146" s="226"/>
      <c r="Q146" s="226"/>
      <c r="R146" s="226"/>
      <c r="S146" s="226"/>
      <c r="T146" s="226"/>
      <c r="U146" s="226"/>
      <c r="V146" s="226"/>
      <c r="W146" s="226"/>
      <c r="X146" s="226"/>
      <c r="Y146" s="226"/>
      <c r="Z146" s="226"/>
      <c r="AA146" s="226"/>
      <c r="AB146" s="226"/>
      <c r="AC146" s="226"/>
      <c r="AD146" s="226"/>
      <c r="AE146" s="226"/>
      <c r="AF146" s="226"/>
      <c r="AG146" s="226"/>
      <c r="AH146" s="226"/>
      <c r="AI146" s="226"/>
      <c r="AJ146" s="226"/>
      <c r="AK146" s="226"/>
      <c r="AL146" s="226"/>
      <c r="AM146" s="226"/>
      <c r="AN146" s="226"/>
      <c r="AO146" s="226"/>
      <c r="AP146" s="226"/>
      <c r="AQ146" s="226"/>
      <c r="AR146" s="226"/>
      <c r="AS146" s="226"/>
      <c r="AT146" s="226"/>
      <c r="AU146" s="226"/>
      <c r="AV146" s="226"/>
      <c r="AW146" s="226"/>
      <c r="AX146" s="226"/>
      <c r="AY146" s="226"/>
      <c r="AZ146" s="226"/>
      <c r="BA146" s="226"/>
      <c r="BB146" s="226"/>
      <c r="BC146" s="226"/>
      <c r="BD146" s="226"/>
      <c r="BE146" s="226"/>
      <c r="BF146" s="226"/>
      <c r="BG146" s="226"/>
      <c r="BH146" s="226"/>
      <c r="BI146" s="226"/>
      <c r="BJ146" s="226"/>
      <c r="BK146" s="226"/>
      <c r="BL146" s="226"/>
      <c r="BM146" s="226"/>
      <c r="BN146" s="226"/>
      <c r="BO146" s="226"/>
      <c r="BP146" s="226"/>
      <c r="BQ146" s="226"/>
      <c r="BR146" s="226"/>
      <c r="BS146" s="226"/>
      <c r="BT146" s="226"/>
      <c r="BU146" s="226"/>
      <c r="BV146" s="226"/>
      <c r="BW146" s="226"/>
      <c r="BX146" s="226"/>
      <c r="BY146" s="226"/>
      <c r="BZ146" s="226"/>
      <c r="CA146" s="226"/>
      <c r="CB146" s="226"/>
      <c r="CC146" s="226"/>
      <c r="CD146" s="226"/>
      <c r="CE146" s="226"/>
      <c r="CF146" s="226"/>
      <c r="CG146" s="226"/>
      <c r="CH146" s="226"/>
      <c r="CI146" s="226"/>
      <c r="CJ146" s="226"/>
      <c r="CK146" s="226"/>
      <c r="CL146" s="226"/>
      <c r="CM146" s="226"/>
      <c r="CN146" s="226"/>
      <c r="CO146" s="226"/>
      <c r="CP146" s="226"/>
      <c r="CQ146" s="226"/>
      <c r="CR146" s="226"/>
      <c r="CS146" s="226"/>
      <c r="CT146" s="226"/>
      <c r="CU146" s="226"/>
      <c r="CV146" s="226"/>
      <c r="CW146" s="226"/>
      <c r="CX146" s="226"/>
      <c r="CY146" s="226"/>
      <c r="CZ146" s="226"/>
      <c r="DA146" s="226"/>
      <c r="DB146" s="226"/>
      <c r="DC146" s="226"/>
      <c r="DD146" s="226"/>
      <c r="DE146" s="226"/>
      <c r="DF146" s="226"/>
      <c r="DG146" s="226"/>
      <c r="DH146" s="226"/>
      <c r="DI146" s="226"/>
      <c r="DJ146" s="226"/>
      <c r="DK146" s="226"/>
      <c r="DL146" s="226"/>
      <c r="DM146" s="226"/>
      <c r="DN146" s="226"/>
      <c r="DO146" s="226"/>
      <c r="DP146" s="226"/>
      <c r="DQ146" s="226"/>
      <c r="DR146" s="226"/>
      <c r="DS146" s="226"/>
      <c r="DT146" s="226"/>
      <c r="DU146" s="226"/>
      <c r="DV146" s="226"/>
      <c r="DW146" s="226"/>
      <c r="DX146" s="226"/>
      <c r="DY146" s="226"/>
      <c r="DZ146" s="226"/>
      <c r="EA146" s="226"/>
      <c r="EB146" s="226"/>
      <c r="EC146" s="226"/>
      <c r="ED146" s="226"/>
      <c r="EE146" s="226"/>
      <c r="EF146" s="226"/>
      <c r="EG146" s="226"/>
      <c r="EH146" s="226"/>
      <c r="EI146" s="226"/>
      <c r="EJ146" s="226"/>
      <c r="EK146" s="226"/>
      <c r="EL146" s="226"/>
      <c r="EM146" s="226"/>
      <c r="EN146" s="226"/>
      <c r="EO146" s="226"/>
      <c r="EP146" s="226"/>
      <c r="EQ146" s="226"/>
      <c r="ER146" s="226"/>
      <c r="ES146" s="226"/>
      <c r="ET146" s="226"/>
      <c r="EU146" s="226"/>
      <c r="EV146" s="226"/>
      <c r="EW146" s="226"/>
      <c r="EX146" s="226"/>
      <c r="EY146" s="226"/>
      <c r="EZ146" s="226"/>
      <c r="FA146" s="226"/>
      <c r="FB146" s="226"/>
      <c r="FC146" s="226"/>
      <c r="FD146" s="226"/>
      <c r="FE146" s="226"/>
      <c r="FF146" s="226"/>
      <c r="FG146" s="226"/>
      <c r="FH146" s="226"/>
      <c r="FI146" s="226"/>
      <c r="FJ146" s="226"/>
      <c r="FK146" s="226"/>
      <c r="FL146" s="226"/>
      <c r="FM146" s="226"/>
      <c r="FN146" s="226"/>
      <c r="FO146" s="226"/>
      <c r="FP146" s="226"/>
      <c r="FQ146" s="226"/>
      <c r="FR146" s="226"/>
      <c r="FS146" s="226"/>
      <c r="FT146" s="226"/>
      <c r="FU146" s="226"/>
      <c r="FV146" s="226"/>
      <c r="FW146" s="226"/>
      <c r="FX146" s="226"/>
      <c r="FY146" s="226"/>
      <c r="FZ146" s="226"/>
      <c r="GA146" s="226"/>
      <c r="GB146" s="226"/>
      <c r="GC146" s="226"/>
      <c r="GD146" s="226"/>
      <c r="GE146" s="226"/>
      <c r="GF146" s="226"/>
      <c r="GG146" s="226"/>
    </row>
    <row r="147" spans="1:189" s="225" customFormat="1" ht="18" customHeight="1">
      <c r="A147" s="17"/>
      <c r="B147" s="230"/>
      <c r="C147" s="228"/>
      <c r="D147" s="138"/>
      <c r="E147" s="108"/>
      <c r="F147" s="65"/>
      <c r="H147" s="259"/>
      <c r="I147" s="265"/>
      <c r="J147" s="259"/>
      <c r="K147" s="226"/>
      <c r="L147" s="226"/>
      <c r="M147" s="226"/>
      <c r="N147" s="226"/>
      <c r="O147" s="226"/>
      <c r="P147" s="226"/>
      <c r="Q147" s="226"/>
      <c r="R147" s="226"/>
      <c r="S147" s="226"/>
      <c r="T147" s="226"/>
      <c r="U147" s="226"/>
      <c r="V147" s="226"/>
      <c r="W147" s="226"/>
      <c r="X147" s="226"/>
      <c r="Y147" s="226"/>
      <c r="Z147" s="226"/>
      <c r="AA147" s="226"/>
      <c r="AB147" s="226"/>
      <c r="AC147" s="226"/>
      <c r="AD147" s="226"/>
      <c r="AE147" s="226"/>
      <c r="AF147" s="226"/>
      <c r="AG147" s="226"/>
      <c r="AH147" s="226"/>
      <c r="AI147" s="226"/>
      <c r="AJ147" s="226"/>
      <c r="AK147" s="226"/>
      <c r="AL147" s="226"/>
      <c r="AM147" s="226"/>
      <c r="AN147" s="226"/>
      <c r="AO147" s="226"/>
      <c r="AP147" s="226"/>
      <c r="AQ147" s="226"/>
      <c r="AR147" s="226"/>
      <c r="AS147" s="226"/>
      <c r="AT147" s="226"/>
      <c r="AU147" s="226"/>
      <c r="AV147" s="226"/>
      <c r="AW147" s="226"/>
      <c r="AX147" s="226"/>
      <c r="AY147" s="226"/>
      <c r="AZ147" s="226"/>
      <c r="BA147" s="226"/>
      <c r="BB147" s="226"/>
      <c r="BC147" s="226"/>
      <c r="BD147" s="226"/>
      <c r="BE147" s="226"/>
      <c r="BF147" s="226"/>
      <c r="BG147" s="226"/>
      <c r="BH147" s="226"/>
      <c r="BI147" s="226"/>
      <c r="BJ147" s="226"/>
      <c r="BK147" s="226"/>
      <c r="BL147" s="226"/>
      <c r="BM147" s="226"/>
      <c r="BN147" s="226"/>
      <c r="BO147" s="226"/>
      <c r="BP147" s="226"/>
      <c r="BQ147" s="226"/>
      <c r="BR147" s="226"/>
      <c r="BS147" s="226"/>
      <c r="BT147" s="226"/>
      <c r="BU147" s="226"/>
      <c r="BV147" s="226"/>
      <c r="BW147" s="226"/>
      <c r="BX147" s="226"/>
      <c r="BY147" s="226"/>
      <c r="BZ147" s="226"/>
      <c r="CA147" s="226"/>
      <c r="CB147" s="226"/>
      <c r="CC147" s="226"/>
      <c r="CD147" s="226"/>
      <c r="CE147" s="226"/>
      <c r="CF147" s="226"/>
      <c r="CG147" s="226"/>
      <c r="CH147" s="226"/>
      <c r="CI147" s="226"/>
      <c r="CJ147" s="226"/>
      <c r="CK147" s="226"/>
      <c r="CL147" s="226"/>
      <c r="CM147" s="226"/>
      <c r="CN147" s="226"/>
      <c r="CO147" s="226"/>
      <c r="CP147" s="226"/>
      <c r="CQ147" s="226"/>
      <c r="CR147" s="226"/>
      <c r="CS147" s="226"/>
      <c r="CT147" s="226"/>
      <c r="CU147" s="226"/>
      <c r="CV147" s="226"/>
      <c r="CW147" s="226"/>
      <c r="CX147" s="226"/>
      <c r="CY147" s="226"/>
      <c r="CZ147" s="226"/>
      <c r="DA147" s="226"/>
      <c r="DB147" s="226"/>
      <c r="DC147" s="226"/>
      <c r="DD147" s="226"/>
      <c r="DE147" s="226"/>
      <c r="DF147" s="226"/>
      <c r="DG147" s="226"/>
      <c r="DH147" s="226"/>
      <c r="DI147" s="226"/>
      <c r="DJ147" s="226"/>
      <c r="DK147" s="226"/>
      <c r="DL147" s="226"/>
      <c r="DM147" s="226"/>
      <c r="DN147" s="226"/>
      <c r="DO147" s="226"/>
      <c r="DP147" s="226"/>
      <c r="DQ147" s="226"/>
      <c r="DR147" s="226"/>
      <c r="DS147" s="226"/>
      <c r="DT147" s="226"/>
      <c r="DU147" s="226"/>
      <c r="DV147" s="226"/>
      <c r="DW147" s="226"/>
      <c r="DX147" s="226"/>
      <c r="DY147" s="226"/>
      <c r="DZ147" s="226"/>
      <c r="EA147" s="226"/>
      <c r="EB147" s="226"/>
      <c r="EC147" s="226"/>
      <c r="ED147" s="226"/>
      <c r="EE147" s="226"/>
      <c r="EF147" s="226"/>
      <c r="EG147" s="226"/>
      <c r="EH147" s="226"/>
      <c r="EI147" s="226"/>
      <c r="EJ147" s="226"/>
      <c r="EK147" s="226"/>
      <c r="EL147" s="226"/>
      <c r="EM147" s="226"/>
      <c r="EN147" s="226"/>
      <c r="EO147" s="226"/>
      <c r="EP147" s="226"/>
      <c r="EQ147" s="226"/>
      <c r="ER147" s="226"/>
      <c r="ES147" s="226"/>
      <c r="ET147" s="226"/>
      <c r="EU147" s="226"/>
      <c r="EV147" s="226"/>
      <c r="EW147" s="226"/>
      <c r="EX147" s="226"/>
      <c r="EY147" s="226"/>
      <c r="EZ147" s="226"/>
      <c r="FA147" s="226"/>
      <c r="FB147" s="226"/>
      <c r="FC147" s="226"/>
      <c r="FD147" s="226"/>
      <c r="FE147" s="226"/>
      <c r="FF147" s="226"/>
      <c r="FG147" s="226"/>
      <c r="FH147" s="226"/>
      <c r="FI147" s="226"/>
      <c r="FJ147" s="226"/>
      <c r="FK147" s="226"/>
      <c r="FL147" s="226"/>
      <c r="FM147" s="226"/>
      <c r="FN147" s="226"/>
      <c r="FO147" s="226"/>
      <c r="FP147" s="226"/>
      <c r="FQ147" s="226"/>
      <c r="FR147" s="226"/>
      <c r="FS147" s="226"/>
      <c r="FT147" s="226"/>
      <c r="FU147" s="226"/>
      <c r="FV147" s="226"/>
      <c r="FW147" s="226"/>
      <c r="FX147" s="226"/>
      <c r="FY147" s="226"/>
      <c r="FZ147" s="226"/>
      <c r="GA147" s="226"/>
      <c r="GB147" s="226"/>
      <c r="GC147" s="226"/>
      <c r="GD147" s="226"/>
      <c r="GE147" s="226"/>
      <c r="GF147" s="226"/>
      <c r="GG147" s="226"/>
    </row>
    <row r="148" spans="1:189" s="225" customFormat="1" ht="16.5" customHeight="1">
      <c r="A148" s="141">
        <v>515</v>
      </c>
      <c r="B148" s="43" t="s">
        <v>148</v>
      </c>
      <c r="C148" s="248"/>
      <c r="D148" s="249"/>
      <c r="E148" s="109"/>
      <c r="F148" s="63"/>
      <c r="H148" s="259"/>
      <c r="I148" s="265"/>
      <c r="J148" s="259"/>
      <c r="K148" s="226"/>
      <c r="L148" s="226"/>
      <c r="M148" s="226"/>
      <c r="N148" s="226"/>
      <c r="O148" s="226"/>
      <c r="P148" s="226"/>
      <c r="Q148" s="226"/>
      <c r="R148" s="226"/>
      <c r="S148" s="226"/>
      <c r="T148" s="226"/>
      <c r="U148" s="226"/>
      <c r="V148" s="226"/>
      <c r="W148" s="226"/>
      <c r="X148" s="226"/>
      <c r="Y148" s="226"/>
      <c r="Z148" s="226"/>
      <c r="AA148" s="226"/>
      <c r="AB148" s="226"/>
      <c r="AC148" s="226"/>
      <c r="AD148" s="226"/>
      <c r="AE148" s="226"/>
      <c r="AF148" s="226"/>
      <c r="AG148" s="226"/>
      <c r="AH148" s="226"/>
      <c r="AI148" s="226"/>
      <c r="AJ148" s="226"/>
      <c r="AK148" s="226"/>
      <c r="AL148" s="226"/>
      <c r="AM148" s="226"/>
      <c r="AN148" s="226"/>
      <c r="AO148" s="226"/>
      <c r="AP148" s="226"/>
      <c r="AQ148" s="226"/>
      <c r="AR148" s="226"/>
      <c r="AS148" s="226"/>
      <c r="AT148" s="226"/>
      <c r="AU148" s="226"/>
      <c r="AV148" s="226"/>
      <c r="AW148" s="226"/>
      <c r="AX148" s="226"/>
      <c r="AY148" s="226"/>
      <c r="AZ148" s="226"/>
      <c r="BA148" s="226"/>
      <c r="BB148" s="226"/>
      <c r="BC148" s="226"/>
      <c r="BD148" s="226"/>
      <c r="BE148" s="226"/>
      <c r="BF148" s="226"/>
      <c r="BG148" s="226"/>
      <c r="BH148" s="226"/>
      <c r="BI148" s="226"/>
      <c r="BJ148" s="226"/>
      <c r="BK148" s="226"/>
      <c r="BL148" s="226"/>
      <c r="BM148" s="226"/>
      <c r="BN148" s="226"/>
      <c r="BO148" s="226"/>
      <c r="BP148" s="226"/>
      <c r="BQ148" s="226"/>
      <c r="BR148" s="226"/>
      <c r="BS148" s="226"/>
      <c r="BT148" s="226"/>
      <c r="BU148" s="226"/>
      <c r="BV148" s="226"/>
      <c r="BW148" s="226"/>
      <c r="BX148" s="226"/>
      <c r="BY148" s="226"/>
      <c r="BZ148" s="226"/>
      <c r="CA148" s="226"/>
      <c r="CB148" s="226"/>
      <c r="CC148" s="226"/>
      <c r="CD148" s="226"/>
      <c r="CE148" s="226"/>
      <c r="CF148" s="226"/>
      <c r="CG148" s="226"/>
      <c r="CH148" s="226"/>
      <c r="CI148" s="226"/>
      <c r="CJ148" s="226"/>
      <c r="CK148" s="226"/>
      <c r="CL148" s="226"/>
      <c r="CM148" s="226"/>
      <c r="CN148" s="226"/>
      <c r="CO148" s="226"/>
      <c r="CP148" s="226"/>
      <c r="CQ148" s="226"/>
      <c r="CR148" s="226"/>
      <c r="CS148" s="226"/>
      <c r="CT148" s="226"/>
      <c r="CU148" s="226"/>
      <c r="CV148" s="226"/>
      <c r="CW148" s="226"/>
      <c r="CX148" s="226"/>
      <c r="CY148" s="226"/>
      <c r="CZ148" s="226"/>
      <c r="DA148" s="226"/>
      <c r="DB148" s="226"/>
      <c r="DC148" s="226"/>
      <c r="DD148" s="226"/>
      <c r="DE148" s="226"/>
      <c r="DF148" s="226"/>
      <c r="DG148" s="226"/>
      <c r="DH148" s="226"/>
      <c r="DI148" s="226"/>
      <c r="DJ148" s="226"/>
      <c r="DK148" s="226"/>
      <c r="DL148" s="226"/>
      <c r="DM148" s="226"/>
      <c r="DN148" s="226"/>
      <c r="DO148" s="226"/>
      <c r="DP148" s="226"/>
      <c r="DQ148" s="226"/>
      <c r="DR148" s="226"/>
      <c r="DS148" s="226"/>
      <c r="DT148" s="226"/>
      <c r="DU148" s="226"/>
      <c r="DV148" s="226"/>
      <c r="DW148" s="226"/>
      <c r="DX148" s="226"/>
      <c r="DY148" s="226"/>
      <c r="DZ148" s="226"/>
      <c r="EA148" s="226"/>
      <c r="EB148" s="226"/>
      <c r="EC148" s="226"/>
      <c r="ED148" s="226"/>
      <c r="EE148" s="226"/>
      <c r="EF148" s="226"/>
      <c r="EG148" s="226"/>
      <c r="EH148" s="226"/>
      <c r="EI148" s="226"/>
      <c r="EJ148" s="226"/>
      <c r="EK148" s="226"/>
      <c r="EL148" s="226"/>
      <c r="EM148" s="226"/>
      <c r="EN148" s="226"/>
      <c r="EO148" s="226"/>
      <c r="EP148" s="226"/>
      <c r="EQ148" s="226"/>
      <c r="ER148" s="226"/>
      <c r="ES148" s="226"/>
      <c r="ET148" s="226"/>
      <c r="EU148" s="226"/>
      <c r="EV148" s="226"/>
      <c r="EW148" s="226"/>
      <c r="EX148" s="226"/>
      <c r="EY148" s="226"/>
      <c r="EZ148" s="226"/>
      <c r="FA148" s="226"/>
      <c r="FB148" s="226"/>
      <c r="FC148" s="226"/>
      <c r="FD148" s="226"/>
      <c r="FE148" s="226"/>
      <c r="FF148" s="226"/>
      <c r="FG148" s="226"/>
      <c r="FH148" s="226"/>
      <c r="FI148" s="226"/>
      <c r="FJ148" s="226"/>
      <c r="FK148" s="226"/>
      <c r="FL148" s="226"/>
      <c r="FM148" s="226"/>
      <c r="FN148" s="226"/>
      <c r="FO148" s="226"/>
      <c r="FP148" s="226"/>
      <c r="FQ148" s="226"/>
      <c r="FR148" s="226"/>
      <c r="FS148" s="226"/>
      <c r="FT148" s="226"/>
      <c r="FU148" s="226"/>
      <c r="FV148" s="226"/>
      <c r="FW148" s="226"/>
      <c r="FX148" s="226"/>
      <c r="FY148" s="226"/>
      <c r="FZ148" s="226"/>
      <c r="GA148" s="226"/>
      <c r="GB148" s="226"/>
      <c r="GC148" s="226"/>
      <c r="GD148" s="226"/>
      <c r="GE148" s="226"/>
      <c r="GF148" s="226"/>
      <c r="GG148" s="226"/>
    </row>
    <row r="149" spans="1:189" s="225" customFormat="1" ht="15.95" customHeight="1">
      <c r="A149" s="143" t="s">
        <v>150</v>
      </c>
      <c r="B149" s="242" t="s">
        <v>221</v>
      </c>
      <c r="C149" s="251" t="s">
        <v>27</v>
      </c>
      <c r="D149" s="82">
        <f>J149</f>
        <v>0</v>
      </c>
      <c r="E149" s="107" t="e">
        <f>#REF!</f>
        <v>#REF!</v>
      </c>
      <c r="F149" s="64" t="e">
        <f>+D149*E149</f>
        <v>#REF!</v>
      </c>
      <c r="H149" s="259">
        <v>0</v>
      </c>
      <c r="I149" s="265">
        <v>1.05</v>
      </c>
      <c r="J149" s="259">
        <f>H149*I149</f>
        <v>0</v>
      </c>
      <c r="K149" s="226"/>
      <c r="L149" s="226"/>
      <c r="M149" s="226"/>
      <c r="N149" s="226"/>
      <c r="O149" s="226"/>
      <c r="P149" s="226"/>
      <c r="Q149" s="226"/>
      <c r="R149" s="226"/>
      <c r="S149" s="226"/>
      <c r="T149" s="226"/>
      <c r="U149" s="226"/>
      <c r="V149" s="226"/>
      <c r="W149" s="226"/>
      <c r="X149" s="226"/>
      <c r="Y149" s="226"/>
      <c r="Z149" s="226"/>
      <c r="AA149" s="226"/>
      <c r="AB149" s="226"/>
      <c r="AC149" s="226"/>
      <c r="AD149" s="226"/>
      <c r="AE149" s="226"/>
      <c r="AF149" s="226"/>
      <c r="AG149" s="226"/>
      <c r="AH149" s="226"/>
      <c r="AI149" s="226"/>
      <c r="AJ149" s="226"/>
      <c r="AK149" s="226"/>
      <c r="AL149" s="226"/>
      <c r="AM149" s="226"/>
      <c r="AN149" s="226"/>
      <c r="AO149" s="226"/>
      <c r="AP149" s="226"/>
      <c r="AQ149" s="226"/>
      <c r="AR149" s="226"/>
      <c r="AS149" s="226"/>
      <c r="AT149" s="226"/>
      <c r="AU149" s="226"/>
      <c r="AV149" s="226"/>
      <c r="AW149" s="226"/>
      <c r="AX149" s="226"/>
      <c r="AY149" s="226"/>
      <c r="AZ149" s="226"/>
      <c r="BA149" s="226"/>
      <c r="BB149" s="226"/>
      <c r="BC149" s="226"/>
      <c r="BD149" s="226"/>
      <c r="BE149" s="226"/>
      <c r="BF149" s="226"/>
      <c r="BG149" s="226"/>
      <c r="BH149" s="226"/>
      <c r="BI149" s="226"/>
      <c r="BJ149" s="226"/>
      <c r="BK149" s="226"/>
      <c r="BL149" s="226"/>
      <c r="BM149" s="226"/>
      <c r="BN149" s="226"/>
      <c r="BO149" s="226"/>
      <c r="BP149" s="226"/>
      <c r="BQ149" s="226"/>
      <c r="BR149" s="226"/>
      <c r="BS149" s="226"/>
      <c r="BT149" s="226"/>
      <c r="BU149" s="226"/>
      <c r="BV149" s="226"/>
      <c r="BW149" s="226"/>
      <c r="BX149" s="226"/>
      <c r="BY149" s="226"/>
      <c r="BZ149" s="226"/>
      <c r="CA149" s="226"/>
      <c r="CB149" s="226"/>
      <c r="CC149" s="226"/>
      <c r="CD149" s="226"/>
      <c r="CE149" s="226"/>
      <c r="CF149" s="226"/>
      <c r="CG149" s="226"/>
      <c r="CH149" s="226"/>
      <c r="CI149" s="226"/>
      <c r="CJ149" s="226"/>
      <c r="CK149" s="226"/>
      <c r="CL149" s="226"/>
      <c r="CM149" s="226"/>
      <c r="CN149" s="226"/>
      <c r="CO149" s="226"/>
      <c r="CP149" s="226"/>
      <c r="CQ149" s="226"/>
      <c r="CR149" s="226"/>
      <c r="CS149" s="226"/>
      <c r="CT149" s="226"/>
      <c r="CU149" s="226"/>
      <c r="CV149" s="226"/>
      <c r="CW149" s="226"/>
      <c r="CX149" s="226"/>
      <c r="CY149" s="226"/>
      <c r="CZ149" s="226"/>
      <c r="DA149" s="226"/>
      <c r="DB149" s="226"/>
      <c r="DC149" s="226"/>
      <c r="DD149" s="226"/>
      <c r="DE149" s="226"/>
      <c r="DF149" s="226"/>
      <c r="DG149" s="226"/>
      <c r="DH149" s="226"/>
      <c r="DI149" s="226"/>
      <c r="DJ149" s="226"/>
      <c r="DK149" s="226"/>
      <c r="DL149" s="226"/>
      <c r="DM149" s="226"/>
      <c r="DN149" s="226"/>
      <c r="DO149" s="226"/>
      <c r="DP149" s="226"/>
      <c r="DQ149" s="226"/>
      <c r="DR149" s="226"/>
      <c r="DS149" s="226"/>
      <c r="DT149" s="226"/>
      <c r="DU149" s="226"/>
      <c r="DV149" s="226"/>
      <c r="DW149" s="226"/>
      <c r="DX149" s="226"/>
      <c r="DY149" s="226"/>
      <c r="DZ149" s="226"/>
      <c r="EA149" s="226"/>
      <c r="EB149" s="226"/>
      <c r="EC149" s="226"/>
      <c r="ED149" s="226"/>
      <c r="EE149" s="226"/>
      <c r="EF149" s="226"/>
      <c r="EG149" s="226"/>
      <c r="EH149" s="226"/>
      <c r="EI149" s="226"/>
      <c r="EJ149" s="226"/>
      <c r="EK149" s="226"/>
      <c r="EL149" s="226"/>
      <c r="EM149" s="226"/>
      <c r="EN149" s="226"/>
      <c r="EO149" s="226"/>
      <c r="EP149" s="226"/>
      <c r="EQ149" s="226"/>
      <c r="ER149" s="226"/>
      <c r="ES149" s="226"/>
      <c r="ET149" s="226"/>
      <c r="EU149" s="226"/>
      <c r="EV149" s="226"/>
      <c r="EW149" s="226"/>
      <c r="EX149" s="226"/>
      <c r="EY149" s="226"/>
      <c r="EZ149" s="226"/>
      <c r="FA149" s="226"/>
      <c r="FB149" s="226"/>
      <c r="FC149" s="226"/>
      <c r="FD149" s="226"/>
      <c r="FE149" s="226"/>
      <c r="FF149" s="226"/>
      <c r="FG149" s="226"/>
      <c r="FH149" s="226"/>
      <c r="FI149" s="226"/>
      <c r="FJ149" s="226"/>
      <c r="FK149" s="226"/>
      <c r="FL149" s="226"/>
      <c r="FM149" s="226"/>
      <c r="FN149" s="226"/>
      <c r="FO149" s="226"/>
      <c r="FP149" s="226"/>
      <c r="FQ149" s="226"/>
      <c r="FR149" s="226"/>
      <c r="FS149" s="226"/>
      <c r="FT149" s="226"/>
      <c r="FU149" s="226"/>
      <c r="FV149" s="226"/>
      <c r="FW149" s="226"/>
      <c r="FX149" s="226"/>
      <c r="FY149" s="226"/>
      <c r="FZ149" s="226"/>
      <c r="GA149" s="226"/>
      <c r="GB149" s="226"/>
      <c r="GC149" s="226"/>
      <c r="GD149" s="226"/>
      <c r="GE149" s="226"/>
      <c r="GF149" s="226"/>
      <c r="GG149" s="226"/>
    </row>
    <row r="150" spans="1:189" s="225" customFormat="1" ht="16.5" customHeight="1">
      <c r="A150" s="442" t="e">
        <f>+#REF!</f>
        <v>#REF!</v>
      </c>
      <c r="B150" s="43" t="e">
        <f>+#REF!</f>
        <v>#REF!</v>
      </c>
      <c r="C150" s="248"/>
      <c r="D150" s="249"/>
      <c r="E150" s="109"/>
      <c r="F150" s="63"/>
      <c r="H150" s="259"/>
      <c r="I150" s="265"/>
      <c r="J150" s="259"/>
      <c r="K150" s="226"/>
      <c r="L150" s="226"/>
      <c r="M150" s="226"/>
      <c r="N150" s="226"/>
      <c r="O150" s="226"/>
      <c r="P150" s="226"/>
      <c r="Q150" s="226"/>
      <c r="R150" s="226"/>
      <c r="S150" s="226"/>
      <c r="T150" s="226"/>
      <c r="U150" s="226"/>
      <c r="V150" s="226"/>
      <c r="W150" s="226"/>
      <c r="X150" s="226"/>
      <c r="Y150" s="226"/>
      <c r="Z150" s="226"/>
      <c r="AA150" s="226"/>
      <c r="AB150" s="226"/>
      <c r="AC150" s="226"/>
      <c r="AD150" s="226"/>
      <c r="AE150" s="226"/>
      <c r="AF150" s="226"/>
      <c r="AG150" s="226"/>
      <c r="AH150" s="226"/>
      <c r="AI150" s="226"/>
      <c r="AJ150" s="226"/>
      <c r="AK150" s="226"/>
      <c r="AL150" s="226"/>
      <c r="AM150" s="226"/>
      <c r="AN150" s="226"/>
      <c r="AO150" s="226"/>
      <c r="AP150" s="226"/>
      <c r="AQ150" s="226"/>
      <c r="AR150" s="226"/>
      <c r="AS150" s="226"/>
      <c r="AT150" s="226"/>
      <c r="AU150" s="226"/>
      <c r="AV150" s="226"/>
      <c r="AW150" s="226"/>
      <c r="AX150" s="226"/>
      <c r="AY150" s="226"/>
      <c r="AZ150" s="226"/>
      <c r="BA150" s="226"/>
      <c r="BB150" s="226"/>
      <c r="BC150" s="226"/>
      <c r="BD150" s="226"/>
      <c r="BE150" s="226"/>
      <c r="BF150" s="226"/>
      <c r="BG150" s="226"/>
      <c r="BH150" s="226"/>
      <c r="BI150" s="226"/>
      <c r="BJ150" s="226"/>
      <c r="BK150" s="226"/>
      <c r="BL150" s="226"/>
      <c r="BM150" s="226"/>
      <c r="BN150" s="226"/>
      <c r="BO150" s="226"/>
      <c r="BP150" s="226"/>
      <c r="BQ150" s="226"/>
      <c r="BR150" s="226"/>
      <c r="BS150" s="226"/>
      <c r="BT150" s="226"/>
      <c r="BU150" s="226"/>
      <c r="BV150" s="226"/>
      <c r="BW150" s="226"/>
      <c r="BX150" s="226"/>
      <c r="BY150" s="226"/>
      <c r="BZ150" s="226"/>
      <c r="CA150" s="226"/>
      <c r="CB150" s="226"/>
      <c r="CC150" s="226"/>
      <c r="CD150" s="226"/>
      <c r="CE150" s="226"/>
      <c r="CF150" s="226"/>
      <c r="CG150" s="226"/>
      <c r="CH150" s="226"/>
      <c r="CI150" s="226"/>
      <c r="CJ150" s="226"/>
      <c r="CK150" s="226"/>
      <c r="CL150" s="226"/>
      <c r="CM150" s="226"/>
      <c r="CN150" s="226"/>
      <c r="CO150" s="226"/>
      <c r="CP150" s="226"/>
      <c r="CQ150" s="226"/>
      <c r="CR150" s="226"/>
      <c r="CS150" s="226"/>
      <c r="CT150" s="226"/>
      <c r="CU150" s="226"/>
      <c r="CV150" s="226"/>
      <c r="CW150" s="226"/>
      <c r="CX150" s="226"/>
      <c r="CY150" s="226"/>
      <c r="CZ150" s="226"/>
      <c r="DA150" s="226"/>
      <c r="DB150" s="226"/>
      <c r="DC150" s="226"/>
      <c r="DD150" s="226"/>
      <c r="DE150" s="226"/>
      <c r="DF150" s="226"/>
      <c r="DG150" s="226"/>
      <c r="DH150" s="226"/>
      <c r="DI150" s="226"/>
      <c r="DJ150" s="226"/>
      <c r="DK150" s="226"/>
      <c r="DL150" s="226"/>
      <c r="DM150" s="226"/>
      <c r="DN150" s="226"/>
      <c r="DO150" s="226"/>
      <c r="DP150" s="226"/>
      <c r="DQ150" s="226"/>
      <c r="DR150" s="226"/>
      <c r="DS150" s="226"/>
      <c r="DT150" s="226"/>
      <c r="DU150" s="226"/>
      <c r="DV150" s="226"/>
      <c r="DW150" s="226"/>
      <c r="DX150" s="226"/>
      <c r="DY150" s="226"/>
      <c r="DZ150" s="226"/>
      <c r="EA150" s="226"/>
      <c r="EB150" s="226"/>
      <c r="EC150" s="226"/>
      <c r="ED150" s="226"/>
      <c r="EE150" s="226"/>
      <c r="EF150" s="226"/>
      <c r="EG150" s="226"/>
      <c r="EH150" s="226"/>
      <c r="EI150" s="226"/>
      <c r="EJ150" s="226"/>
      <c r="EK150" s="226"/>
      <c r="EL150" s="226"/>
      <c r="EM150" s="226"/>
      <c r="EN150" s="226"/>
      <c r="EO150" s="226"/>
      <c r="EP150" s="226"/>
      <c r="EQ150" s="226"/>
      <c r="ER150" s="226"/>
      <c r="ES150" s="226"/>
      <c r="ET150" s="226"/>
      <c r="EU150" s="226"/>
      <c r="EV150" s="226"/>
      <c r="EW150" s="226"/>
      <c r="EX150" s="226"/>
      <c r="EY150" s="226"/>
      <c r="EZ150" s="226"/>
      <c r="FA150" s="226"/>
      <c r="FB150" s="226"/>
      <c r="FC150" s="226"/>
      <c r="FD150" s="226"/>
      <c r="FE150" s="226"/>
      <c r="FF150" s="226"/>
      <c r="FG150" s="226"/>
      <c r="FH150" s="226"/>
      <c r="FI150" s="226"/>
      <c r="FJ150" s="226"/>
      <c r="FK150" s="226"/>
      <c r="FL150" s="226"/>
      <c r="FM150" s="226"/>
      <c r="FN150" s="226"/>
      <c r="FO150" s="226"/>
      <c r="FP150" s="226"/>
      <c r="FQ150" s="226"/>
      <c r="FR150" s="226"/>
      <c r="FS150" s="226"/>
      <c r="FT150" s="226"/>
      <c r="FU150" s="226"/>
      <c r="FV150" s="226"/>
      <c r="FW150" s="226"/>
      <c r="FX150" s="226"/>
      <c r="FY150" s="226"/>
      <c r="FZ150" s="226"/>
      <c r="GA150" s="226"/>
      <c r="GB150" s="226"/>
      <c r="GC150" s="226"/>
      <c r="GD150" s="226"/>
      <c r="GE150" s="226"/>
      <c r="GF150" s="226"/>
      <c r="GG150" s="226"/>
    </row>
    <row r="151" spans="1:189" s="225" customFormat="1" ht="15.95" customHeight="1">
      <c r="A151" s="242" t="e">
        <f>+#REF!</f>
        <v>#REF!</v>
      </c>
      <c r="B151" s="242" t="e">
        <f>+#REF!</f>
        <v>#REF!</v>
      </c>
      <c r="C151" s="251" t="s">
        <v>1</v>
      </c>
      <c r="D151" s="82">
        <f>J151</f>
        <v>1074.1500000000001</v>
      </c>
      <c r="E151" s="107" t="e">
        <f>#REF!</f>
        <v>#REF!</v>
      </c>
      <c r="F151" s="64" t="e">
        <f>+D151*E151</f>
        <v>#REF!</v>
      </c>
      <c r="H151" s="259">
        <f>F3+F4</f>
        <v>1023</v>
      </c>
      <c r="I151" s="265">
        <v>1.05</v>
      </c>
      <c r="J151" s="259">
        <f>H151*I151</f>
        <v>1074.1500000000001</v>
      </c>
      <c r="K151" s="226"/>
      <c r="L151" s="226"/>
      <c r="M151" s="226"/>
      <c r="N151" s="226"/>
      <c r="O151" s="226"/>
      <c r="P151" s="226"/>
      <c r="Q151" s="226"/>
      <c r="R151" s="226"/>
      <c r="S151" s="226"/>
      <c r="T151" s="226"/>
      <c r="U151" s="226"/>
      <c r="V151" s="226"/>
      <c r="W151" s="226"/>
      <c r="X151" s="226"/>
      <c r="Y151" s="226"/>
      <c r="Z151" s="226"/>
      <c r="AA151" s="226"/>
      <c r="AB151" s="226"/>
      <c r="AC151" s="226"/>
      <c r="AD151" s="226"/>
      <c r="AE151" s="226"/>
      <c r="AF151" s="226"/>
      <c r="AG151" s="226"/>
      <c r="AH151" s="226"/>
      <c r="AI151" s="226"/>
      <c r="AJ151" s="226"/>
      <c r="AK151" s="226"/>
      <c r="AL151" s="226"/>
      <c r="AM151" s="226"/>
      <c r="AN151" s="226"/>
      <c r="AO151" s="226"/>
      <c r="AP151" s="226"/>
      <c r="AQ151" s="226"/>
      <c r="AR151" s="226"/>
      <c r="AS151" s="226"/>
      <c r="AT151" s="226"/>
      <c r="AU151" s="226"/>
      <c r="AV151" s="226"/>
      <c r="AW151" s="226"/>
      <c r="AX151" s="226"/>
      <c r="AY151" s="226"/>
      <c r="AZ151" s="226"/>
      <c r="BA151" s="226"/>
      <c r="BB151" s="226"/>
      <c r="BC151" s="226"/>
      <c r="BD151" s="226"/>
      <c r="BE151" s="226"/>
      <c r="BF151" s="226"/>
      <c r="BG151" s="226"/>
      <c r="BH151" s="226"/>
      <c r="BI151" s="226"/>
      <c r="BJ151" s="226"/>
      <c r="BK151" s="226"/>
      <c r="BL151" s="226"/>
      <c r="BM151" s="226"/>
      <c r="BN151" s="226"/>
      <c r="BO151" s="226"/>
      <c r="BP151" s="226"/>
      <c r="BQ151" s="226"/>
      <c r="BR151" s="226"/>
      <c r="BS151" s="226"/>
      <c r="BT151" s="226"/>
      <c r="BU151" s="226"/>
      <c r="BV151" s="226"/>
      <c r="BW151" s="226"/>
      <c r="BX151" s="226"/>
      <c r="BY151" s="226"/>
      <c r="BZ151" s="226"/>
      <c r="CA151" s="226"/>
      <c r="CB151" s="226"/>
      <c r="CC151" s="226"/>
      <c r="CD151" s="226"/>
      <c r="CE151" s="226"/>
      <c r="CF151" s="226"/>
      <c r="CG151" s="226"/>
      <c r="CH151" s="226"/>
      <c r="CI151" s="226"/>
      <c r="CJ151" s="226"/>
      <c r="CK151" s="226"/>
      <c r="CL151" s="226"/>
      <c r="CM151" s="226"/>
      <c r="CN151" s="226"/>
      <c r="CO151" s="226"/>
      <c r="CP151" s="226"/>
      <c r="CQ151" s="226"/>
      <c r="CR151" s="226"/>
      <c r="CS151" s="226"/>
      <c r="CT151" s="226"/>
      <c r="CU151" s="226"/>
      <c r="CV151" s="226"/>
      <c r="CW151" s="226"/>
      <c r="CX151" s="226"/>
      <c r="CY151" s="226"/>
      <c r="CZ151" s="226"/>
      <c r="DA151" s="226"/>
      <c r="DB151" s="226"/>
      <c r="DC151" s="226"/>
      <c r="DD151" s="226"/>
      <c r="DE151" s="226"/>
      <c r="DF151" s="226"/>
      <c r="DG151" s="226"/>
      <c r="DH151" s="226"/>
      <c r="DI151" s="226"/>
      <c r="DJ151" s="226"/>
      <c r="DK151" s="226"/>
      <c r="DL151" s="226"/>
      <c r="DM151" s="226"/>
      <c r="DN151" s="226"/>
      <c r="DO151" s="226"/>
      <c r="DP151" s="226"/>
      <c r="DQ151" s="226"/>
      <c r="DR151" s="226"/>
      <c r="DS151" s="226"/>
      <c r="DT151" s="226"/>
      <c r="DU151" s="226"/>
      <c r="DV151" s="226"/>
      <c r="DW151" s="226"/>
      <c r="DX151" s="226"/>
      <c r="DY151" s="226"/>
      <c r="DZ151" s="226"/>
      <c r="EA151" s="226"/>
      <c r="EB151" s="226"/>
      <c r="EC151" s="226"/>
      <c r="ED151" s="226"/>
      <c r="EE151" s="226"/>
      <c r="EF151" s="226"/>
      <c r="EG151" s="226"/>
      <c r="EH151" s="226"/>
      <c r="EI151" s="226"/>
      <c r="EJ151" s="226"/>
      <c r="EK151" s="226"/>
      <c r="EL151" s="226"/>
      <c r="EM151" s="226"/>
      <c r="EN151" s="226"/>
      <c r="EO151" s="226"/>
      <c r="EP151" s="226"/>
      <c r="EQ151" s="226"/>
      <c r="ER151" s="226"/>
      <c r="ES151" s="226"/>
      <c r="ET151" s="226"/>
      <c r="EU151" s="226"/>
      <c r="EV151" s="226"/>
      <c r="EW151" s="226"/>
      <c r="EX151" s="226"/>
      <c r="EY151" s="226"/>
      <c r="EZ151" s="226"/>
      <c r="FA151" s="226"/>
      <c r="FB151" s="226"/>
      <c r="FC151" s="226"/>
      <c r="FD151" s="226"/>
      <c r="FE151" s="226"/>
      <c r="FF151" s="226"/>
      <c r="FG151" s="226"/>
      <c r="FH151" s="226"/>
      <c r="FI151" s="226"/>
      <c r="FJ151" s="226"/>
      <c r="FK151" s="226"/>
      <c r="FL151" s="226"/>
      <c r="FM151" s="226"/>
      <c r="FN151" s="226"/>
      <c r="FO151" s="226"/>
      <c r="FP151" s="226"/>
      <c r="FQ151" s="226"/>
      <c r="FR151" s="226"/>
      <c r="FS151" s="226"/>
      <c r="FT151" s="226"/>
      <c r="FU151" s="226"/>
      <c r="FV151" s="226"/>
      <c r="FW151" s="226"/>
      <c r="FX151" s="226"/>
      <c r="FY151" s="226"/>
      <c r="FZ151" s="226"/>
      <c r="GA151" s="226"/>
      <c r="GB151" s="226"/>
      <c r="GC151" s="226"/>
      <c r="GD151" s="226"/>
      <c r="GE151" s="226"/>
      <c r="GF151" s="226"/>
      <c r="GG151" s="226"/>
    </row>
    <row r="152" spans="1:189" s="225" customFormat="1" ht="15.95" customHeight="1">
      <c r="A152" s="139">
        <v>517</v>
      </c>
      <c r="B152" s="197" t="s">
        <v>152</v>
      </c>
      <c r="C152" s="252"/>
      <c r="D152" s="78"/>
      <c r="E152" s="108"/>
      <c r="F152" s="65"/>
      <c r="H152" s="259"/>
      <c r="I152" s="265"/>
      <c r="J152" s="259"/>
      <c r="K152" s="226"/>
      <c r="L152" s="226"/>
      <c r="M152" s="226"/>
      <c r="N152" s="226"/>
      <c r="O152" s="226"/>
      <c r="P152" s="226"/>
      <c r="Q152" s="226"/>
      <c r="R152" s="226"/>
      <c r="S152" s="226"/>
      <c r="T152" s="226"/>
      <c r="U152" s="226"/>
      <c r="V152" s="226"/>
      <c r="W152" s="226"/>
      <c r="X152" s="226"/>
      <c r="Y152" s="226"/>
      <c r="Z152" s="226"/>
      <c r="AA152" s="226"/>
      <c r="AB152" s="226"/>
      <c r="AC152" s="226"/>
      <c r="AD152" s="226"/>
      <c r="AE152" s="226"/>
      <c r="AF152" s="226"/>
      <c r="AG152" s="226"/>
      <c r="AH152" s="226"/>
      <c r="AI152" s="226"/>
      <c r="AJ152" s="226"/>
      <c r="AK152" s="226"/>
      <c r="AL152" s="226"/>
      <c r="AM152" s="226"/>
      <c r="AN152" s="226"/>
      <c r="AO152" s="226"/>
      <c r="AP152" s="226"/>
      <c r="AQ152" s="226"/>
      <c r="AR152" s="226"/>
      <c r="AS152" s="226"/>
      <c r="AT152" s="226"/>
      <c r="AU152" s="226"/>
      <c r="AV152" s="226"/>
      <c r="AW152" s="226"/>
      <c r="AX152" s="226"/>
      <c r="AY152" s="226"/>
      <c r="AZ152" s="226"/>
      <c r="BA152" s="226"/>
      <c r="BB152" s="226"/>
      <c r="BC152" s="226"/>
      <c r="BD152" s="226"/>
      <c r="BE152" s="226"/>
      <c r="BF152" s="226"/>
      <c r="BG152" s="226"/>
      <c r="BH152" s="226"/>
      <c r="BI152" s="226"/>
      <c r="BJ152" s="226"/>
      <c r="BK152" s="226"/>
      <c r="BL152" s="226"/>
      <c r="BM152" s="226"/>
      <c r="BN152" s="226"/>
      <c r="BO152" s="226"/>
      <c r="BP152" s="226"/>
      <c r="BQ152" s="226"/>
      <c r="BR152" s="226"/>
      <c r="BS152" s="226"/>
      <c r="BT152" s="226"/>
      <c r="BU152" s="226"/>
      <c r="BV152" s="226"/>
      <c r="BW152" s="226"/>
      <c r="BX152" s="226"/>
      <c r="BY152" s="226"/>
      <c r="BZ152" s="226"/>
      <c r="CA152" s="226"/>
      <c r="CB152" s="226"/>
      <c r="CC152" s="226"/>
      <c r="CD152" s="226"/>
      <c r="CE152" s="226"/>
      <c r="CF152" s="226"/>
      <c r="CG152" s="226"/>
      <c r="CH152" s="226"/>
      <c r="CI152" s="226"/>
      <c r="CJ152" s="226"/>
      <c r="CK152" s="226"/>
      <c r="CL152" s="226"/>
      <c r="CM152" s="226"/>
      <c r="CN152" s="226"/>
      <c r="CO152" s="226"/>
      <c r="CP152" s="226"/>
      <c r="CQ152" s="226"/>
      <c r="CR152" s="226"/>
      <c r="CS152" s="226"/>
      <c r="CT152" s="226"/>
      <c r="CU152" s="226"/>
      <c r="CV152" s="226"/>
      <c r="CW152" s="226"/>
      <c r="CX152" s="226"/>
      <c r="CY152" s="226"/>
      <c r="CZ152" s="226"/>
      <c r="DA152" s="226"/>
      <c r="DB152" s="226"/>
      <c r="DC152" s="226"/>
      <c r="DD152" s="226"/>
      <c r="DE152" s="226"/>
      <c r="DF152" s="226"/>
      <c r="DG152" s="226"/>
      <c r="DH152" s="226"/>
      <c r="DI152" s="226"/>
      <c r="DJ152" s="226"/>
      <c r="DK152" s="226"/>
      <c r="DL152" s="226"/>
      <c r="DM152" s="226"/>
      <c r="DN152" s="226"/>
      <c r="DO152" s="226"/>
      <c r="DP152" s="226"/>
      <c r="DQ152" s="226"/>
      <c r="DR152" s="226"/>
      <c r="DS152" s="226"/>
      <c r="DT152" s="226"/>
      <c r="DU152" s="226"/>
      <c r="DV152" s="226"/>
      <c r="DW152" s="226"/>
      <c r="DX152" s="226"/>
      <c r="DY152" s="226"/>
      <c r="DZ152" s="226"/>
      <c r="EA152" s="226"/>
      <c r="EB152" s="226"/>
      <c r="EC152" s="226"/>
      <c r="ED152" s="226"/>
      <c r="EE152" s="226"/>
      <c r="EF152" s="226"/>
      <c r="EG152" s="226"/>
      <c r="EH152" s="226"/>
      <c r="EI152" s="226"/>
      <c r="EJ152" s="226"/>
      <c r="EK152" s="226"/>
      <c r="EL152" s="226"/>
      <c r="EM152" s="226"/>
      <c r="EN152" s="226"/>
      <c r="EO152" s="226"/>
      <c r="EP152" s="226"/>
      <c r="EQ152" s="226"/>
      <c r="ER152" s="226"/>
      <c r="ES152" s="226"/>
      <c r="ET152" s="226"/>
      <c r="EU152" s="226"/>
      <c r="EV152" s="226"/>
      <c r="EW152" s="226"/>
      <c r="EX152" s="226"/>
      <c r="EY152" s="226"/>
      <c r="EZ152" s="226"/>
      <c r="FA152" s="226"/>
      <c r="FB152" s="226"/>
      <c r="FC152" s="226"/>
      <c r="FD152" s="226"/>
      <c r="FE152" s="226"/>
      <c r="FF152" s="226"/>
      <c r="FG152" s="226"/>
      <c r="FH152" s="226"/>
      <c r="FI152" s="226"/>
      <c r="FJ152" s="226"/>
      <c r="FK152" s="226"/>
      <c r="FL152" s="226"/>
      <c r="FM152" s="226"/>
      <c r="FN152" s="226"/>
      <c r="FO152" s="226"/>
      <c r="FP152" s="226"/>
      <c r="FQ152" s="226"/>
      <c r="FR152" s="226"/>
      <c r="FS152" s="226"/>
      <c r="FT152" s="226"/>
      <c r="FU152" s="226"/>
      <c r="FV152" s="226"/>
      <c r="FW152" s="226"/>
      <c r="FX152" s="226"/>
      <c r="FY152" s="226"/>
      <c r="FZ152" s="226"/>
      <c r="GA152" s="226"/>
      <c r="GB152" s="226"/>
      <c r="GC152" s="226"/>
      <c r="GD152" s="226"/>
      <c r="GE152" s="226"/>
      <c r="GF152" s="226"/>
      <c r="GG152" s="226"/>
    </row>
    <row r="153" spans="1:189" s="225" customFormat="1" ht="15.95" customHeight="1">
      <c r="A153" s="143" t="s">
        <v>153</v>
      </c>
      <c r="B153" s="196" t="s">
        <v>276</v>
      </c>
      <c r="C153" s="251" t="s">
        <v>1</v>
      </c>
      <c r="D153" s="82">
        <f>J153</f>
        <v>0</v>
      </c>
      <c r="E153" s="107" t="e">
        <f>#REF!</f>
        <v>#REF!</v>
      </c>
      <c r="F153" s="64" t="e">
        <f>+D153*E153</f>
        <v>#REF!</v>
      </c>
      <c r="H153" s="259">
        <v>0</v>
      </c>
      <c r="I153" s="265">
        <v>1.05</v>
      </c>
      <c r="J153" s="259">
        <f>H153*I153</f>
        <v>0</v>
      </c>
      <c r="K153" s="226"/>
      <c r="L153" s="226"/>
      <c r="M153" s="226"/>
      <c r="N153" s="226"/>
      <c r="O153" s="226"/>
      <c r="P153" s="226"/>
      <c r="Q153" s="226"/>
      <c r="R153" s="226"/>
      <c r="S153" s="226"/>
      <c r="T153" s="226"/>
      <c r="U153" s="226"/>
      <c r="V153" s="226"/>
      <c r="W153" s="226"/>
      <c r="X153" s="226"/>
      <c r="Y153" s="226"/>
      <c r="Z153" s="226"/>
      <c r="AA153" s="226"/>
      <c r="AB153" s="226"/>
      <c r="AC153" s="226"/>
      <c r="AD153" s="226"/>
      <c r="AE153" s="226"/>
      <c r="AF153" s="226"/>
      <c r="AG153" s="226"/>
      <c r="AH153" s="226"/>
      <c r="AI153" s="226"/>
      <c r="AJ153" s="226"/>
      <c r="AK153" s="226"/>
      <c r="AL153" s="226"/>
      <c r="AM153" s="226"/>
      <c r="AN153" s="226"/>
      <c r="AO153" s="226"/>
      <c r="AP153" s="226"/>
      <c r="AQ153" s="226"/>
      <c r="AR153" s="226"/>
      <c r="AS153" s="226"/>
      <c r="AT153" s="226"/>
      <c r="AU153" s="226"/>
      <c r="AV153" s="226"/>
      <c r="AW153" s="226"/>
      <c r="AX153" s="226"/>
      <c r="AY153" s="226"/>
      <c r="AZ153" s="226"/>
      <c r="BA153" s="226"/>
      <c r="BB153" s="226"/>
      <c r="BC153" s="226"/>
      <c r="BD153" s="226"/>
      <c r="BE153" s="226"/>
      <c r="BF153" s="226"/>
      <c r="BG153" s="226"/>
      <c r="BH153" s="226"/>
      <c r="BI153" s="226"/>
      <c r="BJ153" s="226"/>
      <c r="BK153" s="226"/>
      <c r="BL153" s="226"/>
      <c r="BM153" s="226"/>
      <c r="BN153" s="226"/>
      <c r="BO153" s="226"/>
      <c r="BP153" s="226"/>
      <c r="BQ153" s="226"/>
      <c r="BR153" s="226"/>
      <c r="BS153" s="226"/>
      <c r="BT153" s="226"/>
      <c r="BU153" s="226"/>
      <c r="BV153" s="226"/>
      <c r="BW153" s="226"/>
      <c r="BX153" s="226"/>
      <c r="BY153" s="226"/>
      <c r="BZ153" s="226"/>
      <c r="CA153" s="226"/>
      <c r="CB153" s="226"/>
      <c r="CC153" s="226"/>
      <c r="CD153" s="226"/>
      <c r="CE153" s="226"/>
      <c r="CF153" s="226"/>
      <c r="CG153" s="226"/>
      <c r="CH153" s="226"/>
      <c r="CI153" s="226"/>
      <c r="CJ153" s="226"/>
      <c r="CK153" s="226"/>
      <c r="CL153" s="226"/>
      <c r="CM153" s="226"/>
      <c r="CN153" s="226"/>
      <c r="CO153" s="226"/>
      <c r="CP153" s="226"/>
      <c r="CQ153" s="226"/>
      <c r="CR153" s="226"/>
      <c r="CS153" s="226"/>
      <c r="CT153" s="226"/>
      <c r="CU153" s="226"/>
      <c r="CV153" s="226"/>
      <c r="CW153" s="226"/>
      <c r="CX153" s="226"/>
      <c r="CY153" s="226"/>
      <c r="CZ153" s="226"/>
      <c r="DA153" s="226"/>
      <c r="DB153" s="226"/>
      <c r="DC153" s="226"/>
      <c r="DD153" s="226"/>
      <c r="DE153" s="226"/>
      <c r="DF153" s="226"/>
      <c r="DG153" s="226"/>
      <c r="DH153" s="226"/>
      <c r="DI153" s="226"/>
      <c r="DJ153" s="226"/>
      <c r="DK153" s="226"/>
      <c r="DL153" s="226"/>
      <c r="DM153" s="226"/>
      <c r="DN153" s="226"/>
      <c r="DO153" s="226"/>
      <c r="DP153" s="226"/>
      <c r="DQ153" s="226"/>
      <c r="DR153" s="226"/>
      <c r="DS153" s="226"/>
      <c r="DT153" s="226"/>
      <c r="DU153" s="226"/>
      <c r="DV153" s="226"/>
      <c r="DW153" s="226"/>
      <c r="DX153" s="226"/>
      <c r="DY153" s="226"/>
      <c r="DZ153" s="226"/>
      <c r="EA153" s="226"/>
      <c r="EB153" s="226"/>
      <c r="EC153" s="226"/>
      <c r="ED153" s="226"/>
      <c r="EE153" s="226"/>
      <c r="EF153" s="226"/>
      <c r="EG153" s="226"/>
      <c r="EH153" s="226"/>
      <c r="EI153" s="226"/>
      <c r="EJ153" s="226"/>
      <c r="EK153" s="226"/>
      <c r="EL153" s="226"/>
      <c r="EM153" s="226"/>
      <c r="EN153" s="226"/>
      <c r="EO153" s="226"/>
      <c r="EP153" s="226"/>
      <c r="EQ153" s="226"/>
      <c r="ER153" s="226"/>
      <c r="ES153" s="226"/>
      <c r="ET153" s="226"/>
      <c r="EU153" s="226"/>
      <c r="EV153" s="226"/>
      <c r="EW153" s="226"/>
      <c r="EX153" s="226"/>
      <c r="EY153" s="226"/>
      <c r="EZ153" s="226"/>
      <c r="FA153" s="226"/>
      <c r="FB153" s="226"/>
      <c r="FC153" s="226"/>
      <c r="FD153" s="226"/>
      <c r="FE153" s="226"/>
      <c r="FF153" s="226"/>
      <c r="FG153" s="226"/>
      <c r="FH153" s="226"/>
      <c r="FI153" s="226"/>
      <c r="FJ153" s="226"/>
      <c r="FK153" s="226"/>
      <c r="FL153" s="226"/>
      <c r="FM153" s="226"/>
      <c r="FN153" s="226"/>
      <c r="FO153" s="226"/>
      <c r="FP153" s="226"/>
      <c r="FQ153" s="226"/>
      <c r="FR153" s="226"/>
      <c r="FS153" s="226"/>
      <c r="FT153" s="226"/>
      <c r="FU153" s="226"/>
      <c r="FV153" s="226"/>
      <c r="FW153" s="226"/>
      <c r="FX153" s="226"/>
      <c r="FY153" s="226"/>
      <c r="FZ153" s="226"/>
      <c r="GA153" s="226"/>
      <c r="GB153" s="226"/>
      <c r="GC153" s="226"/>
      <c r="GD153" s="226"/>
      <c r="GE153" s="226"/>
      <c r="GF153" s="226"/>
      <c r="GG153" s="226"/>
    </row>
    <row r="154" spans="1:189" s="225" customFormat="1" ht="15.95" customHeight="1">
      <c r="A154" s="139">
        <v>518</v>
      </c>
      <c r="B154" s="43" t="s">
        <v>180</v>
      </c>
      <c r="C154" s="252"/>
      <c r="D154" s="78"/>
      <c r="E154" s="108"/>
      <c r="F154" s="65"/>
      <c r="H154" s="259"/>
      <c r="I154" s="265"/>
      <c r="J154" s="259"/>
      <c r="K154" s="226"/>
      <c r="L154" s="226"/>
      <c r="M154" s="226"/>
      <c r="N154" s="226"/>
      <c r="O154" s="226"/>
      <c r="P154" s="226"/>
      <c r="Q154" s="226"/>
      <c r="R154" s="226"/>
      <c r="S154" s="226"/>
      <c r="T154" s="226"/>
      <c r="U154" s="226"/>
      <c r="V154" s="226"/>
      <c r="W154" s="226"/>
      <c r="X154" s="226"/>
      <c r="Y154" s="226"/>
      <c r="Z154" s="226"/>
      <c r="AA154" s="226"/>
      <c r="AB154" s="226"/>
      <c r="AC154" s="226"/>
      <c r="AD154" s="226"/>
      <c r="AE154" s="226"/>
      <c r="AF154" s="226"/>
      <c r="AG154" s="226"/>
      <c r="AH154" s="226"/>
      <c r="AI154" s="226"/>
      <c r="AJ154" s="226"/>
      <c r="AK154" s="226"/>
      <c r="AL154" s="226"/>
      <c r="AM154" s="226"/>
      <c r="AN154" s="226"/>
      <c r="AO154" s="226"/>
      <c r="AP154" s="226"/>
      <c r="AQ154" s="226"/>
      <c r="AR154" s="226"/>
      <c r="AS154" s="226"/>
      <c r="AT154" s="226"/>
      <c r="AU154" s="226"/>
      <c r="AV154" s="226"/>
      <c r="AW154" s="226"/>
      <c r="AX154" s="226"/>
      <c r="AY154" s="226"/>
      <c r="AZ154" s="226"/>
      <c r="BA154" s="226"/>
      <c r="BB154" s="226"/>
      <c r="BC154" s="226"/>
      <c r="BD154" s="226"/>
      <c r="BE154" s="226"/>
      <c r="BF154" s="226"/>
      <c r="BG154" s="226"/>
      <c r="BH154" s="226"/>
      <c r="BI154" s="226"/>
      <c r="BJ154" s="226"/>
      <c r="BK154" s="226"/>
      <c r="BL154" s="226"/>
      <c r="BM154" s="226"/>
      <c r="BN154" s="226"/>
      <c r="BO154" s="226"/>
      <c r="BP154" s="226"/>
      <c r="BQ154" s="226"/>
      <c r="BR154" s="226"/>
      <c r="BS154" s="226"/>
      <c r="BT154" s="226"/>
      <c r="BU154" s="226"/>
      <c r="BV154" s="226"/>
      <c r="BW154" s="226"/>
      <c r="BX154" s="226"/>
      <c r="BY154" s="226"/>
      <c r="BZ154" s="226"/>
      <c r="CA154" s="226"/>
      <c r="CB154" s="226"/>
      <c r="CC154" s="226"/>
      <c r="CD154" s="226"/>
      <c r="CE154" s="226"/>
      <c r="CF154" s="226"/>
      <c r="CG154" s="226"/>
      <c r="CH154" s="226"/>
      <c r="CI154" s="226"/>
      <c r="CJ154" s="226"/>
      <c r="CK154" s="226"/>
      <c r="CL154" s="226"/>
      <c r="CM154" s="226"/>
      <c r="CN154" s="226"/>
      <c r="CO154" s="226"/>
      <c r="CP154" s="226"/>
      <c r="CQ154" s="226"/>
      <c r="CR154" s="226"/>
      <c r="CS154" s="226"/>
      <c r="CT154" s="226"/>
      <c r="CU154" s="226"/>
      <c r="CV154" s="226"/>
      <c r="CW154" s="226"/>
      <c r="CX154" s="226"/>
      <c r="CY154" s="226"/>
      <c r="CZ154" s="226"/>
      <c r="DA154" s="226"/>
      <c r="DB154" s="226"/>
      <c r="DC154" s="226"/>
      <c r="DD154" s="226"/>
      <c r="DE154" s="226"/>
      <c r="DF154" s="226"/>
      <c r="DG154" s="226"/>
      <c r="DH154" s="226"/>
      <c r="DI154" s="226"/>
      <c r="DJ154" s="226"/>
      <c r="DK154" s="226"/>
      <c r="DL154" s="226"/>
      <c r="DM154" s="226"/>
      <c r="DN154" s="226"/>
      <c r="DO154" s="226"/>
      <c r="DP154" s="226"/>
      <c r="DQ154" s="226"/>
      <c r="DR154" s="226"/>
      <c r="DS154" s="226"/>
      <c r="DT154" s="226"/>
      <c r="DU154" s="226"/>
      <c r="DV154" s="226"/>
      <c r="DW154" s="226"/>
      <c r="DX154" s="226"/>
      <c r="DY154" s="226"/>
      <c r="DZ154" s="226"/>
      <c r="EA154" s="226"/>
      <c r="EB154" s="226"/>
      <c r="EC154" s="226"/>
      <c r="ED154" s="226"/>
      <c r="EE154" s="226"/>
      <c r="EF154" s="226"/>
      <c r="EG154" s="226"/>
      <c r="EH154" s="226"/>
      <c r="EI154" s="226"/>
      <c r="EJ154" s="226"/>
      <c r="EK154" s="226"/>
      <c r="EL154" s="226"/>
      <c r="EM154" s="226"/>
      <c r="EN154" s="226"/>
      <c r="EO154" s="226"/>
      <c r="EP154" s="226"/>
      <c r="EQ154" s="226"/>
      <c r="ER154" s="226"/>
      <c r="ES154" s="226"/>
      <c r="ET154" s="226"/>
      <c r="EU154" s="226"/>
      <c r="EV154" s="226"/>
      <c r="EW154" s="226"/>
      <c r="EX154" s="226"/>
      <c r="EY154" s="226"/>
      <c r="EZ154" s="226"/>
      <c r="FA154" s="226"/>
      <c r="FB154" s="226"/>
      <c r="FC154" s="226"/>
      <c r="FD154" s="226"/>
      <c r="FE154" s="226"/>
      <c r="FF154" s="226"/>
      <c r="FG154" s="226"/>
      <c r="FH154" s="226"/>
      <c r="FI154" s="226"/>
      <c r="FJ154" s="226"/>
      <c r="FK154" s="226"/>
      <c r="FL154" s="226"/>
      <c r="FM154" s="226"/>
      <c r="FN154" s="226"/>
      <c r="FO154" s="226"/>
      <c r="FP154" s="226"/>
      <c r="FQ154" s="226"/>
      <c r="FR154" s="226"/>
      <c r="FS154" s="226"/>
      <c r="FT154" s="226"/>
      <c r="FU154" s="226"/>
      <c r="FV154" s="226"/>
      <c r="FW154" s="226"/>
      <c r="FX154" s="226"/>
      <c r="FY154" s="226"/>
      <c r="FZ154" s="226"/>
      <c r="GA154" s="226"/>
      <c r="GB154" s="226"/>
      <c r="GC154" s="226"/>
      <c r="GD154" s="226"/>
      <c r="GE154" s="226"/>
      <c r="GF154" s="226"/>
      <c r="GG154" s="226"/>
    </row>
    <row r="155" spans="1:189" s="225" customFormat="1" ht="15.95" customHeight="1">
      <c r="A155" s="139" t="s">
        <v>179</v>
      </c>
      <c r="B155" s="230" t="s">
        <v>181</v>
      </c>
      <c r="C155" s="252" t="s">
        <v>1</v>
      </c>
      <c r="D155" s="138">
        <f>J155</f>
        <v>0</v>
      </c>
      <c r="E155" s="108" t="e">
        <f>#REF!</f>
        <v>#REF!</v>
      </c>
      <c r="F155" s="65" t="e">
        <f>+D155*E155</f>
        <v>#REF!</v>
      </c>
      <c r="H155" s="259">
        <v>0</v>
      </c>
      <c r="I155" s="265">
        <v>1.05</v>
      </c>
      <c r="J155" s="259">
        <f>H155*I155</f>
        <v>0</v>
      </c>
      <c r="K155" s="226"/>
      <c r="L155" s="226"/>
      <c r="M155" s="226"/>
      <c r="N155" s="226"/>
      <c r="O155" s="226"/>
      <c r="P155" s="226"/>
      <c r="Q155" s="226"/>
      <c r="R155" s="226"/>
      <c r="S155" s="226"/>
      <c r="T155" s="226"/>
      <c r="U155" s="226"/>
      <c r="V155" s="226"/>
      <c r="W155" s="226"/>
      <c r="X155" s="226"/>
      <c r="Y155" s="226"/>
      <c r="Z155" s="22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  <c r="AY155" s="226"/>
      <c r="AZ155" s="226"/>
      <c r="BA155" s="226"/>
      <c r="BB155" s="226"/>
      <c r="BC155" s="226"/>
      <c r="BD155" s="226"/>
      <c r="BE155" s="226"/>
      <c r="BF155" s="226"/>
      <c r="BG155" s="226"/>
      <c r="BH155" s="226"/>
      <c r="BI155" s="226"/>
      <c r="BJ155" s="226"/>
      <c r="BK155" s="226"/>
      <c r="BL155" s="226"/>
      <c r="BM155" s="226"/>
      <c r="BN155" s="226"/>
      <c r="BO155" s="226"/>
      <c r="BP155" s="226"/>
      <c r="BQ155" s="226"/>
      <c r="BR155" s="226"/>
      <c r="BS155" s="226"/>
      <c r="BT155" s="226"/>
      <c r="BU155" s="226"/>
      <c r="BV155" s="226"/>
      <c r="BW155" s="226"/>
      <c r="BX155" s="226"/>
      <c r="BY155" s="226"/>
      <c r="BZ155" s="226"/>
      <c r="CA155" s="226"/>
      <c r="CB155" s="226"/>
      <c r="CC155" s="226"/>
      <c r="CD155" s="226"/>
      <c r="CE155" s="226"/>
      <c r="CF155" s="226"/>
      <c r="CG155" s="226"/>
      <c r="CH155" s="226"/>
      <c r="CI155" s="226"/>
      <c r="CJ155" s="226"/>
      <c r="CK155" s="226"/>
      <c r="CL155" s="226"/>
      <c r="CM155" s="226"/>
      <c r="CN155" s="226"/>
      <c r="CO155" s="226"/>
      <c r="CP155" s="226"/>
      <c r="CQ155" s="226"/>
      <c r="CR155" s="226"/>
      <c r="CS155" s="226"/>
      <c r="CT155" s="226"/>
      <c r="CU155" s="226"/>
      <c r="CV155" s="226"/>
      <c r="CW155" s="226"/>
      <c r="CX155" s="226"/>
      <c r="CY155" s="226"/>
      <c r="CZ155" s="226"/>
      <c r="DA155" s="226"/>
      <c r="DB155" s="226"/>
      <c r="DC155" s="226"/>
      <c r="DD155" s="226"/>
      <c r="DE155" s="226"/>
      <c r="DF155" s="226"/>
      <c r="DG155" s="226"/>
      <c r="DH155" s="226"/>
      <c r="DI155" s="226"/>
      <c r="DJ155" s="226"/>
      <c r="DK155" s="226"/>
      <c r="DL155" s="226"/>
      <c r="DM155" s="226"/>
      <c r="DN155" s="226"/>
      <c r="DO155" s="226"/>
      <c r="DP155" s="226"/>
      <c r="DQ155" s="226"/>
      <c r="DR155" s="226"/>
      <c r="DS155" s="226"/>
      <c r="DT155" s="226"/>
      <c r="DU155" s="226"/>
      <c r="DV155" s="226"/>
      <c r="DW155" s="226"/>
      <c r="DX155" s="226"/>
      <c r="DY155" s="226"/>
      <c r="DZ155" s="226"/>
      <c r="EA155" s="226"/>
      <c r="EB155" s="226"/>
      <c r="EC155" s="226"/>
      <c r="ED155" s="226"/>
      <c r="EE155" s="226"/>
      <c r="EF155" s="226"/>
      <c r="EG155" s="226"/>
      <c r="EH155" s="226"/>
      <c r="EI155" s="226"/>
      <c r="EJ155" s="226"/>
      <c r="EK155" s="226"/>
      <c r="EL155" s="226"/>
      <c r="EM155" s="226"/>
      <c r="EN155" s="226"/>
      <c r="EO155" s="226"/>
      <c r="EP155" s="226"/>
      <c r="EQ155" s="226"/>
      <c r="ER155" s="226"/>
      <c r="ES155" s="226"/>
      <c r="ET155" s="226"/>
      <c r="EU155" s="226"/>
      <c r="EV155" s="226"/>
      <c r="EW155" s="226"/>
      <c r="EX155" s="226"/>
      <c r="EY155" s="226"/>
      <c r="EZ155" s="226"/>
      <c r="FA155" s="226"/>
      <c r="FB155" s="226"/>
      <c r="FC155" s="226"/>
      <c r="FD155" s="226"/>
      <c r="FE155" s="226"/>
      <c r="FF155" s="226"/>
      <c r="FG155" s="226"/>
      <c r="FH155" s="226"/>
      <c r="FI155" s="226"/>
      <c r="FJ155" s="226"/>
      <c r="FK155" s="226"/>
      <c r="FL155" s="226"/>
      <c r="FM155" s="226"/>
      <c r="FN155" s="226"/>
      <c r="FO155" s="226"/>
      <c r="FP155" s="226"/>
      <c r="FQ155" s="226"/>
      <c r="FR155" s="226"/>
      <c r="FS155" s="226"/>
      <c r="FT155" s="226"/>
      <c r="FU155" s="226"/>
      <c r="FV155" s="226"/>
      <c r="FW155" s="226"/>
      <c r="FX155" s="226"/>
      <c r="FY155" s="226"/>
      <c r="FZ155" s="226"/>
      <c r="GA155" s="226"/>
      <c r="GB155" s="226"/>
      <c r="GC155" s="226"/>
      <c r="GD155" s="226"/>
      <c r="GE155" s="226"/>
      <c r="GF155" s="226"/>
      <c r="GG155" s="226"/>
    </row>
    <row r="156" spans="1:189" s="225" customFormat="1" ht="15.95" customHeight="1">
      <c r="A156" s="36" t="s">
        <v>183</v>
      </c>
      <c r="B156" s="196" t="s">
        <v>182</v>
      </c>
      <c r="C156" s="254" t="s">
        <v>1</v>
      </c>
      <c r="D156" s="82">
        <f>J156</f>
        <v>0</v>
      </c>
      <c r="E156" s="107" t="e">
        <f>#REF!</f>
        <v>#REF!</v>
      </c>
      <c r="F156" s="64" t="e">
        <f>+D156*E156</f>
        <v>#REF!</v>
      </c>
      <c r="H156" s="259"/>
      <c r="I156" s="265">
        <v>1.05</v>
      </c>
      <c r="J156" s="259">
        <f>H156*I156</f>
        <v>0</v>
      </c>
      <c r="K156" s="226"/>
      <c r="L156" s="226">
        <f>17500*657</f>
        <v>11497500</v>
      </c>
      <c r="M156" s="226"/>
      <c r="N156" s="226"/>
      <c r="O156" s="226"/>
      <c r="P156" s="226"/>
      <c r="Q156" s="226"/>
      <c r="R156" s="226"/>
      <c r="S156" s="226"/>
      <c r="T156" s="226"/>
      <c r="U156" s="226"/>
      <c r="V156" s="226"/>
      <c r="W156" s="226"/>
      <c r="X156" s="226"/>
      <c r="Y156" s="226"/>
      <c r="Z156" s="226"/>
      <c r="AA156" s="226"/>
      <c r="AB156" s="226"/>
      <c r="AC156" s="226"/>
      <c r="AD156" s="226"/>
      <c r="AE156" s="226"/>
      <c r="AF156" s="226"/>
      <c r="AG156" s="226"/>
      <c r="AH156" s="226"/>
      <c r="AI156" s="226"/>
      <c r="AJ156" s="226"/>
      <c r="AK156" s="226"/>
      <c r="AL156" s="226"/>
      <c r="AM156" s="226"/>
      <c r="AN156" s="226"/>
      <c r="AO156" s="226"/>
      <c r="AP156" s="226"/>
      <c r="AQ156" s="226"/>
      <c r="AR156" s="226"/>
      <c r="AS156" s="226"/>
      <c r="AT156" s="226"/>
      <c r="AU156" s="226"/>
      <c r="AV156" s="226"/>
      <c r="AW156" s="226"/>
      <c r="AX156" s="226"/>
      <c r="AY156" s="226"/>
      <c r="AZ156" s="226"/>
      <c r="BA156" s="226"/>
      <c r="BB156" s="226"/>
      <c r="BC156" s="226"/>
      <c r="BD156" s="226"/>
      <c r="BE156" s="226"/>
      <c r="BF156" s="226"/>
      <c r="BG156" s="226"/>
      <c r="BH156" s="226"/>
      <c r="BI156" s="226"/>
      <c r="BJ156" s="226"/>
      <c r="BK156" s="226"/>
      <c r="BL156" s="226"/>
      <c r="BM156" s="226"/>
      <c r="BN156" s="226"/>
      <c r="BO156" s="226"/>
      <c r="BP156" s="226"/>
      <c r="BQ156" s="226"/>
      <c r="BR156" s="226"/>
      <c r="BS156" s="226"/>
      <c r="BT156" s="226"/>
      <c r="BU156" s="226"/>
      <c r="BV156" s="226"/>
      <c r="BW156" s="226"/>
      <c r="BX156" s="226"/>
      <c r="BY156" s="226"/>
      <c r="BZ156" s="226"/>
      <c r="CA156" s="226"/>
      <c r="CB156" s="226"/>
      <c r="CC156" s="226"/>
      <c r="CD156" s="226"/>
      <c r="CE156" s="226"/>
      <c r="CF156" s="226"/>
      <c r="CG156" s="226"/>
      <c r="CH156" s="226"/>
      <c r="CI156" s="226"/>
      <c r="CJ156" s="226"/>
      <c r="CK156" s="226"/>
      <c r="CL156" s="226"/>
      <c r="CM156" s="226"/>
      <c r="CN156" s="226"/>
      <c r="CO156" s="226"/>
      <c r="CP156" s="226"/>
      <c r="CQ156" s="226"/>
      <c r="CR156" s="226"/>
      <c r="CS156" s="226"/>
      <c r="CT156" s="226"/>
      <c r="CU156" s="226"/>
      <c r="CV156" s="226"/>
      <c r="CW156" s="226"/>
      <c r="CX156" s="226"/>
      <c r="CY156" s="226"/>
      <c r="CZ156" s="226"/>
      <c r="DA156" s="226"/>
      <c r="DB156" s="226"/>
      <c r="DC156" s="226"/>
      <c r="DD156" s="226"/>
      <c r="DE156" s="226"/>
      <c r="DF156" s="226"/>
      <c r="DG156" s="226"/>
      <c r="DH156" s="226"/>
      <c r="DI156" s="226"/>
      <c r="DJ156" s="226"/>
      <c r="DK156" s="226"/>
      <c r="DL156" s="226"/>
      <c r="DM156" s="226"/>
      <c r="DN156" s="226"/>
      <c r="DO156" s="226"/>
      <c r="DP156" s="226"/>
      <c r="DQ156" s="226"/>
      <c r="DR156" s="226"/>
      <c r="DS156" s="226"/>
      <c r="DT156" s="226"/>
      <c r="DU156" s="226"/>
      <c r="DV156" s="226"/>
      <c r="DW156" s="226"/>
      <c r="DX156" s="226"/>
      <c r="DY156" s="226"/>
      <c r="DZ156" s="226"/>
      <c r="EA156" s="226"/>
      <c r="EB156" s="226"/>
      <c r="EC156" s="226"/>
      <c r="ED156" s="226"/>
      <c r="EE156" s="226"/>
      <c r="EF156" s="226"/>
      <c r="EG156" s="226"/>
      <c r="EH156" s="226"/>
      <c r="EI156" s="226"/>
      <c r="EJ156" s="226"/>
      <c r="EK156" s="226"/>
      <c r="EL156" s="226"/>
      <c r="EM156" s="226"/>
      <c r="EN156" s="226"/>
      <c r="EO156" s="226"/>
      <c r="EP156" s="226"/>
      <c r="EQ156" s="226"/>
      <c r="ER156" s="226"/>
      <c r="ES156" s="226"/>
      <c r="ET156" s="226"/>
      <c r="EU156" s="226"/>
      <c r="EV156" s="226"/>
      <c r="EW156" s="226"/>
      <c r="EX156" s="226"/>
      <c r="EY156" s="226"/>
      <c r="EZ156" s="226"/>
      <c r="FA156" s="226"/>
      <c r="FB156" s="226"/>
      <c r="FC156" s="226"/>
      <c r="FD156" s="226"/>
      <c r="FE156" s="226"/>
      <c r="FF156" s="226"/>
      <c r="FG156" s="226"/>
      <c r="FH156" s="226"/>
      <c r="FI156" s="226"/>
      <c r="FJ156" s="226"/>
      <c r="FK156" s="226"/>
      <c r="FL156" s="226"/>
      <c r="FM156" s="226"/>
      <c r="FN156" s="226"/>
      <c r="FO156" s="226"/>
      <c r="FP156" s="226"/>
      <c r="FQ156" s="226"/>
      <c r="FR156" s="226"/>
      <c r="FS156" s="226"/>
      <c r="FT156" s="226"/>
      <c r="FU156" s="226"/>
      <c r="FV156" s="226"/>
      <c r="FW156" s="226"/>
      <c r="FX156" s="226"/>
      <c r="FY156" s="226"/>
      <c r="FZ156" s="226"/>
      <c r="GA156" s="226"/>
      <c r="GB156" s="226"/>
      <c r="GC156" s="226"/>
      <c r="GD156" s="226"/>
      <c r="GE156" s="226"/>
      <c r="GF156" s="226"/>
      <c r="GG156" s="226"/>
    </row>
    <row r="157" spans="1:189" ht="24.75" customHeight="1">
      <c r="A157" s="194"/>
      <c r="B157" s="239"/>
      <c r="C157" s="95"/>
      <c r="D157" s="92"/>
      <c r="E157" s="93" t="s">
        <v>113</v>
      </c>
      <c r="F157" s="94" t="e">
        <f>SUM(F106:F156)</f>
        <v>#REF!</v>
      </c>
    </row>
    <row r="158" spans="1:189" ht="15.95" customHeight="1">
      <c r="A158" s="10"/>
      <c r="B158" s="12"/>
      <c r="C158" s="13"/>
      <c r="D158" s="76"/>
      <c r="F158" s="66"/>
      <c r="L158" s="129">
        <f>17500/22</f>
        <v>795.4545454545455</v>
      </c>
    </row>
    <row r="159" spans="1:189" ht="24" customHeight="1">
      <c r="A159" s="1" t="s">
        <v>17</v>
      </c>
      <c r="B159" s="3"/>
      <c r="C159" s="52" t="s">
        <v>98</v>
      </c>
      <c r="D159" s="86" t="s">
        <v>99</v>
      </c>
      <c r="E159" s="241" t="s">
        <v>100</v>
      </c>
      <c r="F159" s="241" t="s">
        <v>114</v>
      </c>
    </row>
    <row r="160" spans="1:189" ht="15.95" customHeight="1">
      <c r="A160" s="152" t="s">
        <v>18</v>
      </c>
      <c r="B160" s="125" t="s">
        <v>96</v>
      </c>
      <c r="C160" s="233"/>
      <c r="D160" s="234"/>
      <c r="E160" s="109"/>
      <c r="F160" s="63"/>
    </row>
    <row r="161" spans="1:10" ht="15.95" customHeight="1">
      <c r="A161" s="4" t="s">
        <v>192</v>
      </c>
      <c r="B161" s="39" t="s">
        <v>193</v>
      </c>
      <c r="C161" s="235" t="s">
        <v>27</v>
      </c>
      <c r="D161" s="235">
        <f>J161</f>
        <v>96</v>
      </c>
      <c r="E161" s="108" t="e">
        <f>#REF!</f>
        <v>#REF!</v>
      </c>
      <c r="F161" s="65" t="e">
        <f>+D161*E161</f>
        <v>#REF!</v>
      </c>
      <c r="H161" s="255">
        <f>4*F4/25</f>
        <v>91.68</v>
      </c>
      <c r="I161" s="262">
        <v>1.05</v>
      </c>
      <c r="J161" s="255">
        <f>ROUND(H161*I161,0)</f>
        <v>96</v>
      </c>
    </row>
    <row r="162" spans="1:10" ht="15.95" customHeight="1">
      <c r="A162" s="4" t="s">
        <v>194</v>
      </c>
      <c r="B162" s="39" t="s">
        <v>196</v>
      </c>
      <c r="C162" s="153" t="s">
        <v>27</v>
      </c>
      <c r="D162" s="108"/>
      <c r="E162" s="108" t="e">
        <f>#REF!</f>
        <v>#REF!</v>
      </c>
      <c r="F162" s="65" t="e">
        <f>+D162*E162</f>
        <v>#REF!</v>
      </c>
    </row>
    <row r="163" spans="1:10" ht="15.95" customHeight="1">
      <c r="A163" s="4" t="s">
        <v>195</v>
      </c>
      <c r="B163" s="39" t="s">
        <v>238</v>
      </c>
      <c r="C163" s="153" t="s">
        <v>237</v>
      </c>
      <c r="D163" s="108">
        <f>+J163</f>
        <v>4633</v>
      </c>
      <c r="E163" s="108" t="e">
        <f>#REF!</f>
        <v>#REF!</v>
      </c>
      <c r="F163" s="65" t="e">
        <f>+D163*E163</f>
        <v>#REF!</v>
      </c>
      <c r="H163" s="268">
        <f>+F4*(12-2*1.7-0.3*3)</f>
        <v>4412.0999999999995</v>
      </c>
      <c r="I163" s="269">
        <v>1.05</v>
      </c>
      <c r="J163" s="255">
        <f>ROUND(H163*I163,0)</f>
        <v>4633</v>
      </c>
    </row>
    <row r="164" spans="1:10" ht="15.95" customHeight="1">
      <c r="A164" s="22" t="s">
        <v>236</v>
      </c>
      <c r="B164" s="49" t="s">
        <v>287</v>
      </c>
      <c r="C164" s="113" t="s">
        <v>27</v>
      </c>
      <c r="D164" s="107">
        <v>1</v>
      </c>
      <c r="E164" s="107" t="e">
        <f>20%*#REF!</f>
        <v>#REF!</v>
      </c>
      <c r="F164" s="64" t="e">
        <f>+D164*E164</f>
        <v>#REF!</v>
      </c>
    </row>
    <row r="165" spans="1:10" ht="15.95" customHeight="1">
      <c r="A165" s="152" t="s">
        <v>208</v>
      </c>
      <c r="B165" s="125" t="s">
        <v>154</v>
      </c>
      <c r="C165" s="233"/>
      <c r="D165" s="234"/>
      <c r="E165" s="109"/>
      <c r="F165" s="63"/>
    </row>
    <row r="166" spans="1:10" ht="15" customHeight="1">
      <c r="A166" s="4"/>
      <c r="B166" s="39"/>
      <c r="C166" s="235" t="s">
        <v>1</v>
      </c>
      <c r="D166" s="235">
        <f>J166</f>
        <v>0</v>
      </c>
      <c r="E166" s="108" t="e">
        <f>#REF!</f>
        <v>#REF!</v>
      </c>
      <c r="F166" s="65" t="e">
        <f>+D166*E166</f>
        <v>#REF!</v>
      </c>
      <c r="H166" s="255">
        <v>0</v>
      </c>
      <c r="I166" s="262">
        <v>1.05</v>
      </c>
      <c r="J166" s="255">
        <f>ROUND(H166*I166,0)</f>
        <v>0</v>
      </c>
    </row>
    <row r="167" spans="1:10" ht="15.95" customHeight="1">
      <c r="A167" s="152" t="s">
        <v>209</v>
      </c>
      <c r="B167" s="125" t="s">
        <v>155</v>
      </c>
      <c r="C167" s="233"/>
      <c r="D167" s="234"/>
      <c r="E167" s="109"/>
      <c r="F167" s="63"/>
    </row>
    <row r="168" spans="1:10" ht="15" customHeight="1">
      <c r="A168" s="4"/>
      <c r="B168" s="39"/>
      <c r="C168" s="235" t="s">
        <v>1</v>
      </c>
      <c r="D168" s="235">
        <f>D166</f>
        <v>0</v>
      </c>
      <c r="E168" s="108" t="e">
        <f>#REF!</f>
        <v>#REF!</v>
      </c>
      <c r="F168" s="65" t="e">
        <f>+D168*E168</f>
        <v>#REF!</v>
      </c>
      <c r="H168" s="255">
        <v>0</v>
      </c>
      <c r="I168" s="262">
        <v>1.05</v>
      </c>
      <c r="J168" s="255">
        <f>ROUND(H168*I168,0)</f>
        <v>0</v>
      </c>
    </row>
    <row r="169" spans="1:10" ht="15.95" customHeight="1">
      <c r="A169" s="232">
        <v>604</v>
      </c>
      <c r="B169" s="43" t="s">
        <v>164</v>
      </c>
      <c r="C169" s="133"/>
      <c r="D169" s="133"/>
      <c r="E169" s="133"/>
      <c r="F169" s="109"/>
    </row>
    <row r="170" spans="1:10" ht="15.95" customHeight="1">
      <c r="A170" s="47" t="s">
        <v>224</v>
      </c>
      <c r="B170" s="123" t="s">
        <v>223</v>
      </c>
      <c r="C170" s="261" t="s">
        <v>27</v>
      </c>
      <c r="D170" s="151">
        <v>0</v>
      </c>
      <c r="E170" s="151" t="e">
        <f>#REF!</f>
        <v>#REF!</v>
      </c>
      <c r="F170" s="108" t="e">
        <f>+D170*E170</f>
        <v>#REF!</v>
      </c>
    </row>
    <row r="171" spans="1:10" ht="15.95" customHeight="1">
      <c r="A171" s="260" t="s">
        <v>225</v>
      </c>
      <c r="B171" s="24" t="s">
        <v>226</v>
      </c>
      <c r="C171" s="154" t="s">
        <v>27</v>
      </c>
      <c r="D171" s="134">
        <v>0</v>
      </c>
      <c r="E171" s="134" t="e">
        <f>#REF!</f>
        <v>#REF!</v>
      </c>
      <c r="F171" s="107" t="e">
        <f>+D171*E171</f>
        <v>#REF!</v>
      </c>
    </row>
    <row r="172" spans="1:10" ht="15.95" customHeight="1">
      <c r="A172" s="47">
        <v>605</v>
      </c>
      <c r="B172" s="26" t="s">
        <v>156</v>
      </c>
      <c r="C172" s="151"/>
      <c r="D172" s="151"/>
      <c r="E172" s="151"/>
      <c r="F172" s="109"/>
    </row>
    <row r="173" spans="1:10" ht="15.95" customHeight="1">
      <c r="A173" s="61"/>
      <c r="B173" s="24"/>
      <c r="C173" s="191" t="s">
        <v>95</v>
      </c>
      <c r="D173" s="134">
        <f>J173</f>
        <v>2679</v>
      </c>
      <c r="E173" s="134" t="e">
        <f>#REF!</f>
        <v>#REF!</v>
      </c>
      <c r="F173" s="107" t="e">
        <f>+D173*E173</f>
        <v>#REF!</v>
      </c>
      <c r="H173" s="255">
        <v>2551</v>
      </c>
      <c r="I173" s="262">
        <v>1.05</v>
      </c>
      <c r="J173" s="255">
        <f>ROUND(H173*I173,0)</f>
        <v>2679</v>
      </c>
    </row>
    <row r="174" spans="1:10" ht="15.95" customHeight="1">
      <c r="A174" s="47">
        <v>608</v>
      </c>
      <c r="B174" s="26" t="s">
        <v>157</v>
      </c>
      <c r="C174" s="305"/>
      <c r="D174" s="161"/>
      <c r="E174" s="161"/>
      <c r="F174" s="161"/>
    </row>
    <row r="175" spans="1:10" ht="15.95" customHeight="1">
      <c r="A175" s="61"/>
      <c r="B175" s="9"/>
      <c r="C175" s="168" t="s">
        <v>1</v>
      </c>
      <c r="D175" s="185"/>
      <c r="E175" s="185"/>
      <c r="F175" s="185"/>
    </row>
    <row r="176" spans="1:10" ht="15.95" customHeight="1">
      <c r="A176" s="47">
        <v>609</v>
      </c>
      <c r="B176" s="27" t="s">
        <v>158</v>
      </c>
      <c r="C176" s="305"/>
      <c r="D176" s="161"/>
      <c r="E176" s="161"/>
      <c r="F176" s="161"/>
    </row>
    <row r="177" spans="1:12" ht="15.95" customHeight="1">
      <c r="A177" s="61"/>
      <c r="B177" s="9"/>
      <c r="C177" s="168" t="s">
        <v>95</v>
      </c>
      <c r="D177" s="185">
        <f>+I177</f>
        <v>396.00000000000006</v>
      </c>
      <c r="E177" s="185" t="e">
        <f>#REF!</f>
        <v>#REF!</v>
      </c>
      <c r="F177" s="107" t="e">
        <f>+D177*E177</f>
        <v>#REF!</v>
      </c>
      <c r="G177" s="334">
        <f>+D73*K177</f>
        <v>360</v>
      </c>
      <c r="H177" s="415">
        <v>1.1000000000000001</v>
      </c>
      <c r="I177" s="415">
        <f>+G177*H177</f>
        <v>396.00000000000006</v>
      </c>
      <c r="J177" s="416" t="s">
        <v>555</v>
      </c>
      <c r="K177" s="199">
        <f>+'Zb1'!L165</f>
        <v>0.2</v>
      </c>
    </row>
    <row r="178" spans="1:12" ht="25.5">
      <c r="A178" s="47">
        <v>610</v>
      </c>
      <c r="B178" s="27" t="s">
        <v>293</v>
      </c>
      <c r="C178" s="162"/>
      <c r="D178" s="140"/>
      <c r="E178" s="140"/>
      <c r="F178" s="140"/>
      <c r="L178" s="129">
        <v>63</v>
      </c>
    </row>
    <row r="179" spans="1:12" ht="15.95" customHeight="1">
      <c r="A179" s="61"/>
      <c r="B179" s="9"/>
      <c r="C179" s="168" t="s">
        <v>292</v>
      </c>
      <c r="D179" s="185">
        <v>1</v>
      </c>
      <c r="E179" s="185" t="e">
        <f>#REF!</f>
        <v>#REF!</v>
      </c>
      <c r="F179" s="107" t="e">
        <f>+D179*E179</f>
        <v>#REF!</v>
      </c>
    </row>
    <row r="180" spans="1:12">
      <c r="A180" s="47">
        <v>610</v>
      </c>
      <c r="B180" s="27" t="s">
        <v>476</v>
      </c>
      <c r="C180" s="162"/>
      <c r="D180" s="140"/>
      <c r="E180" s="140"/>
      <c r="F180" s="140"/>
    </row>
    <row r="181" spans="1:12" ht="15.95" customHeight="1">
      <c r="A181" s="61"/>
      <c r="B181" s="9"/>
      <c r="C181" s="168" t="s">
        <v>27</v>
      </c>
      <c r="D181" s="185">
        <f>J181</f>
        <v>63</v>
      </c>
      <c r="E181" s="185" t="e">
        <f>#REF!</f>
        <v>#REF!</v>
      </c>
      <c r="F181" s="107" t="e">
        <f>+D181*E181</f>
        <v>#REF!</v>
      </c>
      <c r="H181" s="255">
        <f>2*F4/20</f>
        <v>57.3</v>
      </c>
      <c r="I181" s="262">
        <v>1.1000000000000001</v>
      </c>
      <c r="J181" s="255">
        <f>ROUND(H181*I181,0)</f>
        <v>63</v>
      </c>
    </row>
    <row r="182" spans="1:12" ht="27.75" customHeight="1">
      <c r="A182" s="47">
        <v>610</v>
      </c>
      <c r="B182" s="27" t="s">
        <v>477</v>
      </c>
      <c r="C182" s="162"/>
      <c r="D182" s="140"/>
      <c r="E182" s="140"/>
      <c r="F182" s="140"/>
    </row>
    <row r="183" spans="1:12" ht="15.95" customHeight="1">
      <c r="A183" s="61"/>
      <c r="B183" s="9"/>
      <c r="C183" s="168" t="s">
        <v>27</v>
      </c>
      <c r="D183" s="185">
        <v>9</v>
      </c>
      <c r="E183" s="185" t="e">
        <f>#REF!</f>
        <v>#REF!</v>
      </c>
      <c r="F183" s="107" t="e">
        <f>+D183*E183</f>
        <v>#REF!</v>
      </c>
      <c r="H183" s="255">
        <f>2*F6/50</f>
        <v>40.92</v>
      </c>
      <c r="I183" s="262">
        <v>1.1000000000000001</v>
      </c>
      <c r="J183" s="255">
        <f>ROUND(H183*I183,0)</f>
        <v>45</v>
      </c>
    </row>
    <row r="184" spans="1:12" ht="20.100000000000001" customHeight="1">
      <c r="A184" s="47" t="e">
        <f>+#REF!</f>
        <v>#REF!</v>
      </c>
      <c r="B184" s="27" t="e">
        <f>+#REF!</f>
        <v>#REF!</v>
      </c>
      <c r="C184" s="162"/>
      <c r="D184" s="140"/>
      <c r="E184" s="140"/>
      <c r="F184" s="140"/>
    </row>
    <row r="185" spans="1:12" ht="20.100000000000001" customHeight="1">
      <c r="A185" s="61"/>
      <c r="B185" s="9"/>
      <c r="C185" s="168" t="s">
        <v>27</v>
      </c>
      <c r="D185" s="185"/>
      <c r="E185" s="185" t="e">
        <f>+#REF!</f>
        <v>#REF!</v>
      </c>
      <c r="F185" s="107" t="e">
        <f>+D185*E185</f>
        <v>#REF!</v>
      </c>
    </row>
    <row r="186" spans="1:12" ht="24.75" customHeight="1">
      <c r="C186" s="95"/>
      <c r="D186" s="92"/>
      <c r="E186" s="93" t="s">
        <v>112</v>
      </c>
      <c r="F186" s="94" t="e">
        <f>SUM(F160:F185)</f>
        <v>#REF!</v>
      </c>
    </row>
    <row r="187" spans="1:12" ht="12" customHeight="1">
      <c r="D187" s="75"/>
      <c r="E187" s="62"/>
      <c r="F187" s="62"/>
    </row>
    <row r="188" spans="1:12" ht="25.5" customHeight="1">
      <c r="C188" s="95"/>
      <c r="D188" s="92"/>
      <c r="E188" s="93" t="s">
        <v>279</v>
      </c>
      <c r="F188" s="96" t="e">
        <f>+F61+F74+F103+F157+F186</f>
        <v>#REF!</v>
      </c>
    </row>
    <row r="190" spans="1:12" ht="24.75" customHeight="1">
      <c r="A190" s="1" t="s">
        <v>115</v>
      </c>
      <c r="B190" s="33"/>
      <c r="C190" s="52" t="s">
        <v>98</v>
      </c>
      <c r="D190" s="70" t="s">
        <v>99</v>
      </c>
      <c r="E190" s="241" t="s">
        <v>100</v>
      </c>
      <c r="F190" s="241" t="s">
        <v>116</v>
      </c>
    </row>
    <row r="191" spans="1:12" ht="15.95" customHeight="1">
      <c r="A191" s="29" t="s">
        <v>117</v>
      </c>
      <c r="B191" s="27" t="s">
        <v>118</v>
      </c>
      <c r="C191" s="34"/>
      <c r="D191" s="72"/>
      <c r="E191" s="109"/>
      <c r="F191" s="63"/>
    </row>
    <row r="192" spans="1:12" ht="15.95" customHeight="1">
      <c r="A192" s="22"/>
      <c r="B192" s="31"/>
      <c r="C192" s="32" t="s">
        <v>119</v>
      </c>
      <c r="D192" s="73">
        <v>0</v>
      </c>
      <c r="E192" s="113">
        <v>25000000</v>
      </c>
      <c r="F192" s="64">
        <f>+D192*E192</f>
        <v>0</v>
      </c>
    </row>
    <row r="193" spans="1:189" ht="15.95" customHeight="1">
      <c r="A193" s="29" t="s">
        <v>120</v>
      </c>
      <c r="B193" s="6" t="s">
        <v>121</v>
      </c>
      <c r="C193" s="7"/>
      <c r="D193" s="74"/>
      <c r="E193" s="108"/>
      <c r="F193" s="65"/>
    </row>
    <row r="194" spans="1:189" ht="15.95" customHeight="1">
      <c r="A194" s="22"/>
      <c r="B194" s="31"/>
      <c r="C194" s="32" t="s">
        <v>119</v>
      </c>
      <c r="D194" s="73">
        <v>0</v>
      </c>
      <c r="E194" s="113">
        <v>50000000</v>
      </c>
      <c r="F194" s="64">
        <f>+D194*E194</f>
        <v>0</v>
      </c>
    </row>
    <row r="195" spans="1:189" ht="23.25" customHeight="1">
      <c r="A195" s="110"/>
      <c r="B195" s="27"/>
      <c r="C195" s="95"/>
      <c r="D195" s="92"/>
      <c r="E195" s="93" t="s">
        <v>122</v>
      </c>
      <c r="F195" s="94">
        <f>SUM(F192:F194)</f>
        <v>0</v>
      </c>
    </row>
    <row r="197" spans="1:189" s="287" customFormat="1" ht="25.5" customHeight="1">
      <c r="C197" s="288"/>
      <c r="D197" s="289"/>
      <c r="E197" s="290" t="s">
        <v>286</v>
      </c>
      <c r="F197" s="96" t="e">
        <f>F195+F188+F33</f>
        <v>#REF!</v>
      </c>
      <c r="H197" s="291"/>
      <c r="I197" s="292"/>
      <c r="J197" s="291"/>
      <c r="K197" s="293"/>
      <c r="L197" s="293"/>
      <c r="M197" s="293"/>
      <c r="N197" s="293"/>
      <c r="O197" s="293"/>
      <c r="P197" s="293"/>
      <c r="Q197" s="293"/>
      <c r="R197" s="293"/>
      <c r="S197" s="293"/>
      <c r="T197" s="293"/>
      <c r="U197" s="293"/>
      <c r="V197" s="293"/>
      <c r="W197" s="293"/>
      <c r="X197" s="293"/>
      <c r="Y197" s="293"/>
      <c r="Z197" s="293"/>
      <c r="AA197" s="293"/>
      <c r="AB197" s="293"/>
      <c r="AC197" s="293"/>
      <c r="AD197" s="293"/>
      <c r="AE197" s="293"/>
      <c r="AF197" s="293"/>
      <c r="AG197" s="293"/>
      <c r="AH197" s="293"/>
      <c r="AI197" s="293"/>
      <c r="AJ197" s="293"/>
      <c r="AK197" s="293"/>
      <c r="AL197" s="293"/>
      <c r="AM197" s="293"/>
      <c r="AN197" s="293"/>
      <c r="AO197" s="293"/>
      <c r="AP197" s="293"/>
      <c r="AQ197" s="293"/>
      <c r="AR197" s="293"/>
      <c r="AS197" s="293"/>
      <c r="AT197" s="293"/>
      <c r="AU197" s="293"/>
      <c r="AV197" s="293"/>
      <c r="AW197" s="293"/>
      <c r="AX197" s="293"/>
      <c r="AY197" s="293"/>
      <c r="AZ197" s="293"/>
      <c r="BA197" s="293"/>
      <c r="BB197" s="293"/>
      <c r="BC197" s="293"/>
      <c r="BD197" s="293"/>
      <c r="BE197" s="293"/>
      <c r="BF197" s="293"/>
      <c r="BG197" s="293"/>
      <c r="BH197" s="293"/>
      <c r="BI197" s="293"/>
      <c r="BJ197" s="293"/>
      <c r="BK197" s="293"/>
      <c r="BL197" s="293"/>
      <c r="BM197" s="293"/>
      <c r="BN197" s="293"/>
      <c r="BO197" s="293"/>
      <c r="BP197" s="293"/>
      <c r="BQ197" s="293"/>
      <c r="BR197" s="293"/>
      <c r="BS197" s="293"/>
      <c r="BT197" s="293"/>
      <c r="BU197" s="293"/>
      <c r="BV197" s="293"/>
      <c r="BW197" s="293"/>
      <c r="BX197" s="293"/>
      <c r="BY197" s="293"/>
      <c r="BZ197" s="293"/>
      <c r="CA197" s="293"/>
      <c r="CB197" s="293"/>
      <c r="CC197" s="293"/>
      <c r="CD197" s="293"/>
      <c r="CE197" s="293"/>
      <c r="CF197" s="293"/>
      <c r="CG197" s="293"/>
      <c r="CH197" s="293"/>
      <c r="CI197" s="293"/>
      <c r="CJ197" s="293"/>
      <c r="CK197" s="293"/>
      <c r="CL197" s="293"/>
      <c r="CM197" s="293"/>
      <c r="CN197" s="293"/>
      <c r="CO197" s="293"/>
      <c r="CP197" s="293"/>
      <c r="CQ197" s="293"/>
      <c r="CR197" s="293"/>
      <c r="CS197" s="293"/>
      <c r="CT197" s="293"/>
      <c r="CU197" s="293"/>
      <c r="CV197" s="293"/>
      <c r="CW197" s="293"/>
      <c r="CX197" s="293"/>
      <c r="CY197" s="293"/>
      <c r="CZ197" s="293"/>
      <c r="DA197" s="293"/>
      <c r="DB197" s="293"/>
      <c r="DC197" s="293"/>
      <c r="DD197" s="293"/>
      <c r="DE197" s="293"/>
      <c r="DF197" s="293"/>
      <c r="DG197" s="293"/>
      <c r="DH197" s="293"/>
      <c r="DI197" s="293"/>
      <c r="DJ197" s="293"/>
      <c r="DK197" s="293"/>
      <c r="DL197" s="293"/>
      <c r="DM197" s="293"/>
      <c r="DN197" s="293"/>
      <c r="DO197" s="293"/>
      <c r="DP197" s="293"/>
      <c r="DQ197" s="293"/>
      <c r="DR197" s="293"/>
      <c r="DS197" s="293"/>
      <c r="DT197" s="293"/>
      <c r="DU197" s="293"/>
      <c r="DV197" s="293"/>
      <c r="DW197" s="293"/>
      <c r="DX197" s="293"/>
      <c r="DY197" s="293"/>
      <c r="DZ197" s="293"/>
      <c r="EA197" s="293"/>
      <c r="EB197" s="293"/>
      <c r="EC197" s="293"/>
      <c r="ED197" s="293"/>
      <c r="EE197" s="293"/>
      <c r="EF197" s="293"/>
      <c r="EG197" s="293"/>
      <c r="EH197" s="293"/>
      <c r="EI197" s="293"/>
      <c r="EJ197" s="293"/>
      <c r="EK197" s="293"/>
      <c r="EL197" s="293"/>
      <c r="EM197" s="293"/>
      <c r="EN197" s="293"/>
      <c r="EO197" s="293"/>
      <c r="EP197" s="293"/>
      <c r="EQ197" s="293"/>
      <c r="ER197" s="293"/>
      <c r="ES197" s="293"/>
      <c r="ET197" s="293"/>
      <c r="EU197" s="293"/>
      <c r="EV197" s="293"/>
      <c r="EW197" s="293"/>
      <c r="EX197" s="293"/>
      <c r="EY197" s="293"/>
      <c r="EZ197" s="293"/>
      <c r="FA197" s="293"/>
      <c r="FB197" s="293"/>
      <c r="FC197" s="293"/>
      <c r="FD197" s="293"/>
      <c r="FE197" s="293"/>
      <c r="FF197" s="293"/>
      <c r="FG197" s="293"/>
      <c r="FH197" s="293"/>
      <c r="FI197" s="293"/>
      <c r="FJ197" s="293"/>
      <c r="FK197" s="293"/>
      <c r="FL197" s="293"/>
      <c r="FM197" s="293"/>
      <c r="FN197" s="293"/>
      <c r="FO197" s="293"/>
      <c r="FP197" s="293"/>
      <c r="FQ197" s="293"/>
      <c r="FR197" s="293"/>
      <c r="FS197" s="293"/>
      <c r="FT197" s="293"/>
      <c r="FU197" s="293"/>
      <c r="FV197" s="293"/>
      <c r="FW197" s="293"/>
      <c r="FX197" s="293"/>
      <c r="FY197" s="293"/>
      <c r="FZ197" s="293"/>
      <c r="GA197" s="293"/>
      <c r="GB197" s="293"/>
      <c r="GC197" s="293"/>
      <c r="GD197" s="293"/>
      <c r="GE197" s="293"/>
      <c r="GF197" s="293"/>
      <c r="GG197" s="293"/>
    </row>
    <row r="208" spans="1:189" ht="19.5">
      <c r="A208" s="90"/>
      <c r="D208" s="62"/>
      <c r="E208" s="62"/>
      <c r="F208" s="99"/>
    </row>
    <row r="209" spans="2:6" ht="26.25">
      <c r="B209" s="1859"/>
      <c r="C209" s="1859"/>
      <c r="D209" s="1859"/>
      <c r="E209" s="1859"/>
      <c r="F209" s="1859"/>
    </row>
  </sheetData>
  <mergeCells count="2">
    <mergeCell ref="A2:F2"/>
    <mergeCell ref="B209:F209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  <rowBreaks count="2" manualBreakCount="2">
    <brk id="33" max="6" man="1"/>
    <brk id="74" max="6" man="1"/>
  </rowBreaks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7" tint="-0.249977111117893"/>
  </sheetPr>
  <dimension ref="A1:I40"/>
  <sheetViews>
    <sheetView workbookViewId="0">
      <selection activeCell="A17" sqref="A17"/>
    </sheetView>
  </sheetViews>
  <sheetFormatPr baseColWidth="10" defaultColWidth="9.140625" defaultRowHeight="15"/>
  <cols>
    <col min="1" max="1" width="8.42578125" style="142" customWidth="1"/>
    <col min="2" max="2" width="4.42578125" style="142" customWidth="1"/>
    <col min="3" max="3" width="59.140625" style="142" customWidth="1"/>
    <col min="4" max="4" width="10.85546875" style="142" customWidth="1"/>
    <col min="5" max="5" width="15.42578125" style="142" customWidth="1"/>
    <col min="6" max="6" width="17.140625" style="142" customWidth="1"/>
    <col min="7" max="7" width="26.140625" style="142" customWidth="1"/>
    <col min="8" max="8" width="17.28515625" style="142" customWidth="1"/>
    <col min="9" max="9" width="25.7109375" style="142" customWidth="1"/>
    <col min="10" max="16384" width="9.140625" style="142"/>
  </cols>
  <sheetData>
    <row r="1" spans="1:9" ht="20.25" thickBot="1">
      <c r="A1" s="90" t="s">
        <v>105</v>
      </c>
      <c r="G1" s="62"/>
      <c r="H1" s="62"/>
      <c r="I1" s="99"/>
    </row>
    <row r="2" spans="1:9" ht="25.5" thickBot="1">
      <c r="A2" s="1860" t="s">
        <v>389</v>
      </c>
      <c r="B2" s="1861"/>
      <c r="C2" s="1861"/>
      <c r="D2" s="1861"/>
      <c r="E2" s="1861"/>
      <c r="F2" s="1861"/>
      <c r="G2" s="1862"/>
      <c r="H2" s="135"/>
      <c r="I2" s="135"/>
    </row>
    <row r="4" spans="1:9">
      <c r="F4" s="99" t="s">
        <v>177</v>
      </c>
      <c r="G4" s="136">
        <f>Pa!D109</f>
        <v>128856.42000000001</v>
      </c>
    </row>
    <row r="5" spans="1:9">
      <c r="F5" s="99" t="s">
        <v>176</v>
      </c>
      <c r="G5" s="136">
        <f>Pa!D110</f>
        <v>78136.080000000016</v>
      </c>
    </row>
    <row r="6" spans="1:9">
      <c r="F6" s="99" t="s">
        <v>198</v>
      </c>
      <c r="G6" s="136">
        <f>Pa!D113</f>
        <v>29924.400000000001</v>
      </c>
    </row>
    <row r="7" spans="1:9">
      <c r="F7" s="99" t="s">
        <v>197</v>
      </c>
      <c r="G7" s="136">
        <f>Pa!D112</f>
        <v>36489.200000000004</v>
      </c>
    </row>
    <row r="8" spans="1:9">
      <c r="F8" s="99" t="s">
        <v>277</v>
      </c>
      <c r="G8" s="136">
        <f>Pa!D114</f>
        <v>36489.200000000004</v>
      </c>
    </row>
    <row r="9" spans="1:9" ht="22.5" customHeight="1">
      <c r="A9" s="1" t="s">
        <v>166</v>
      </c>
      <c r="B9" s="2"/>
      <c r="C9" s="3"/>
      <c r="D9" s="52" t="s">
        <v>98</v>
      </c>
      <c r="E9" s="70" t="s">
        <v>99</v>
      </c>
      <c r="F9" s="71" t="s">
        <v>100</v>
      </c>
      <c r="G9" s="71" t="s">
        <v>114</v>
      </c>
    </row>
    <row r="10" spans="1:9" ht="15.75">
      <c r="A10" s="4" t="s">
        <v>0</v>
      </c>
      <c r="B10" s="5"/>
      <c r="C10" s="6" t="s">
        <v>168</v>
      </c>
      <c r="D10" s="158"/>
      <c r="E10" s="159"/>
      <c r="F10" s="160"/>
      <c r="G10" s="161"/>
    </row>
    <row r="11" spans="1:9" ht="15.75">
      <c r="A11" s="4" t="s">
        <v>167</v>
      </c>
      <c r="B11" s="5"/>
      <c r="C11" s="12" t="s">
        <v>171</v>
      </c>
      <c r="D11" s="162" t="s">
        <v>94</v>
      </c>
      <c r="E11" s="163">
        <f>G4</f>
        <v>128856.42000000001</v>
      </c>
      <c r="F11" s="164">
        <f>'[3]BPU préf'!E8</f>
        <v>11000</v>
      </c>
      <c r="G11" s="164">
        <f>E11*F11</f>
        <v>1417420620.0000002</v>
      </c>
    </row>
    <row r="12" spans="1:9" ht="15.75">
      <c r="A12" s="22" t="s">
        <v>169</v>
      </c>
      <c r="B12" s="30"/>
      <c r="C12" s="24" t="s">
        <v>170</v>
      </c>
      <c r="D12" s="165" t="s">
        <v>94</v>
      </c>
      <c r="E12" s="166">
        <f>G5</f>
        <v>78136.080000000016</v>
      </c>
      <c r="F12" s="167">
        <f>'[3]BPU préf'!E9</f>
        <v>9300</v>
      </c>
      <c r="G12" s="167">
        <f>E12*F12</f>
        <v>726665544.00000012</v>
      </c>
    </row>
    <row r="13" spans="1:9" ht="18.75">
      <c r="A13" s="110"/>
      <c r="B13" s="5"/>
      <c r="C13" s="12"/>
      <c r="D13" s="95"/>
      <c r="E13" s="92"/>
      <c r="F13" s="93" t="s">
        <v>106</v>
      </c>
      <c r="G13" s="94">
        <f>SUM(G11:G12)</f>
        <v>2144086164.0000005</v>
      </c>
    </row>
    <row r="14" spans="1:9" ht="15.75">
      <c r="A14" s="10"/>
      <c r="B14" s="11"/>
      <c r="C14" s="12"/>
      <c r="D14" s="51"/>
      <c r="E14" s="12"/>
      <c r="F14" s="51"/>
      <c r="G14" s="121"/>
    </row>
    <row r="15" spans="1:9" ht="22.5" customHeight="1">
      <c r="A15" s="1" t="s">
        <v>175</v>
      </c>
      <c r="B15" s="2"/>
      <c r="C15" s="3"/>
      <c r="D15" s="52" t="s">
        <v>98</v>
      </c>
      <c r="E15" s="70" t="s">
        <v>99</v>
      </c>
      <c r="F15" s="71" t="s">
        <v>100</v>
      </c>
      <c r="G15" s="71" t="s">
        <v>114</v>
      </c>
    </row>
    <row r="16" spans="1:9" ht="15.75">
      <c r="A16" s="41">
        <v>201</v>
      </c>
      <c r="B16" s="42"/>
      <c r="C16" s="43" t="s">
        <v>199</v>
      </c>
      <c r="D16" s="170" t="s">
        <v>1</v>
      </c>
      <c r="E16" s="171">
        <f>G7</f>
        <v>36489.200000000004</v>
      </c>
      <c r="F16" s="172">
        <f>'[3]BPU préf'!E12</f>
        <v>7514</v>
      </c>
      <c r="G16" s="173">
        <f>E16*F16</f>
        <v>274179848.80000001</v>
      </c>
    </row>
    <row r="17" spans="1:7" ht="15.75">
      <c r="A17" s="17">
        <v>202</v>
      </c>
      <c r="B17" s="5"/>
      <c r="C17" s="26" t="s">
        <v>200</v>
      </c>
      <c r="D17" s="272" t="s">
        <v>1</v>
      </c>
      <c r="E17" s="273">
        <f>+G6</f>
        <v>29924.400000000001</v>
      </c>
      <c r="F17" s="274">
        <f>'[3]BPU préf'!E13</f>
        <v>5700</v>
      </c>
      <c r="G17" s="164">
        <f>E17*F17</f>
        <v>170569080</v>
      </c>
    </row>
    <row r="18" spans="1:7" ht="15.75">
      <c r="A18" s="36">
        <v>203</v>
      </c>
      <c r="B18" s="30"/>
      <c r="C18" s="169" t="s">
        <v>246</v>
      </c>
      <c r="D18" s="168" t="s">
        <v>1</v>
      </c>
      <c r="E18" s="174">
        <f>G8</f>
        <v>36489.200000000004</v>
      </c>
      <c r="F18" s="147">
        <f>'BPU préf'!E16</f>
        <v>6315</v>
      </c>
      <c r="G18" s="167">
        <f>E18*F18</f>
        <v>230429298.00000003</v>
      </c>
    </row>
    <row r="19" spans="1:7" ht="18.75">
      <c r="A19" s="10"/>
      <c r="B19" s="21"/>
      <c r="C19" s="12"/>
      <c r="D19" s="157"/>
      <c r="E19" s="130"/>
      <c r="F19" s="131" t="s">
        <v>111</v>
      </c>
      <c r="G19" s="132">
        <f>SUM(G16:G18)</f>
        <v>675178226.80000007</v>
      </c>
    </row>
    <row r="21" spans="1:7" ht="25.5" customHeight="1">
      <c r="D21" s="95"/>
      <c r="E21" s="92"/>
      <c r="F21" s="93" t="s">
        <v>172</v>
      </c>
      <c r="G21" s="94">
        <f>+G13+G19</f>
        <v>2819264390.8000007</v>
      </c>
    </row>
    <row r="40" spans="3:3">
      <c r="C40" s="149"/>
    </row>
  </sheetData>
  <mergeCells count="1">
    <mergeCell ref="A2:G2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1" tint="4.9989318521683403E-2"/>
  </sheetPr>
  <dimension ref="B1:F7"/>
  <sheetViews>
    <sheetView workbookViewId="0">
      <selection activeCell="A17" sqref="A17"/>
    </sheetView>
  </sheetViews>
  <sheetFormatPr baseColWidth="10" defaultColWidth="9.140625" defaultRowHeight="15"/>
  <cols>
    <col min="1" max="1" width="9.140625" style="142"/>
    <col min="2" max="2" width="5.42578125" style="142" customWidth="1"/>
    <col min="3" max="3" width="20.28515625" style="142" customWidth="1"/>
    <col min="4" max="4" width="30.7109375" style="142" customWidth="1"/>
    <col min="5" max="5" width="16.7109375" style="142" customWidth="1"/>
    <col min="6" max="10" width="9.140625" style="142"/>
    <col min="11" max="11" width="20.5703125" style="142" customWidth="1"/>
    <col min="12" max="16384" width="9.140625" style="142"/>
  </cols>
  <sheetData>
    <row r="1" spans="2:6" ht="19.5">
      <c r="B1" s="90" t="s">
        <v>341</v>
      </c>
    </row>
    <row r="2" spans="2:6" ht="15.75" thickBot="1"/>
    <row r="3" spans="2:6" ht="19.5" thickBot="1">
      <c r="C3" s="243" t="s">
        <v>217</v>
      </c>
      <c r="D3" s="326" t="s">
        <v>291</v>
      </c>
      <c r="E3" s="302" t="s">
        <v>232</v>
      </c>
      <c r="F3" s="100"/>
    </row>
    <row r="4" spans="2:6" ht="19.5" thickBot="1">
      <c r="C4" s="245"/>
      <c r="D4" s="327" t="s">
        <v>103</v>
      </c>
      <c r="E4" s="303" t="s">
        <v>231</v>
      </c>
    </row>
    <row r="5" spans="2:6">
      <c r="C5" s="246" t="s">
        <v>215</v>
      </c>
      <c r="D5" s="101" t="e">
        <f>Pa!F211</f>
        <v>#REF!</v>
      </c>
      <c r="E5" s="266" t="e">
        <f>D5/656</f>
        <v>#REF!</v>
      </c>
    </row>
    <row r="6" spans="2:6" ht="15.75" thickBot="1">
      <c r="C6" s="246" t="s">
        <v>216</v>
      </c>
      <c r="D6" s="101">
        <f>'Préf Pa'!G21</f>
        <v>2819264390.8000007</v>
      </c>
      <c r="E6" s="266">
        <f>D6/656</f>
        <v>4297659.1323170746</v>
      </c>
    </row>
    <row r="7" spans="2:6" ht="19.5" thickBot="1">
      <c r="C7" s="104" t="s">
        <v>218</v>
      </c>
      <c r="D7" s="105" t="e">
        <f>SUM(D5:D6)</f>
        <v>#REF!</v>
      </c>
      <c r="E7" s="267" t="e">
        <f>D7/656</f>
        <v>#REF!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31842-C75F-446B-860E-D2F82EFFCECB}">
  <sheetPr>
    <tabColor theme="9" tint="-0.249977111117893"/>
    <pageSetUpPr fitToPage="1"/>
  </sheetPr>
  <dimension ref="A1:FF130"/>
  <sheetViews>
    <sheetView zoomScale="80" zoomScaleNormal="80" zoomScaleSheetLayoutView="59" workbookViewId="0">
      <selection activeCell="B47" sqref="B47"/>
    </sheetView>
  </sheetViews>
  <sheetFormatPr baseColWidth="10" defaultColWidth="9.140625" defaultRowHeight="14.25"/>
  <cols>
    <col min="1" max="1" width="9.85546875" style="1748" customWidth="1"/>
    <col min="2" max="2" width="63.28515625" style="1757" customWidth="1"/>
    <col min="3" max="3" width="12.85546875" style="1749" customWidth="1"/>
    <col min="4" max="4" width="16" style="1766" customWidth="1"/>
    <col min="5" max="5" width="22.85546875" style="1766" customWidth="1"/>
    <col min="6" max="161" width="9.140625" style="1146"/>
    <col min="162" max="16384" width="9.140625" style="44"/>
  </cols>
  <sheetData>
    <row r="1" spans="1:161" ht="15" thickBot="1">
      <c r="A1" s="1880" t="s">
        <v>848</v>
      </c>
      <c r="B1" s="1881"/>
      <c r="C1" s="1881"/>
      <c r="D1" s="1881"/>
      <c r="E1" s="1882"/>
    </row>
    <row r="2" spans="1:161" s="1146" customFormat="1" ht="15" thickBot="1">
      <c r="A2" s="1883" t="s">
        <v>777</v>
      </c>
      <c r="B2" s="1884"/>
      <c r="C2" s="1884"/>
      <c r="D2" s="1884"/>
      <c r="E2" s="1885"/>
    </row>
    <row r="3" spans="1:161" s="1157" customFormat="1" ht="15">
      <c r="A3" s="1751"/>
      <c r="B3" s="1755"/>
      <c r="C3" s="1738"/>
      <c r="D3" s="1758"/>
      <c r="E3" s="1759"/>
    </row>
    <row r="4" spans="1:161" s="1146" customFormat="1" ht="15">
      <c r="A4" s="1752" t="s">
        <v>742</v>
      </c>
      <c r="B4" s="1755"/>
      <c r="C4" s="1739"/>
      <c r="D4" s="1760"/>
      <c r="E4" s="1761"/>
    </row>
    <row r="5" spans="1:161" s="1146" customFormat="1" ht="75" customHeight="1">
      <c r="A5" s="1886" t="s">
        <v>768</v>
      </c>
      <c r="B5" s="1887"/>
      <c r="C5" s="1887"/>
      <c r="D5" s="1887"/>
      <c r="E5" s="1888"/>
    </row>
    <row r="6" spans="1:161" s="1146" customFormat="1" ht="15">
      <c r="A6" s="565"/>
      <c r="B6" s="1756"/>
      <c r="C6" s="1740"/>
      <c r="D6" s="1762"/>
      <c r="E6" s="1763"/>
    </row>
    <row r="7" spans="1:161" s="1741" customFormat="1" ht="27.6" customHeight="1">
      <c r="A7" s="1890" t="s">
        <v>585</v>
      </c>
      <c r="B7" s="1890" t="s">
        <v>847</v>
      </c>
      <c r="C7" s="1890" t="s">
        <v>98</v>
      </c>
      <c r="D7" s="1889" t="s">
        <v>776</v>
      </c>
      <c r="E7" s="1889"/>
    </row>
    <row r="8" spans="1:161" s="1741" customFormat="1" ht="15">
      <c r="A8" s="1890"/>
      <c r="B8" s="1890"/>
      <c r="C8" s="1890"/>
      <c r="D8" s="1764" t="s">
        <v>845</v>
      </c>
      <c r="E8" s="1764" t="s">
        <v>846</v>
      </c>
    </row>
    <row r="9" spans="1:161" s="1152" customFormat="1" ht="15">
      <c r="A9" s="1876" t="s">
        <v>20</v>
      </c>
      <c r="B9" s="1877"/>
      <c r="C9" s="1877"/>
      <c r="D9" s="1877"/>
      <c r="E9" s="1878"/>
    </row>
    <row r="10" spans="1:161" s="1152" customFormat="1" ht="42.75">
      <c r="A10" s="1769" t="s">
        <v>22</v>
      </c>
      <c r="B10" s="1769" t="s">
        <v>784</v>
      </c>
      <c r="C10" s="1770" t="s">
        <v>618</v>
      </c>
      <c r="D10" s="1772"/>
      <c r="E10" s="1773"/>
    </row>
    <row r="11" spans="1:161" s="1152" customFormat="1">
      <c r="A11" s="1774" t="s">
        <v>126</v>
      </c>
      <c r="B11" s="1774" t="s">
        <v>785</v>
      </c>
      <c r="C11" s="1775" t="s">
        <v>618</v>
      </c>
      <c r="D11" s="1777"/>
      <c r="E11" s="1777"/>
    </row>
    <row r="12" spans="1:161" s="1149" customFormat="1" ht="15">
      <c r="A12" s="1876" t="s">
        <v>617</v>
      </c>
      <c r="B12" s="1877"/>
      <c r="C12" s="1877"/>
      <c r="D12" s="1877"/>
      <c r="E12" s="1878"/>
      <c r="F12" s="1152"/>
      <c r="G12" s="1152"/>
      <c r="H12" s="1152"/>
      <c r="I12" s="1152"/>
      <c r="J12" s="1152"/>
      <c r="K12" s="1152"/>
      <c r="L12" s="1152"/>
      <c r="M12" s="1152"/>
      <c r="N12" s="1152"/>
      <c r="O12" s="1152"/>
      <c r="P12" s="1152"/>
      <c r="Q12" s="1152"/>
      <c r="R12" s="1152"/>
      <c r="S12" s="1152"/>
      <c r="T12" s="1152"/>
      <c r="U12" s="1152"/>
      <c r="V12" s="1152"/>
      <c r="W12" s="1152"/>
      <c r="X12" s="1152"/>
      <c r="Y12" s="1152"/>
      <c r="Z12" s="1152"/>
      <c r="AA12" s="1152"/>
      <c r="AB12" s="1152"/>
      <c r="AC12" s="1152"/>
      <c r="AD12" s="1152"/>
      <c r="AE12" s="1152"/>
      <c r="AF12" s="1152"/>
      <c r="AG12" s="1152"/>
      <c r="AH12" s="1152"/>
      <c r="AI12" s="1152"/>
      <c r="AJ12" s="1152"/>
      <c r="AK12" s="1152"/>
      <c r="AL12" s="1152"/>
      <c r="AM12" s="1152"/>
      <c r="AN12" s="1152"/>
      <c r="AO12" s="1152"/>
      <c r="AP12" s="1152"/>
      <c r="AQ12" s="1152"/>
      <c r="AR12" s="1152"/>
      <c r="AS12" s="1152"/>
      <c r="AT12" s="1152"/>
      <c r="AU12" s="1152"/>
      <c r="AV12" s="1152"/>
      <c r="AW12" s="1152"/>
      <c r="AX12" s="1152"/>
      <c r="AY12" s="1152"/>
      <c r="AZ12" s="1152"/>
      <c r="BA12" s="1152"/>
      <c r="BB12" s="1152"/>
      <c r="BC12" s="1152"/>
      <c r="BD12" s="1152"/>
      <c r="BE12" s="1152"/>
      <c r="BF12" s="1152"/>
      <c r="BG12" s="1152"/>
      <c r="BH12" s="1152"/>
      <c r="BI12" s="1152"/>
      <c r="BJ12" s="1152"/>
      <c r="BK12" s="1152"/>
      <c r="BL12" s="1152"/>
      <c r="BM12" s="1152"/>
      <c r="BN12" s="1152"/>
      <c r="BO12" s="1152"/>
      <c r="BP12" s="1152"/>
      <c r="BQ12" s="1152"/>
      <c r="BR12" s="1152"/>
      <c r="BS12" s="1152"/>
      <c r="BT12" s="1152"/>
      <c r="BU12" s="1152"/>
      <c r="BV12" s="1152"/>
      <c r="BW12" s="1152"/>
      <c r="BX12" s="1152"/>
      <c r="BY12" s="1152"/>
      <c r="BZ12" s="1152"/>
      <c r="CA12" s="1152"/>
      <c r="CB12" s="1152"/>
      <c r="CC12" s="1152"/>
      <c r="CD12" s="1152"/>
      <c r="CE12" s="1152"/>
      <c r="CF12" s="1152"/>
      <c r="CG12" s="1152"/>
      <c r="CH12" s="1152"/>
      <c r="CI12" s="1152"/>
      <c r="CJ12" s="1152"/>
      <c r="CK12" s="1152"/>
      <c r="CL12" s="1152"/>
      <c r="CM12" s="1152"/>
      <c r="CN12" s="1152"/>
      <c r="CO12" s="1152"/>
      <c r="CP12" s="1152"/>
      <c r="CQ12" s="1152"/>
      <c r="CR12" s="1152"/>
      <c r="CS12" s="1152"/>
      <c r="CT12" s="1152"/>
      <c r="CU12" s="1152"/>
      <c r="CV12" s="1152"/>
      <c r="CW12" s="1152"/>
      <c r="CX12" s="1152"/>
      <c r="CY12" s="1152"/>
      <c r="CZ12" s="1152"/>
      <c r="DA12" s="1152"/>
      <c r="DB12" s="1152"/>
      <c r="DC12" s="1152"/>
      <c r="DD12" s="1152"/>
      <c r="DE12" s="1152"/>
      <c r="DF12" s="1152"/>
      <c r="DG12" s="1152"/>
      <c r="DH12" s="1152"/>
      <c r="DI12" s="1152"/>
      <c r="DJ12" s="1152"/>
      <c r="DK12" s="1152"/>
      <c r="DL12" s="1152"/>
      <c r="DM12" s="1152"/>
      <c r="DN12" s="1152"/>
      <c r="DO12" s="1152"/>
      <c r="DP12" s="1152"/>
      <c r="DQ12" s="1152"/>
      <c r="DR12" s="1152"/>
      <c r="DS12" s="1152"/>
      <c r="DT12" s="1152"/>
      <c r="DU12" s="1152"/>
      <c r="DV12" s="1152"/>
      <c r="DW12" s="1152"/>
      <c r="DX12" s="1152"/>
      <c r="DY12" s="1152"/>
      <c r="DZ12" s="1152"/>
      <c r="EA12" s="1152"/>
      <c r="EB12" s="1152"/>
      <c r="EC12" s="1152"/>
      <c r="ED12" s="1152"/>
      <c r="EE12" s="1152"/>
      <c r="EF12" s="1152"/>
      <c r="EG12" s="1152"/>
      <c r="EH12" s="1152"/>
      <c r="EI12" s="1152"/>
      <c r="EJ12" s="1152"/>
      <c r="EK12" s="1152"/>
      <c r="EL12" s="1152"/>
      <c r="EM12" s="1152"/>
      <c r="EN12" s="1152"/>
      <c r="EO12" s="1152"/>
      <c r="EP12" s="1152"/>
      <c r="EQ12" s="1152"/>
      <c r="ER12" s="1152"/>
      <c r="ES12" s="1152"/>
      <c r="ET12" s="1152"/>
      <c r="EU12" s="1152"/>
      <c r="EV12" s="1152"/>
      <c r="EW12" s="1152"/>
      <c r="EX12" s="1152"/>
      <c r="EY12" s="1152"/>
      <c r="EZ12" s="1152"/>
      <c r="FA12" s="1152"/>
      <c r="FB12" s="1152"/>
      <c r="FC12" s="1152"/>
      <c r="FD12" s="1152"/>
      <c r="FE12" s="1152"/>
    </row>
    <row r="13" spans="1:161" s="1149" customFormat="1" ht="28.5">
      <c r="A13" s="1778" t="s">
        <v>0</v>
      </c>
      <c r="B13" s="1778" t="s">
        <v>787</v>
      </c>
      <c r="C13" s="1770" t="s">
        <v>266</v>
      </c>
      <c r="D13" s="1780">
        <v>146000000</v>
      </c>
      <c r="E13" s="1827" t="s">
        <v>849</v>
      </c>
      <c r="F13" s="1152"/>
      <c r="G13" s="1152"/>
      <c r="H13" s="1152"/>
      <c r="I13" s="1152"/>
      <c r="J13" s="1152"/>
      <c r="K13" s="1152"/>
      <c r="L13" s="1152"/>
      <c r="M13" s="1152"/>
      <c r="N13" s="1152"/>
      <c r="O13" s="1152"/>
      <c r="P13" s="1152"/>
      <c r="Q13" s="1152"/>
      <c r="R13" s="1152"/>
      <c r="S13" s="1152"/>
      <c r="T13" s="1152"/>
      <c r="U13" s="1152"/>
      <c r="V13" s="1152"/>
      <c r="W13" s="1152"/>
      <c r="X13" s="1152"/>
      <c r="Y13" s="1152"/>
      <c r="Z13" s="1152"/>
      <c r="AA13" s="1152"/>
      <c r="AB13" s="1152"/>
      <c r="AC13" s="1152"/>
      <c r="AD13" s="1152"/>
      <c r="AE13" s="1152"/>
      <c r="AF13" s="1152"/>
      <c r="AG13" s="1152"/>
      <c r="AH13" s="1152"/>
      <c r="AI13" s="1152"/>
      <c r="AJ13" s="1152"/>
      <c r="AK13" s="1152"/>
      <c r="AL13" s="1152"/>
      <c r="AM13" s="1152"/>
      <c r="AN13" s="1152"/>
      <c r="AO13" s="1152"/>
      <c r="AP13" s="1152"/>
      <c r="AQ13" s="1152"/>
      <c r="AR13" s="1152"/>
      <c r="AS13" s="1152"/>
      <c r="AT13" s="1152"/>
      <c r="AU13" s="1152"/>
      <c r="AV13" s="1152"/>
      <c r="AW13" s="1152"/>
      <c r="AX13" s="1152"/>
      <c r="AY13" s="1152"/>
      <c r="AZ13" s="1152"/>
      <c r="BA13" s="1152"/>
      <c r="BB13" s="1152"/>
      <c r="BC13" s="1152"/>
      <c r="BD13" s="1152"/>
      <c r="BE13" s="1152"/>
      <c r="BF13" s="1152"/>
      <c r="BG13" s="1152"/>
      <c r="BH13" s="1152"/>
      <c r="BI13" s="1152"/>
      <c r="BJ13" s="1152"/>
      <c r="BK13" s="1152"/>
      <c r="BL13" s="1152"/>
      <c r="BM13" s="1152"/>
      <c r="BN13" s="1152"/>
      <c r="BO13" s="1152"/>
      <c r="BP13" s="1152"/>
      <c r="BQ13" s="1152"/>
      <c r="BR13" s="1152"/>
      <c r="BS13" s="1152"/>
      <c r="BT13" s="1152"/>
      <c r="BU13" s="1152"/>
      <c r="BV13" s="1152"/>
      <c r="BW13" s="1152"/>
      <c r="BX13" s="1152"/>
      <c r="BY13" s="1152"/>
      <c r="BZ13" s="1152"/>
      <c r="CA13" s="1152"/>
      <c r="CB13" s="1152"/>
      <c r="CC13" s="1152"/>
      <c r="CD13" s="1152"/>
      <c r="CE13" s="1152"/>
      <c r="CF13" s="1152"/>
      <c r="CG13" s="1152"/>
      <c r="CH13" s="1152"/>
      <c r="CI13" s="1152"/>
      <c r="CJ13" s="1152"/>
      <c r="CK13" s="1152"/>
      <c r="CL13" s="1152"/>
      <c r="CM13" s="1152"/>
      <c r="CN13" s="1152"/>
      <c r="CO13" s="1152"/>
      <c r="CP13" s="1152"/>
      <c r="CQ13" s="1152"/>
      <c r="CR13" s="1152"/>
      <c r="CS13" s="1152"/>
      <c r="CT13" s="1152"/>
      <c r="CU13" s="1152"/>
      <c r="CV13" s="1152"/>
      <c r="CW13" s="1152"/>
      <c r="CX13" s="1152"/>
      <c r="CY13" s="1152"/>
      <c r="CZ13" s="1152"/>
      <c r="DA13" s="1152"/>
      <c r="DB13" s="1152"/>
      <c r="DC13" s="1152"/>
      <c r="DD13" s="1152"/>
      <c r="DE13" s="1152"/>
      <c r="DF13" s="1152"/>
      <c r="DG13" s="1152"/>
      <c r="DH13" s="1152"/>
      <c r="DI13" s="1152"/>
      <c r="DJ13" s="1152"/>
      <c r="DK13" s="1152"/>
      <c r="DL13" s="1152"/>
      <c r="DM13" s="1152"/>
      <c r="DN13" s="1152"/>
      <c r="DO13" s="1152"/>
      <c r="DP13" s="1152"/>
      <c r="DQ13" s="1152"/>
      <c r="DR13" s="1152"/>
      <c r="DS13" s="1152"/>
      <c r="DT13" s="1152"/>
      <c r="DU13" s="1152"/>
      <c r="DV13" s="1152"/>
      <c r="DW13" s="1152"/>
      <c r="DX13" s="1152"/>
      <c r="DY13" s="1152"/>
      <c r="DZ13" s="1152"/>
      <c r="EA13" s="1152"/>
      <c r="EB13" s="1152"/>
      <c r="EC13" s="1152"/>
      <c r="ED13" s="1152"/>
      <c r="EE13" s="1152"/>
      <c r="EF13" s="1152"/>
      <c r="EG13" s="1152"/>
      <c r="EH13" s="1152"/>
      <c r="EI13" s="1152"/>
      <c r="EJ13" s="1152"/>
      <c r="EK13" s="1152"/>
      <c r="EL13" s="1152"/>
      <c r="EM13" s="1152"/>
      <c r="EN13" s="1152"/>
      <c r="EO13" s="1152"/>
      <c r="EP13" s="1152"/>
      <c r="EQ13" s="1152"/>
      <c r="ER13" s="1152"/>
      <c r="ES13" s="1152"/>
      <c r="ET13" s="1152"/>
      <c r="EU13" s="1152"/>
      <c r="EV13" s="1152"/>
      <c r="EW13" s="1152"/>
      <c r="EX13" s="1152"/>
      <c r="EY13" s="1152"/>
      <c r="EZ13" s="1152"/>
      <c r="FA13" s="1152"/>
      <c r="FB13" s="1152"/>
      <c r="FC13" s="1152"/>
      <c r="FD13" s="1152"/>
      <c r="FE13" s="1152"/>
    </row>
    <row r="14" spans="1:161" s="1164" customFormat="1" ht="28.5">
      <c r="A14" s="1781">
        <v>102</v>
      </c>
      <c r="B14" s="1781" t="s">
        <v>788</v>
      </c>
      <c r="C14" s="1782" t="s">
        <v>266</v>
      </c>
      <c r="D14" s="1784">
        <v>362000000</v>
      </c>
      <c r="E14" s="1828" t="s">
        <v>850</v>
      </c>
    </row>
    <row r="15" spans="1:161" s="1743" customFormat="1" ht="28.5">
      <c r="A15" s="1781">
        <v>103</v>
      </c>
      <c r="B15" s="1781" t="s">
        <v>789</v>
      </c>
      <c r="C15" s="1782" t="s">
        <v>266</v>
      </c>
      <c r="D15" s="1784">
        <v>133000000</v>
      </c>
      <c r="E15" s="1828" t="s">
        <v>851</v>
      </c>
      <c r="F15" s="1742"/>
      <c r="G15" s="1742"/>
      <c r="H15" s="1742"/>
      <c r="I15" s="1742"/>
      <c r="J15" s="1742"/>
      <c r="K15" s="1742"/>
      <c r="L15" s="1742"/>
      <c r="M15" s="1742"/>
      <c r="N15" s="1742"/>
      <c r="O15" s="1742"/>
      <c r="P15" s="1742"/>
      <c r="Q15" s="1742"/>
      <c r="R15" s="1742"/>
      <c r="S15" s="1742"/>
      <c r="T15" s="1742"/>
      <c r="U15" s="1742"/>
      <c r="V15" s="1742"/>
      <c r="W15" s="1742"/>
      <c r="X15" s="1742"/>
      <c r="Y15" s="1742"/>
      <c r="Z15" s="1742"/>
      <c r="AA15" s="1742"/>
      <c r="AB15" s="1742"/>
      <c r="AC15" s="1742"/>
      <c r="AD15" s="1742"/>
      <c r="AE15" s="1742"/>
      <c r="AF15" s="1742"/>
      <c r="AG15" s="1742"/>
      <c r="AH15" s="1742"/>
      <c r="AI15" s="1742"/>
      <c r="AJ15" s="1742"/>
      <c r="AK15" s="1742"/>
      <c r="AL15" s="1742"/>
      <c r="AM15" s="1742"/>
      <c r="AN15" s="1742"/>
      <c r="AO15" s="1742"/>
      <c r="AP15" s="1742"/>
      <c r="AQ15" s="1742"/>
      <c r="AR15" s="1742"/>
      <c r="AS15" s="1742"/>
      <c r="AT15" s="1742"/>
      <c r="AU15" s="1742"/>
      <c r="AV15" s="1742"/>
      <c r="AW15" s="1742"/>
      <c r="AX15" s="1742"/>
      <c r="AY15" s="1742"/>
      <c r="AZ15" s="1742"/>
      <c r="BA15" s="1742"/>
      <c r="BB15" s="1742"/>
      <c r="BC15" s="1742"/>
      <c r="BD15" s="1742"/>
      <c r="BE15" s="1742"/>
      <c r="BF15" s="1742"/>
      <c r="BG15" s="1742"/>
      <c r="BH15" s="1742"/>
      <c r="BI15" s="1742"/>
      <c r="BJ15" s="1742"/>
      <c r="BK15" s="1742"/>
      <c r="BL15" s="1742"/>
      <c r="BM15" s="1742"/>
      <c r="BN15" s="1742"/>
      <c r="BO15" s="1742"/>
      <c r="BP15" s="1742"/>
      <c r="BQ15" s="1742"/>
      <c r="BR15" s="1742"/>
      <c r="BS15" s="1742"/>
      <c r="BT15" s="1742"/>
      <c r="BU15" s="1742"/>
      <c r="BV15" s="1742"/>
      <c r="BW15" s="1742"/>
      <c r="BX15" s="1742"/>
      <c r="BY15" s="1742"/>
      <c r="BZ15" s="1742"/>
      <c r="CA15" s="1742"/>
      <c r="CB15" s="1742"/>
      <c r="CC15" s="1742"/>
      <c r="CD15" s="1742"/>
      <c r="CE15" s="1742"/>
      <c r="CF15" s="1742"/>
      <c r="CG15" s="1742"/>
      <c r="CH15" s="1742"/>
      <c r="CI15" s="1742"/>
      <c r="CJ15" s="1742"/>
      <c r="CK15" s="1742"/>
      <c r="CL15" s="1742"/>
      <c r="CM15" s="1742"/>
      <c r="CN15" s="1742"/>
      <c r="CO15" s="1742"/>
      <c r="CP15" s="1742"/>
      <c r="CQ15" s="1742"/>
      <c r="CR15" s="1742"/>
      <c r="CS15" s="1742"/>
      <c r="CT15" s="1742"/>
      <c r="CU15" s="1742"/>
      <c r="CV15" s="1742"/>
      <c r="CW15" s="1742"/>
      <c r="CX15" s="1742"/>
      <c r="CY15" s="1742"/>
      <c r="CZ15" s="1742"/>
      <c r="DA15" s="1742"/>
      <c r="DB15" s="1742"/>
      <c r="DC15" s="1742"/>
      <c r="DD15" s="1742"/>
      <c r="DE15" s="1742"/>
      <c r="DF15" s="1742"/>
      <c r="DG15" s="1742"/>
      <c r="DH15" s="1742"/>
      <c r="DI15" s="1742"/>
      <c r="DJ15" s="1742"/>
      <c r="DK15" s="1742"/>
      <c r="DL15" s="1742"/>
      <c r="DM15" s="1742"/>
      <c r="DN15" s="1742"/>
      <c r="DO15" s="1742"/>
      <c r="DP15" s="1742"/>
      <c r="DQ15" s="1742"/>
      <c r="DR15" s="1742"/>
      <c r="DS15" s="1742"/>
      <c r="DT15" s="1742"/>
      <c r="DU15" s="1742"/>
      <c r="DV15" s="1742"/>
      <c r="DW15" s="1742"/>
      <c r="DX15" s="1742"/>
      <c r="DY15" s="1742"/>
      <c r="DZ15" s="1742"/>
      <c r="EA15" s="1742"/>
      <c r="EB15" s="1742"/>
      <c r="EC15" s="1742"/>
      <c r="ED15" s="1742"/>
      <c r="EE15" s="1742"/>
      <c r="EF15" s="1742"/>
      <c r="EG15" s="1742"/>
      <c r="EH15" s="1742"/>
      <c r="EI15" s="1742"/>
      <c r="EJ15" s="1742"/>
      <c r="EK15" s="1742"/>
      <c r="EL15" s="1742"/>
      <c r="EM15" s="1742"/>
      <c r="EN15" s="1742"/>
      <c r="EO15" s="1742"/>
      <c r="EP15" s="1742"/>
      <c r="EQ15" s="1742"/>
      <c r="ER15" s="1742"/>
      <c r="ES15" s="1742"/>
      <c r="ET15" s="1742"/>
      <c r="EU15" s="1742"/>
      <c r="EV15" s="1742"/>
      <c r="EW15" s="1742"/>
      <c r="EX15" s="1742"/>
      <c r="EY15" s="1742"/>
      <c r="EZ15" s="1742"/>
      <c r="FA15" s="1742"/>
      <c r="FB15" s="1742"/>
      <c r="FC15" s="1742"/>
      <c r="FD15" s="1742"/>
      <c r="FE15" s="1742"/>
    </row>
    <row r="16" spans="1:161" s="1149" customFormat="1" ht="28.5">
      <c r="A16" s="1787">
        <v>105</v>
      </c>
      <c r="B16" s="1785" t="s">
        <v>790</v>
      </c>
      <c r="C16" s="1782" t="s">
        <v>615</v>
      </c>
      <c r="D16" s="1784">
        <v>641000000</v>
      </c>
      <c r="E16" s="1828" t="s">
        <v>857</v>
      </c>
      <c r="F16" s="1152"/>
      <c r="G16" s="1152"/>
      <c r="H16" s="1152"/>
      <c r="I16" s="1152"/>
      <c r="J16" s="1152"/>
      <c r="K16" s="1152"/>
      <c r="L16" s="1152"/>
      <c r="M16" s="1152"/>
      <c r="N16" s="1152"/>
      <c r="O16" s="1152"/>
      <c r="P16" s="1152"/>
      <c r="Q16" s="1152"/>
      <c r="R16" s="1152"/>
      <c r="S16" s="1152"/>
      <c r="T16" s="1152"/>
      <c r="U16" s="1152"/>
      <c r="V16" s="1152"/>
      <c r="W16" s="1152"/>
      <c r="X16" s="1152"/>
      <c r="Y16" s="1152"/>
      <c r="Z16" s="1152"/>
      <c r="AA16" s="1152"/>
      <c r="AB16" s="1152"/>
      <c r="AC16" s="1152"/>
      <c r="AD16" s="1152"/>
      <c r="AE16" s="1152"/>
      <c r="AF16" s="1152"/>
      <c r="AG16" s="1152"/>
      <c r="AH16" s="1152"/>
      <c r="AI16" s="1152"/>
      <c r="AJ16" s="1152"/>
      <c r="AK16" s="1152"/>
      <c r="AL16" s="1152"/>
      <c r="AM16" s="1152"/>
      <c r="AN16" s="1152"/>
      <c r="AO16" s="1152"/>
      <c r="AP16" s="1152"/>
      <c r="AQ16" s="1152"/>
      <c r="AR16" s="1152"/>
      <c r="AS16" s="1152"/>
      <c r="AT16" s="1152"/>
      <c r="AU16" s="1152"/>
      <c r="AV16" s="1152"/>
      <c r="AW16" s="1152"/>
      <c r="AX16" s="1152"/>
      <c r="AY16" s="1152"/>
      <c r="AZ16" s="1152"/>
      <c r="BA16" s="1152"/>
      <c r="BB16" s="1152"/>
      <c r="BC16" s="1152"/>
      <c r="BD16" s="1152"/>
      <c r="BE16" s="1152"/>
      <c r="BF16" s="1152"/>
      <c r="BG16" s="1152"/>
      <c r="BH16" s="1152"/>
      <c r="BI16" s="1152"/>
      <c r="BJ16" s="1152"/>
      <c r="BK16" s="1152"/>
      <c r="BL16" s="1152"/>
      <c r="BM16" s="1152"/>
      <c r="BN16" s="1152"/>
      <c r="BO16" s="1152"/>
      <c r="BP16" s="1152"/>
      <c r="BQ16" s="1152"/>
      <c r="BR16" s="1152"/>
      <c r="BS16" s="1152"/>
      <c r="BT16" s="1152"/>
      <c r="BU16" s="1152"/>
      <c r="BV16" s="1152"/>
      <c r="BW16" s="1152"/>
      <c r="BX16" s="1152"/>
      <c r="BY16" s="1152"/>
      <c r="BZ16" s="1152"/>
      <c r="CA16" s="1152"/>
      <c r="CB16" s="1152"/>
      <c r="CC16" s="1152"/>
      <c r="CD16" s="1152"/>
      <c r="CE16" s="1152"/>
      <c r="CF16" s="1152"/>
      <c r="CG16" s="1152"/>
      <c r="CH16" s="1152"/>
      <c r="CI16" s="1152"/>
      <c r="CJ16" s="1152"/>
      <c r="CK16" s="1152"/>
      <c r="CL16" s="1152"/>
      <c r="CM16" s="1152"/>
      <c r="CN16" s="1152"/>
      <c r="CO16" s="1152"/>
      <c r="CP16" s="1152"/>
      <c r="CQ16" s="1152"/>
      <c r="CR16" s="1152"/>
      <c r="CS16" s="1152"/>
      <c r="CT16" s="1152"/>
      <c r="CU16" s="1152"/>
      <c r="CV16" s="1152"/>
      <c r="CW16" s="1152"/>
      <c r="CX16" s="1152"/>
      <c r="CY16" s="1152"/>
      <c r="CZ16" s="1152"/>
      <c r="DA16" s="1152"/>
      <c r="DB16" s="1152"/>
      <c r="DC16" s="1152"/>
      <c r="DD16" s="1152"/>
      <c r="DE16" s="1152"/>
      <c r="DF16" s="1152"/>
      <c r="DG16" s="1152"/>
      <c r="DH16" s="1152"/>
      <c r="DI16" s="1152"/>
      <c r="DJ16" s="1152"/>
      <c r="DK16" s="1152"/>
      <c r="DL16" s="1152"/>
      <c r="DM16" s="1152"/>
      <c r="DN16" s="1152"/>
      <c r="DO16" s="1152"/>
      <c r="DP16" s="1152"/>
      <c r="DQ16" s="1152"/>
      <c r="DR16" s="1152"/>
      <c r="DS16" s="1152"/>
      <c r="DT16" s="1152"/>
      <c r="DU16" s="1152"/>
      <c r="DV16" s="1152"/>
      <c r="DW16" s="1152"/>
      <c r="DX16" s="1152"/>
      <c r="DY16" s="1152"/>
      <c r="DZ16" s="1152"/>
      <c r="EA16" s="1152"/>
      <c r="EB16" s="1152"/>
      <c r="EC16" s="1152"/>
      <c r="ED16" s="1152"/>
      <c r="EE16" s="1152"/>
      <c r="EF16" s="1152"/>
      <c r="EG16" s="1152"/>
      <c r="EH16" s="1152"/>
      <c r="EI16" s="1152"/>
      <c r="EJ16" s="1152"/>
      <c r="EK16" s="1152"/>
      <c r="EL16" s="1152"/>
      <c r="EM16" s="1152"/>
      <c r="EN16" s="1152"/>
      <c r="EO16" s="1152"/>
      <c r="EP16" s="1152"/>
      <c r="EQ16" s="1152"/>
      <c r="ER16" s="1152"/>
      <c r="ES16" s="1152"/>
      <c r="ET16" s="1152"/>
      <c r="EU16" s="1152"/>
      <c r="EV16" s="1152"/>
      <c r="EW16" s="1152"/>
      <c r="EX16" s="1152"/>
      <c r="EY16" s="1152"/>
      <c r="EZ16" s="1152"/>
      <c r="FA16" s="1152"/>
      <c r="FB16" s="1152"/>
      <c r="FC16" s="1152"/>
      <c r="FD16" s="1152"/>
      <c r="FE16" s="1152"/>
    </row>
    <row r="17" spans="1:161" s="1149" customFormat="1">
      <c r="A17" s="1787">
        <v>107</v>
      </c>
      <c r="B17" s="1785" t="s">
        <v>791</v>
      </c>
      <c r="C17" s="1782" t="s">
        <v>27</v>
      </c>
      <c r="D17" s="1784"/>
      <c r="E17" s="1794"/>
      <c r="F17" s="1152"/>
      <c r="G17" s="1152"/>
      <c r="H17" s="1152"/>
      <c r="I17" s="1152"/>
      <c r="J17" s="1152"/>
      <c r="K17" s="1152"/>
      <c r="L17" s="1152"/>
      <c r="M17" s="1152"/>
      <c r="N17" s="1152"/>
      <c r="O17" s="1152"/>
      <c r="P17" s="1152"/>
      <c r="Q17" s="1152"/>
      <c r="R17" s="1152"/>
      <c r="S17" s="1152"/>
      <c r="T17" s="1152"/>
      <c r="U17" s="1152"/>
      <c r="V17" s="1152"/>
      <c r="W17" s="1152"/>
      <c r="X17" s="1152"/>
      <c r="Y17" s="1152"/>
      <c r="Z17" s="1152"/>
      <c r="AA17" s="1152"/>
      <c r="AB17" s="1152"/>
      <c r="AC17" s="1152"/>
      <c r="AD17" s="1152"/>
      <c r="AE17" s="1152"/>
      <c r="AF17" s="1152"/>
      <c r="AG17" s="1152"/>
      <c r="AH17" s="1152"/>
      <c r="AI17" s="1152"/>
      <c r="AJ17" s="1152"/>
      <c r="AK17" s="1152"/>
      <c r="AL17" s="1152"/>
      <c r="AM17" s="1152"/>
      <c r="AN17" s="1152"/>
      <c r="AO17" s="1152"/>
      <c r="AP17" s="1152"/>
      <c r="AQ17" s="1152"/>
      <c r="AR17" s="1152"/>
      <c r="AS17" s="1152"/>
      <c r="AT17" s="1152"/>
      <c r="AU17" s="1152"/>
      <c r="AV17" s="1152"/>
      <c r="AW17" s="1152"/>
      <c r="AX17" s="1152"/>
      <c r="AY17" s="1152"/>
      <c r="AZ17" s="1152"/>
      <c r="BA17" s="1152"/>
      <c r="BB17" s="1152"/>
      <c r="BC17" s="1152"/>
      <c r="BD17" s="1152"/>
      <c r="BE17" s="1152"/>
      <c r="BF17" s="1152"/>
      <c r="BG17" s="1152"/>
      <c r="BH17" s="1152"/>
      <c r="BI17" s="1152"/>
      <c r="BJ17" s="1152"/>
      <c r="BK17" s="1152"/>
      <c r="BL17" s="1152"/>
      <c r="BM17" s="1152"/>
      <c r="BN17" s="1152"/>
      <c r="BO17" s="1152"/>
      <c r="BP17" s="1152"/>
      <c r="BQ17" s="1152"/>
      <c r="BR17" s="1152"/>
      <c r="BS17" s="1152"/>
      <c r="BT17" s="1152"/>
      <c r="BU17" s="1152"/>
      <c r="BV17" s="1152"/>
      <c r="BW17" s="1152"/>
      <c r="BX17" s="1152"/>
      <c r="BY17" s="1152"/>
      <c r="BZ17" s="1152"/>
      <c r="CA17" s="1152"/>
      <c r="CB17" s="1152"/>
      <c r="CC17" s="1152"/>
      <c r="CD17" s="1152"/>
      <c r="CE17" s="1152"/>
      <c r="CF17" s="1152"/>
      <c r="CG17" s="1152"/>
      <c r="CH17" s="1152"/>
      <c r="CI17" s="1152"/>
      <c r="CJ17" s="1152"/>
      <c r="CK17" s="1152"/>
      <c r="CL17" s="1152"/>
      <c r="CM17" s="1152"/>
      <c r="CN17" s="1152"/>
      <c r="CO17" s="1152"/>
      <c r="CP17" s="1152"/>
      <c r="CQ17" s="1152"/>
      <c r="CR17" s="1152"/>
      <c r="CS17" s="1152"/>
      <c r="CT17" s="1152"/>
      <c r="CU17" s="1152"/>
      <c r="CV17" s="1152"/>
      <c r="CW17" s="1152"/>
      <c r="CX17" s="1152"/>
      <c r="CY17" s="1152"/>
      <c r="CZ17" s="1152"/>
      <c r="DA17" s="1152"/>
      <c r="DB17" s="1152"/>
      <c r="DC17" s="1152"/>
      <c r="DD17" s="1152"/>
      <c r="DE17" s="1152"/>
      <c r="DF17" s="1152"/>
      <c r="DG17" s="1152"/>
      <c r="DH17" s="1152"/>
      <c r="DI17" s="1152"/>
      <c r="DJ17" s="1152"/>
      <c r="DK17" s="1152"/>
      <c r="DL17" s="1152"/>
      <c r="DM17" s="1152"/>
      <c r="DN17" s="1152"/>
      <c r="DO17" s="1152"/>
      <c r="DP17" s="1152"/>
      <c r="DQ17" s="1152"/>
      <c r="DR17" s="1152"/>
      <c r="DS17" s="1152"/>
      <c r="DT17" s="1152"/>
      <c r="DU17" s="1152"/>
      <c r="DV17" s="1152"/>
      <c r="DW17" s="1152"/>
      <c r="DX17" s="1152"/>
      <c r="DY17" s="1152"/>
      <c r="DZ17" s="1152"/>
      <c r="EA17" s="1152"/>
      <c r="EB17" s="1152"/>
      <c r="EC17" s="1152"/>
      <c r="ED17" s="1152"/>
      <c r="EE17" s="1152"/>
      <c r="EF17" s="1152"/>
      <c r="EG17" s="1152"/>
      <c r="EH17" s="1152"/>
      <c r="EI17" s="1152"/>
      <c r="EJ17" s="1152"/>
      <c r="EK17" s="1152"/>
      <c r="EL17" s="1152"/>
      <c r="EM17" s="1152"/>
      <c r="EN17" s="1152"/>
      <c r="EO17" s="1152"/>
      <c r="EP17" s="1152"/>
      <c r="EQ17" s="1152"/>
      <c r="ER17" s="1152"/>
      <c r="ES17" s="1152"/>
      <c r="ET17" s="1152"/>
      <c r="EU17" s="1152"/>
      <c r="EV17" s="1152"/>
      <c r="EW17" s="1152"/>
      <c r="EX17" s="1152"/>
      <c r="EY17" s="1152"/>
      <c r="EZ17" s="1152"/>
      <c r="FA17" s="1152"/>
      <c r="FB17" s="1152"/>
      <c r="FC17" s="1152"/>
      <c r="FD17" s="1152"/>
      <c r="FE17" s="1152"/>
    </row>
    <row r="18" spans="1:161" s="1149" customFormat="1">
      <c r="A18" s="1787">
        <v>108</v>
      </c>
      <c r="B18" s="1785" t="s">
        <v>604</v>
      </c>
      <c r="C18" s="1782" t="s">
        <v>1</v>
      </c>
      <c r="D18" s="1784"/>
      <c r="E18" s="1794"/>
      <c r="F18" s="1152"/>
      <c r="G18" s="1152"/>
      <c r="H18" s="1152"/>
      <c r="I18" s="1152"/>
      <c r="J18" s="1152"/>
      <c r="K18" s="1152"/>
      <c r="L18" s="1152"/>
      <c r="M18" s="1152"/>
      <c r="N18" s="1152"/>
      <c r="O18" s="1152"/>
      <c r="P18" s="1152"/>
      <c r="Q18" s="1152"/>
      <c r="R18" s="1152"/>
      <c r="S18" s="1152"/>
      <c r="T18" s="1152"/>
      <c r="U18" s="1152"/>
      <c r="V18" s="1152"/>
      <c r="W18" s="1152"/>
      <c r="X18" s="1152"/>
      <c r="Y18" s="1152"/>
      <c r="Z18" s="1152"/>
      <c r="AA18" s="1152"/>
      <c r="AB18" s="1152"/>
      <c r="AC18" s="1152"/>
      <c r="AD18" s="1152"/>
      <c r="AE18" s="1152"/>
      <c r="AF18" s="1152"/>
      <c r="AG18" s="1152"/>
      <c r="AH18" s="1152"/>
      <c r="AI18" s="1152"/>
      <c r="AJ18" s="1152"/>
      <c r="AK18" s="1152"/>
      <c r="AL18" s="1152"/>
      <c r="AM18" s="1152"/>
      <c r="AN18" s="1152"/>
      <c r="AO18" s="1152"/>
      <c r="AP18" s="1152"/>
      <c r="AQ18" s="1152"/>
      <c r="AR18" s="1152"/>
      <c r="AS18" s="1152"/>
      <c r="AT18" s="1152"/>
      <c r="AU18" s="1152"/>
      <c r="AV18" s="1152"/>
      <c r="AW18" s="1152"/>
      <c r="AX18" s="1152"/>
      <c r="AY18" s="1152"/>
      <c r="AZ18" s="1152"/>
      <c r="BA18" s="1152"/>
      <c r="BB18" s="1152"/>
      <c r="BC18" s="1152"/>
      <c r="BD18" s="1152"/>
      <c r="BE18" s="1152"/>
      <c r="BF18" s="1152"/>
      <c r="BG18" s="1152"/>
      <c r="BH18" s="1152"/>
      <c r="BI18" s="1152"/>
      <c r="BJ18" s="1152"/>
      <c r="BK18" s="1152"/>
      <c r="BL18" s="1152"/>
      <c r="BM18" s="1152"/>
      <c r="BN18" s="1152"/>
      <c r="BO18" s="1152"/>
      <c r="BP18" s="1152"/>
      <c r="BQ18" s="1152"/>
      <c r="BR18" s="1152"/>
      <c r="BS18" s="1152"/>
      <c r="BT18" s="1152"/>
      <c r="BU18" s="1152"/>
      <c r="BV18" s="1152"/>
      <c r="BW18" s="1152"/>
      <c r="BX18" s="1152"/>
      <c r="BY18" s="1152"/>
      <c r="BZ18" s="1152"/>
      <c r="CA18" s="1152"/>
      <c r="CB18" s="1152"/>
      <c r="CC18" s="1152"/>
      <c r="CD18" s="1152"/>
      <c r="CE18" s="1152"/>
      <c r="CF18" s="1152"/>
      <c r="CG18" s="1152"/>
      <c r="CH18" s="1152"/>
      <c r="CI18" s="1152"/>
      <c r="CJ18" s="1152"/>
      <c r="CK18" s="1152"/>
      <c r="CL18" s="1152"/>
      <c r="CM18" s="1152"/>
      <c r="CN18" s="1152"/>
      <c r="CO18" s="1152"/>
      <c r="CP18" s="1152"/>
      <c r="CQ18" s="1152"/>
      <c r="CR18" s="1152"/>
      <c r="CS18" s="1152"/>
      <c r="CT18" s="1152"/>
      <c r="CU18" s="1152"/>
      <c r="CV18" s="1152"/>
      <c r="CW18" s="1152"/>
      <c r="CX18" s="1152"/>
      <c r="CY18" s="1152"/>
      <c r="CZ18" s="1152"/>
      <c r="DA18" s="1152"/>
      <c r="DB18" s="1152"/>
      <c r="DC18" s="1152"/>
      <c r="DD18" s="1152"/>
      <c r="DE18" s="1152"/>
      <c r="DF18" s="1152"/>
      <c r="DG18" s="1152"/>
      <c r="DH18" s="1152"/>
      <c r="DI18" s="1152"/>
      <c r="DJ18" s="1152"/>
      <c r="DK18" s="1152"/>
      <c r="DL18" s="1152"/>
      <c r="DM18" s="1152"/>
      <c r="DN18" s="1152"/>
      <c r="DO18" s="1152"/>
      <c r="DP18" s="1152"/>
      <c r="DQ18" s="1152"/>
      <c r="DR18" s="1152"/>
      <c r="DS18" s="1152"/>
      <c r="DT18" s="1152"/>
      <c r="DU18" s="1152"/>
      <c r="DV18" s="1152"/>
      <c r="DW18" s="1152"/>
      <c r="DX18" s="1152"/>
      <c r="DY18" s="1152"/>
      <c r="DZ18" s="1152"/>
      <c r="EA18" s="1152"/>
      <c r="EB18" s="1152"/>
      <c r="EC18" s="1152"/>
      <c r="ED18" s="1152"/>
      <c r="EE18" s="1152"/>
      <c r="EF18" s="1152"/>
      <c r="EG18" s="1152"/>
      <c r="EH18" s="1152"/>
      <c r="EI18" s="1152"/>
      <c r="EJ18" s="1152"/>
      <c r="EK18" s="1152"/>
      <c r="EL18" s="1152"/>
      <c r="EM18" s="1152"/>
      <c r="EN18" s="1152"/>
      <c r="EO18" s="1152"/>
      <c r="EP18" s="1152"/>
      <c r="EQ18" s="1152"/>
      <c r="ER18" s="1152"/>
      <c r="ES18" s="1152"/>
      <c r="ET18" s="1152"/>
      <c r="EU18" s="1152"/>
      <c r="EV18" s="1152"/>
      <c r="EW18" s="1152"/>
      <c r="EX18" s="1152"/>
      <c r="EY18" s="1152"/>
      <c r="EZ18" s="1152"/>
      <c r="FA18" s="1152"/>
      <c r="FB18" s="1152"/>
      <c r="FC18" s="1152"/>
      <c r="FD18" s="1152"/>
      <c r="FE18" s="1152"/>
    </row>
    <row r="19" spans="1:161" s="1149" customFormat="1">
      <c r="A19" s="1788">
        <v>109</v>
      </c>
      <c r="B19" s="1786" t="s">
        <v>605</v>
      </c>
      <c r="C19" s="1775" t="s">
        <v>1</v>
      </c>
      <c r="D19" s="1777"/>
      <c r="E19" s="1794"/>
      <c r="F19" s="1152"/>
      <c r="G19" s="1152"/>
      <c r="H19" s="1152"/>
      <c r="I19" s="1152"/>
      <c r="J19" s="1152"/>
      <c r="K19" s="1152"/>
      <c r="L19" s="1152"/>
      <c r="M19" s="1152"/>
      <c r="N19" s="1152"/>
      <c r="O19" s="1152"/>
      <c r="P19" s="1152"/>
      <c r="Q19" s="1152"/>
      <c r="R19" s="1152"/>
      <c r="S19" s="1152"/>
      <c r="T19" s="1152"/>
      <c r="U19" s="1152"/>
      <c r="V19" s="1152"/>
      <c r="W19" s="1152"/>
      <c r="X19" s="1152"/>
      <c r="Y19" s="1152"/>
      <c r="Z19" s="1152"/>
      <c r="AA19" s="1152"/>
      <c r="AB19" s="1152"/>
      <c r="AC19" s="1152"/>
      <c r="AD19" s="1152"/>
      <c r="AE19" s="1152"/>
      <c r="AF19" s="1152"/>
      <c r="AG19" s="1152"/>
      <c r="AH19" s="1152"/>
      <c r="AI19" s="1152"/>
      <c r="AJ19" s="1152"/>
      <c r="AK19" s="1152"/>
      <c r="AL19" s="1152"/>
      <c r="AM19" s="1152"/>
      <c r="AN19" s="1152"/>
      <c r="AO19" s="1152"/>
      <c r="AP19" s="1152"/>
      <c r="AQ19" s="1152"/>
      <c r="AR19" s="1152"/>
      <c r="AS19" s="1152"/>
      <c r="AT19" s="1152"/>
      <c r="AU19" s="1152"/>
      <c r="AV19" s="1152"/>
      <c r="AW19" s="1152"/>
      <c r="AX19" s="1152"/>
      <c r="AY19" s="1152"/>
      <c r="AZ19" s="1152"/>
      <c r="BA19" s="1152"/>
      <c r="BB19" s="1152"/>
      <c r="BC19" s="1152"/>
      <c r="BD19" s="1152"/>
      <c r="BE19" s="1152"/>
      <c r="BF19" s="1152"/>
      <c r="BG19" s="1152"/>
      <c r="BH19" s="1152"/>
      <c r="BI19" s="1152"/>
      <c r="BJ19" s="1152"/>
      <c r="BK19" s="1152"/>
      <c r="BL19" s="1152"/>
      <c r="BM19" s="1152"/>
      <c r="BN19" s="1152"/>
      <c r="BO19" s="1152"/>
      <c r="BP19" s="1152"/>
      <c r="BQ19" s="1152"/>
      <c r="BR19" s="1152"/>
      <c r="BS19" s="1152"/>
      <c r="BT19" s="1152"/>
      <c r="BU19" s="1152"/>
      <c r="BV19" s="1152"/>
      <c r="BW19" s="1152"/>
      <c r="BX19" s="1152"/>
      <c r="BY19" s="1152"/>
      <c r="BZ19" s="1152"/>
      <c r="CA19" s="1152"/>
      <c r="CB19" s="1152"/>
      <c r="CC19" s="1152"/>
      <c r="CD19" s="1152"/>
      <c r="CE19" s="1152"/>
      <c r="CF19" s="1152"/>
      <c r="CG19" s="1152"/>
      <c r="CH19" s="1152"/>
      <c r="CI19" s="1152"/>
      <c r="CJ19" s="1152"/>
      <c r="CK19" s="1152"/>
      <c r="CL19" s="1152"/>
      <c r="CM19" s="1152"/>
      <c r="CN19" s="1152"/>
      <c r="CO19" s="1152"/>
      <c r="CP19" s="1152"/>
      <c r="CQ19" s="1152"/>
      <c r="CR19" s="1152"/>
      <c r="CS19" s="1152"/>
      <c r="CT19" s="1152"/>
      <c r="CU19" s="1152"/>
      <c r="CV19" s="1152"/>
      <c r="CW19" s="1152"/>
      <c r="CX19" s="1152"/>
      <c r="CY19" s="1152"/>
      <c r="CZ19" s="1152"/>
      <c r="DA19" s="1152"/>
      <c r="DB19" s="1152"/>
      <c r="DC19" s="1152"/>
      <c r="DD19" s="1152"/>
      <c r="DE19" s="1152"/>
      <c r="DF19" s="1152"/>
      <c r="DG19" s="1152"/>
      <c r="DH19" s="1152"/>
      <c r="DI19" s="1152"/>
      <c r="DJ19" s="1152"/>
      <c r="DK19" s="1152"/>
      <c r="DL19" s="1152"/>
      <c r="DM19" s="1152"/>
      <c r="DN19" s="1152"/>
      <c r="DO19" s="1152"/>
      <c r="DP19" s="1152"/>
      <c r="DQ19" s="1152"/>
      <c r="DR19" s="1152"/>
      <c r="DS19" s="1152"/>
      <c r="DT19" s="1152"/>
      <c r="DU19" s="1152"/>
      <c r="DV19" s="1152"/>
      <c r="DW19" s="1152"/>
      <c r="DX19" s="1152"/>
      <c r="DY19" s="1152"/>
      <c r="DZ19" s="1152"/>
      <c r="EA19" s="1152"/>
      <c r="EB19" s="1152"/>
      <c r="EC19" s="1152"/>
      <c r="ED19" s="1152"/>
      <c r="EE19" s="1152"/>
      <c r="EF19" s="1152"/>
      <c r="EG19" s="1152"/>
      <c r="EH19" s="1152"/>
      <c r="EI19" s="1152"/>
      <c r="EJ19" s="1152"/>
      <c r="EK19" s="1152"/>
      <c r="EL19" s="1152"/>
      <c r="EM19" s="1152"/>
      <c r="EN19" s="1152"/>
      <c r="EO19" s="1152"/>
      <c r="EP19" s="1152"/>
      <c r="EQ19" s="1152"/>
      <c r="ER19" s="1152"/>
      <c r="ES19" s="1152"/>
      <c r="ET19" s="1152"/>
      <c r="EU19" s="1152"/>
      <c r="EV19" s="1152"/>
      <c r="EW19" s="1152"/>
      <c r="EX19" s="1152"/>
      <c r="EY19" s="1152"/>
      <c r="EZ19" s="1152"/>
      <c r="FA19" s="1152"/>
      <c r="FB19" s="1152"/>
      <c r="FC19" s="1152"/>
      <c r="FD19" s="1152"/>
      <c r="FE19" s="1152"/>
    </row>
    <row r="20" spans="1:161" s="1149" customFormat="1" ht="15">
      <c r="A20" s="1876" t="s">
        <v>41</v>
      </c>
      <c r="B20" s="1877"/>
      <c r="C20" s="1877"/>
      <c r="D20" s="1877"/>
      <c r="E20" s="1878"/>
      <c r="F20" s="1152"/>
      <c r="G20" s="1152"/>
      <c r="H20" s="1152"/>
      <c r="I20" s="1152"/>
      <c r="J20" s="1152"/>
      <c r="K20" s="1152"/>
      <c r="L20" s="1152"/>
      <c r="M20" s="1152"/>
      <c r="N20" s="1152"/>
      <c r="O20" s="1152"/>
      <c r="P20" s="1152"/>
      <c r="Q20" s="1152"/>
      <c r="R20" s="1152"/>
      <c r="S20" s="1152"/>
      <c r="T20" s="1152"/>
      <c r="U20" s="1152"/>
      <c r="V20" s="1152"/>
      <c r="W20" s="1152"/>
      <c r="X20" s="1152"/>
      <c r="Y20" s="1152"/>
      <c r="Z20" s="1152"/>
      <c r="AA20" s="1152"/>
      <c r="AB20" s="1152"/>
      <c r="AC20" s="1152"/>
      <c r="AD20" s="1152"/>
      <c r="AE20" s="1152"/>
      <c r="AF20" s="1152"/>
      <c r="AG20" s="1152"/>
      <c r="AH20" s="1152"/>
      <c r="AI20" s="1152"/>
      <c r="AJ20" s="1152"/>
      <c r="AK20" s="1152"/>
      <c r="AL20" s="1152"/>
      <c r="AM20" s="1152"/>
      <c r="AN20" s="1152"/>
      <c r="AO20" s="1152"/>
      <c r="AP20" s="1152"/>
      <c r="AQ20" s="1152"/>
      <c r="AR20" s="1152"/>
      <c r="AS20" s="1152"/>
      <c r="AT20" s="1152"/>
      <c r="AU20" s="1152"/>
      <c r="AV20" s="1152"/>
      <c r="AW20" s="1152"/>
      <c r="AX20" s="1152"/>
      <c r="AY20" s="1152"/>
      <c r="AZ20" s="1152"/>
      <c r="BA20" s="1152"/>
      <c r="BB20" s="1152"/>
      <c r="BC20" s="1152"/>
      <c r="BD20" s="1152"/>
      <c r="BE20" s="1152"/>
      <c r="BF20" s="1152"/>
      <c r="BG20" s="1152"/>
      <c r="BH20" s="1152"/>
      <c r="BI20" s="1152"/>
      <c r="BJ20" s="1152"/>
      <c r="BK20" s="1152"/>
      <c r="BL20" s="1152"/>
      <c r="BM20" s="1152"/>
      <c r="BN20" s="1152"/>
      <c r="BO20" s="1152"/>
      <c r="BP20" s="1152"/>
      <c r="BQ20" s="1152"/>
      <c r="BR20" s="1152"/>
      <c r="BS20" s="1152"/>
      <c r="BT20" s="1152"/>
      <c r="BU20" s="1152"/>
      <c r="BV20" s="1152"/>
      <c r="BW20" s="1152"/>
      <c r="BX20" s="1152"/>
      <c r="BY20" s="1152"/>
      <c r="BZ20" s="1152"/>
      <c r="CA20" s="1152"/>
      <c r="CB20" s="1152"/>
      <c r="CC20" s="1152"/>
      <c r="CD20" s="1152"/>
      <c r="CE20" s="1152"/>
      <c r="CF20" s="1152"/>
      <c r="CG20" s="1152"/>
      <c r="CH20" s="1152"/>
      <c r="CI20" s="1152"/>
      <c r="CJ20" s="1152"/>
      <c r="CK20" s="1152"/>
      <c r="CL20" s="1152"/>
      <c r="CM20" s="1152"/>
      <c r="CN20" s="1152"/>
      <c r="CO20" s="1152"/>
      <c r="CP20" s="1152"/>
      <c r="CQ20" s="1152"/>
      <c r="CR20" s="1152"/>
      <c r="CS20" s="1152"/>
      <c r="CT20" s="1152"/>
      <c r="CU20" s="1152"/>
      <c r="CV20" s="1152"/>
      <c r="CW20" s="1152"/>
      <c r="CX20" s="1152"/>
      <c r="CY20" s="1152"/>
      <c r="CZ20" s="1152"/>
      <c r="DA20" s="1152"/>
      <c r="DB20" s="1152"/>
      <c r="DC20" s="1152"/>
      <c r="DD20" s="1152"/>
      <c r="DE20" s="1152"/>
      <c r="DF20" s="1152"/>
      <c r="DG20" s="1152"/>
      <c r="DH20" s="1152"/>
      <c r="DI20" s="1152"/>
      <c r="DJ20" s="1152"/>
      <c r="DK20" s="1152"/>
      <c r="DL20" s="1152"/>
      <c r="DM20" s="1152"/>
      <c r="DN20" s="1152"/>
      <c r="DO20" s="1152"/>
      <c r="DP20" s="1152"/>
      <c r="DQ20" s="1152"/>
      <c r="DR20" s="1152"/>
      <c r="DS20" s="1152"/>
      <c r="DT20" s="1152"/>
      <c r="DU20" s="1152"/>
      <c r="DV20" s="1152"/>
      <c r="DW20" s="1152"/>
      <c r="DX20" s="1152"/>
      <c r="DY20" s="1152"/>
      <c r="DZ20" s="1152"/>
      <c r="EA20" s="1152"/>
      <c r="EB20" s="1152"/>
      <c r="EC20" s="1152"/>
      <c r="ED20" s="1152"/>
      <c r="EE20" s="1152"/>
      <c r="EF20" s="1152"/>
      <c r="EG20" s="1152"/>
      <c r="EH20" s="1152"/>
      <c r="EI20" s="1152"/>
      <c r="EJ20" s="1152"/>
      <c r="EK20" s="1152"/>
      <c r="EL20" s="1152"/>
      <c r="EM20" s="1152"/>
      <c r="EN20" s="1152"/>
      <c r="EO20" s="1152"/>
      <c r="EP20" s="1152"/>
      <c r="EQ20" s="1152"/>
      <c r="ER20" s="1152"/>
      <c r="ES20" s="1152"/>
      <c r="ET20" s="1152"/>
      <c r="EU20" s="1152"/>
      <c r="EV20" s="1152"/>
      <c r="EW20" s="1152"/>
      <c r="EX20" s="1152"/>
      <c r="EY20" s="1152"/>
      <c r="EZ20" s="1152"/>
      <c r="FA20" s="1152"/>
      <c r="FB20" s="1152"/>
      <c r="FC20" s="1152"/>
      <c r="FD20" s="1152"/>
      <c r="FE20" s="1152"/>
    </row>
    <row r="21" spans="1:161" s="1149" customFormat="1">
      <c r="A21" s="1789" t="s">
        <v>2</v>
      </c>
      <c r="B21" s="1778" t="s">
        <v>793</v>
      </c>
      <c r="C21" s="1790" t="s">
        <v>618</v>
      </c>
      <c r="D21" s="1780"/>
      <c r="E21" s="1794"/>
      <c r="F21" s="1152"/>
      <c r="G21" s="1152"/>
      <c r="H21" s="1152"/>
      <c r="I21" s="1152"/>
      <c r="J21" s="1152"/>
      <c r="K21" s="1152"/>
      <c r="L21" s="1152"/>
      <c r="M21" s="1152"/>
      <c r="N21" s="1152"/>
      <c r="O21" s="1152"/>
      <c r="P21" s="1152"/>
      <c r="Q21" s="1152"/>
      <c r="R21" s="1152"/>
      <c r="S21" s="1152"/>
      <c r="T21" s="1152"/>
      <c r="U21" s="1152"/>
      <c r="V21" s="1152"/>
      <c r="W21" s="1152"/>
      <c r="X21" s="1152"/>
      <c r="Y21" s="1152"/>
      <c r="Z21" s="1152"/>
      <c r="AA21" s="1152"/>
      <c r="AB21" s="1152"/>
      <c r="AC21" s="1152"/>
      <c r="AD21" s="1152"/>
      <c r="AE21" s="1152"/>
      <c r="AF21" s="1152"/>
      <c r="AG21" s="1152"/>
      <c r="AH21" s="1152"/>
      <c r="AI21" s="1152"/>
      <c r="AJ21" s="1152"/>
      <c r="AK21" s="1152"/>
      <c r="AL21" s="1152"/>
      <c r="AM21" s="1152"/>
      <c r="AN21" s="1152"/>
      <c r="AO21" s="1152"/>
      <c r="AP21" s="1152"/>
      <c r="AQ21" s="1152"/>
      <c r="AR21" s="1152"/>
      <c r="AS21" s="1152"/>
      <c r="AT21" s="1152"/>
      <c r="AU21" s="1152"/>
      <c r="AV21" s="1152"/>
      <c r="AW21" s="1152"/>
      <c r="AX21" s="1152"/>
      <c r="AY21" s="1152"/>
      <c r="AZ21" s="1152"/>
      <c r="BA21" s="1152"/>
      <c r="BB21" s="1152"/>
      <c r="BC21" s="1152"/>
      <c r="BD21" s="1152"/>
      <c r="BE21" s="1152"/>
      <c r="BF21" s="1152"/>
      <c r="BG21" s="1152"/>
      <c r="BH21" s="1152"/>
      <c r="BI21" s="1152"/>
      <c r="BJ21" s="1152"/>
      <c r="BK21" s="1152"/>
      <c r="BL21" s="1152"/>
      <c r="BM21" s="1152"/>
      <c r="BN21" s="1152"/>
      <c r="BO21" s="1152"/>
      <c r="BP21" s="1152"/>
      <c r="BQ21" s="1152"/>
      <c r="BR21" s="1152"/>
      <c r="BS21" s="1152"/>
      <c r="BT21" s="1152"/>
      <c r="BU21" s="1152"/>
      <c r="BV21" s="1152"/>
      <c r="BW21" s="1152"/>
      <c r="BX21" s="1152"/>
      <c r="BY21" s="1152"/>
      <c r="BZ21" s="1152"/>
      <c r="CA21" s="1152"/>
      <c r="CB21" s="1152"/>
      <c r="CC21" s="1152"/>
      <c r="CD21" s="1152"/>
      <c r="CE21" s="1152"/>
      <c r="CF21" s="1152"/>
      <c r="CG21" s="1152"/>
      <c r="CH21" s="1152"/>
      <c r="CI21" s="1152"/>
      <c r="CJ21" s="1152"/>
      <c r="CK21" s="1152"/>
      <c r="CL21" s="1152"/>
      <c r="CM21" s="1152"/>
      <c r="CN21" s="1152"/>
      <c r="CO21" s="1152"/>
      <c r="CP21" s="1152"/>
      <c r="CQ21" s="1152"/>
      <c r="CR21" s="1152"/>
      <c r="CS21" s="1152"/>
      <c r="CT21" s="1152"/>
      <c r="CU21" s="1152"/>
      <c r="CV21" s="1152"/>
      <c r="CW21" s="1152"/>
      <c r="CX21" s="1152"/>
      <c r="CY21" s="1152"/>
      <c r="CZ21" s="1152"/>
      <c r="DA21" s="1152"/>
      <c r="DB21" s="1152"/>
      <c r="DC21" s="1152"/>
      <c r="DD21" s="1152"/>
      <c r="DE21" s="1152"/>
      <c r="DF21" s="1152"/>
      <c r="DG21" s="1152"/>
      <c r="DH21" s="1152"/>
      <c r="DI21" s="1152"/>
      <c r="DJ21" s="1152"/>
      <c r="DK21" s="1152"/>
      <c r="DL21" s="1152"/>
      <c r="DM21" s="1152"/>
      <c r="DN21" s="1152"/>
      <c r="DO21" s="1152"/>
      <c r="DP21" s="1152"/>
      <c r="DQ21" s="1152"/>
      <c r="DR21" s="1152"/>
      <c r="DS21" s="1152"/>
      <c r="DT21" s="1152"/>
      <c r="DU21" s="1152"/>
      <c r="DV21" s="1152"/>
      <c r="DW21" s="1152"/>
      <c r="DX21" s="1152"/>
      <c r="DY21" s="1152"/>
      <c r="DZ21" s="1152"/>
      <c r="EA21" s="1152"/>
      <c r="EB21" s="1152"/>
      <c r="EC21" s="1152"/>
      <c r="ED21" s="1152"/>
      <c r="EE21" s="1152"/>
      <c r="EF21" s="1152"/>
      <c r="EG21" s="1152"/>
      <c r="EH21" s="1152"/>
      <c r="EI21" s="1152"/>
      <c r="EJ21" s="1152"/>
      <c r="EK21" s="1152"/>
      <c r="EL21" s="1152"/>
      <c r="EM21" s="1152"/>
      <c r="EN21" s="1152"/>
      <c r="EO21" s="1152"/>
      <c r="EP21" s="1152"/>
      <c r="EQ21" s="1152"/>
      <c r="ER21" s="1152"/>
      <c r="ES21" s="1152"/>
      <c r="ET21" s="1152"/>
      <c r="EU21" s="1152"/>
      <c r="EV21" s="1152"/>
      <c r="EW21" s="1152"/>
      <c r="EX21" s="1152"/>
      <c r="EY21" s="1152"/>
      <c r="EZ21" s="1152"/>
      <c r="FA21" s="1152"/>
      <c r="FB21" s="1152"/>
      <c r="FC21" s="1152"/>
      <c r="FD21" s="1152"/>
      <c r="FE21" s="1152"/>
    </row>
    <row r="22" spans="1:161" s="1149" customFormat="1">
      <c r="A22" s="1791" t="s">
        <v>3</v>
      </c>
      <c r="B22" s="1781" t="s">
        <v>794</v>
      </c>
      <c r="C22" s="1792"/>
      <c r="D22" s="1794"/>
      <c r="E22" s="1794"/>
      <c r="F22" s="1152"/>
      <c r="G22" s="1152"/>
      <c r="H22" s="1152"/>
      <c r="I22" s="1152"/>
      <c r="J22" s="1152"/>
      <c r="K22" s="1152"/>
      <c r="L22" s="1152"/>
      <c r="M22" s="1152"/>
      <c r="N22" s="1152"/>
      <c r="O22" s="1152"/>
      <c r="P22" s="1152"/>
      <c r="Q22" s="1152"/>
      <c r="R22" s="1152"/>
      <c r="S22" s="1152"/>
      <c r="T22" s="1152"/>
      <c r="U22" s="1152"/>
      <c r="V22" s="1152"/>
      <c r="W22" s="1152"/>
      <c r="X22" s="1152"/>
      <c r="Y22" s="1152"/>
      <c r="Z22" s="1152"/>
      <c r="AA22" s="1152"/>
      <c r="AB22" s="1152"/>
      <c r="AC22" s="1152"/>
      <c r="AD22" s="1152"/>
      <c r="AE22" s="1152"/>
      <c r="AF22" s="1152"/>
      <c r="AG22" s="1152"/>
      <c r="AH22" s="1152"/>
      <c r="AI22" s="1152"/>
      <c r="AJ22" s="1152"/>
      <c r="AK22" s="1152"/>
      <c r="AL22" s="1152"/>
      <c r="AM22" s="1152"/>
      <c r="AN22" s="1152"/>
      <c r="AO22" s="1152"/>
      <c r="AP22" s="1152"/>
      <c r="AQ22" s="1152"/>
      <c r="AR22" s="1152"/>
      <c r="AS22" s="1152"/>
      <c r="AT22" s="1152"/>
      <c r="AU22" s="1152"/>
      <c r="AV22" s="1152"/>
      <c r="AW22" s="1152"/>
      <c r="AX22" s="1152"/>
      <c r="AY22" s="1152"/>
      <c r="AZ22" s="1152"/>
      <c r="BA22" s="1152"/>
      <c r="BB22" s="1152"/>
      <c r="BC22" s="1152"/>
      <c r="BD22" s="1152"/>
      <c r="BE22" s="1152"/>
      <c r="BF22" s="1152"/>
      <c r="BG22" s="1152"/>
      <c r="BH22" s="1152"/>
      <c r="BI22" s="1152"/>
      <c r="BJ22" s="1152"/>
      <c r="BK22" s="1152"/>
      <c r="BL22" s="1152"/>
      <c r="BM22" s="1152"/>
      <c r="BN22" s="1152"/>
      <c r="BO22" s="1152"/>
      <c r="BP22" s="1152"/>
      <c r="BQ22" s="1152"/>
      <c r="BR22" s="1152"/>
      <c r="BS22" s="1152"/>
      <c r="BT22" s="1152"/>
      <c r="BU22" s="1152"/>
      <c r="BV22" s="1152"/>
      <c r="BW22" s="1152"/>
      <c r="BX22" s="1152"/>
      <c r="BY22" s="1152"/>
      <c r="BZ22" s="1152"/>
      <c r="CA22" s="1152"/>
      <c r="CB22" s="1152"/>
      <c r="CC22" s="1152"/>
      <c r="CD22" s="1152"/>
      <c r="CE22" s="1152"/>
      <c r="CF22" s="1152"/>
      <c r="CG22" s="1152"/>
      <c r="CH22" s="1152"/>
      <c r="CI22" s="1152"/>
      <c r="CJ22" s="1152"/>
      <c r="CK22" s="1152"/>
      <c r="CL22" s="1152"/>
      <c r="CM22" s="1152"/>
      <c r="CN22" s="1152"/>
      <c r="CO22" s="1152"/>
      <c r="CP22" s="1152"/>
      <c r="CQ22" s="1152"/>
      <c r="CR22" s="1152"/>
      <c r="CS22" s="1152"/>
      <c r="CT22" s="1152"/>
      <c r="CU22" s="1152"/>
      <c r="CV22" s="1152"/>
      <c r="CW22" s="1152"/>
      <c r="CX22" s="1152"/>
      <c r="CY22" s="1152"/>
      <c r="CZ22" s="1152"/>
      <c r="DA22" s="1152"/>
      <c r="DB22" s="1152"/>
      <c r="DC22" s="1152"/>
      <c r="DD22" s="1152"/>
      <c r="DE22" s="1152"/>
      <c r="DF22" s="1152"/>
      <c r="DG22" s="1152"/>
      <c r="DH22" s="1152"/>
      <c r="DI22" s="1152"/>
      <c r="DJ22" s="1152"/>
      <c r="DK22" s="1152"/>
      <c r="DL22" s="1152"/>
      <c r="DM22" s="1152"/>
      <c r="DN22" s="1152"/>
      <c r="DO22" s="1152"/>
      <c r="DP22" s="1152"/>
      <c r="DQ22" s="1152"/>
      <c r="DR22" s="1152"/>
      <c r="DS22" s="1152"/>
      <c r="DT22" s="1152"/>
      <c r="DU22" s="1152"/>
      <c r="DV22" s="1152"/>
      <c r="DW22" s="1152"/>
      <c r="DX22" s="1152"/>
      <c r="DY22" s="1152"/>
      <c r="DZ22" s="1152"/>
      <c r="EA22" s="1152"/>
      <c r="EB22" s="1152"/>
      <c r="EC22" s="1152"/>
      <c r="ED22" s="1152"/>
      <c r="EE22" s="1152"/>
      <c r="EF22" s="1152"/>
      <c r="EG22" s="1152"/>
      <c r="EH22" s="1152"/>
      <c r="EI22" s="1152"/>
      <c r="EJ22" s="1152"/>
      <c r="EK22" s="1152"/>
      <c r="EL22" s="1152"/>
      <c r="EM22" s="1152"/>
      <c r="EN22" s="1152"/>
      <c r="EO22" s="1152"/>
      <c r="EP22" s="1152"/>
      <c r="EQ22" s="1152"/>
      <c r="ER22" s="1152"/>
      <c r="ES22" s="1152"/>
      <c r="ET22" s="1152"/>
      <c r="EU22" s="1152"/>
      <c r="EV22" s="1152"/>
      <c r="EW22" s="1152"/>
      <c r="EX22" s="1152"/>
      <c r="EY22" s="1152"/>
      <c r="EZ22" s="1152"/>
      <c r="FA22" s="1152"/>
      <c r="FB22" s="1152"/>
      <c r="FC22" s="1152"/>
      <c r="FD22" s="1152"/>
      <c r="FE22" s="1152"/>
    </row>
    <row r="23" spans="1:161" s="1149" customFormat="1" ht="28.5">
      <c r="A23" s="1787" t="s">
        <v>39</v>
      </c>
      <c r="B23" s="1785" t="s">
        <v>40</v>
      </c>
      <c r="C23" s="1782" t="s">
        <v>616</v>
      </c>
      <c r="D23" s="1794"/>
      <c r="E23" s="1794"/>
      <c r="F23" s="1152"/>
      <c r="G23" s="1152"/>
      <c r="H23" s="1152"/>
      <c r="I23" s="1152"/>
      <c r="J23" s="1152"/>
      <c r="K23" s="1152"/>
      <c r="L23" s="1152"/>
      <c r="M23" s="1152"/>
      <c r="N23" s="1152"/>
      <c r="O23" s="1152"/>
      <c r="P23" s="1152"/>
      <c r="Q23" s="1152"/>
      <c r="R23" s="1152"/>
      <c r="S23" s="1152"/>
      <c r="T23" s="1152"/>
      <c r="U23" s="1152"/>
      <c r="V23" s="1152"/>
      <c r="W23" s="1152"/>
      <c r="X23" s="1152"/>
      <c r="Y23" s="1152"/>
      <c r="Z23" s="1152"/>
      <c r="AA23" s="1152"/>
      <c r="AB23" s="1152"/>
      <c r="AC23" s="1152"/>
      <c r="AD23" s="1152"/>
      <c r="AE23" s="1152"/>
      <c r="AF23" s="1152"/>
      <c r="AG23" s="1152"/>
      <c r="AH23" s="1152"/>
      <c r="AI23" s="1152"/>
      <c r="AJ23" s="1152"/>
      <c r="AK23" s="1152"/>
      <c r="AL23" s="1152"/>
      <c r="AM23" s="1152"/>
      <c r="AN23" s="1152"/>
      <c r="AO23" s="1152"/>
      <c r="AP23" s="1152"/>
      <c r="AQ23" s="1152"/>
      <c r="AR23" s="1152"/>
      <c r="AS23" s="1152"/>
      <c r="AT23" s="1152"/>
      <c r="AU23" s="1152"/>
      <c r="AV23" s="1152"/>
      <c r="AW23" s="1152"/>
      <c r="AX23" s="1152"/>
      <c r="AY23" s="1152"/>
      <c r="AZ23" s="1152"/>
      <c r="BA23" s="1152"/>
      <c r="BB23" s="1152"/>
      <c r="BC23" s="1152"/>
      <c r="BD23" s="1152"/>
      <c r="BE23" s="1152"/>
      <c r="BF23" s="1152"/>
      <c r="BG23" s="1152"/>
      <c r="BH23" s="1152"/>
      <c r="BI23" s="1152"/>
      <c r="BJ23" s="1152"/>
      <c r="BK23" s="1152"/>
      <c r="BL23" s="1152"/>
      <c r="BM23" s="1152"/>
      <c r="BN23" s="1152"/>
      <c r="BO23" s="1152"/>
      <c r="BP23" s="1152"/>
      <c r="BQ23" s="1152"/>
      <c r="BR23" s="1152"/>
      <c r="BS23" s="1152"/>
      <c r="BT23" s="1152"/>
      <c r="BU23" s="1152"/>
      <c r="BV23" s="1152"/>
      <c r="BW23" s="1152"/>
      <c r="BX23" s="1152"/>
      <c r="BY23" s="1152"/>
      <c r="BZ23" s="1152"/>
      <c r="CA23" s="1152"/>
      <c r="CB23" s="1152"/>
      <c r="CC23" s="1152"/>
      <c r="CD23" s="1152"/>
      <c r="CE23" s="1152"/>
      <c r="CF23" s="1152"/>
      <c r="CG23" s="1152"/>
      <c r="CH23" s="1152"/>
      <c r="CI23" s="1152"/>
      <c r="CJ23" s="1152"/>
      <c r="CK23" s="1152"/>
      <c r="CL23" s="1152"/>
      <c r="CM23" s="1152"/>
      <c r="CN23" s="1152"/>
      <c r="CO23" s="1152"/>
      <c r="CP23" s="1152"/>
      <c r="CQ23" s="1152"/>
      <c r="CR23" s="1152"/>
      <c r="CS23" s="1152"/>
      <c r="CT23" s="1152"/>
      <c r="CU23" s="1152"/>
      <c r="CV23" s="1152"/>
      <c r="CW23" s="1152"/>
      <c r="CX23" s="1152"/>
      <c r="CY23" s="1152"/>
      <c r="CZ23" s="1152"/>
      <c r="DA23" s="1152"/>
      <c r="DB23" s="1152"/>
      <c r="DC23" s="1152"/>
      <c r="DD23" s="1152"/>
      <c r="DE23" s="1152"/>
      <c r="DF23" s="1152"/>
      <c r="DG23" s="1152"/>
      <c r="DH23" s="1152"/>
      <c r="DI23" s="1152"/>
      <c r="DJ23" s="1152"/>
      <c r="DK23" s="1152"/>
      <c r="DL23" s="1152"/>
      <c r="DM23" s="1152"/>
      <c r="DN23" s="1152"/>
      <c r="DO23" s="1152"/>
      <c r="DP23" s="1152"/>
      <c r="DQ23" s="1152"/>
      <c r="DR23" s="1152"/>
      <c r="DS23" s="1152"/>
      <c r="DT23" s="1152"/>
      <c r="DU23" s="1152"/>
      <c r="DV23" s="1152"/>
      <c r="DW23" s="1152"/>
      <c r="DX23" s="1152"/>
      <c r="DY23" s="1152"/>
      <c r="DZ23" s="1152"/>
      <c r="EA23" s="1152"/>
      <c r="EB23" s="1152"/>
      <c r="EC23" s="1152"/>
      <c r="ED23" s="1152"/>
      <c r="EE23" s="1152"/>
      <c r="EF23" s="1152"/>
      <c r="EG23" s="1152"/>
      <c r="EH23" s="1152"/>
      <c r="EI23" s="1152"/>
      <c r="EJ23" s="1152"/>
      <c r="EK23" s="1152"/>
      <c r="EL23" s="1152"/>
      <c r="EM23" s="1152"/>
      <c r="EN23" s="1152"/>
      <c r="EO23" s="1152"/>
      <c r="EP23" s="1152"/>
      <c r="EQ23" s="1152"/>
      <c r="ER23" s="1152"/>
      <c r="ES23" s="1152"/>
      <c r="ET23" s="1152"/>
      <c r="EU23" s="1152"/>
      <c r="EV23" s="1152"/>
      <c r="EW23" s="1152"/>
      <c r="EX23" s="1152"/>
      <c r="EY23" s="1152"/>
      <c r="EZ23" s="1152"/>
      <c r="FA23" s="1152"/>
      <c r="FB23" s="1152"/>
      <c r="FC23" s="1152"/>
      <c r="FD23" s="1152"/>
      <c r="FE23" s="1152"/>
    </row>
    <row r="24" spans="1:161" s="1164" customFormat="1" ht="28.5">
      <c r="A24" s="1787" t="s">
        <v>127</v>
      </c>
      <c r="B24" s="1785" t="s">
        <v>128</v>
      </c>
      <c r="C24" s="1782" t="s">
        <v>616</v>
      </c>
      <c r="D24" s="1784"/>
      <c r="E24" s="1794"/>
    </row>
    <row r="25" spans="1:161" s="1149" customFormat="1">
      <c r="A25" s="1791">
        <v>203</v>
      </c>
      <c r="B25" s="1781" t="s">
        <v>795</v>
      </c>
      <c r="C25" s="1792" t="s">
        <v>27</v>
      </c>
      <c r="D25" s="1794"/>
      <c r="E25" s="1794"/>
      <c r="F25" s="1152"/>
      <c r="G25" s="1152"/>
      <c r="H25" s="1152"/>
      <c r="I25" s="1152"/>
      <c r="J25" s="1152"/>
      <c r="K25" s="1152"/>
      <c r="L25" s="1152"/>
      <c r="M25" s="1152"/>
      <c r="N25" s="1152"/>
      <c r="O25" s="1152"/>
      <c r="P25" s="1152"/>
      <c r="Q25" s="1152"/>
      <c r="R25" s="1152"/>
      <c r="S25" s="1152"/>
      <c r="T25" s="1152"/>
      <c r="U25" s="1152"/>
      <c r="V25" s="1152"/>
      <c r="W25" s="1152"/>
      <c r="X25" s="1152"/>
      <c r="Y25" s="1152"/>
      <c r="Z25" s="1152"/>
      <c r="AA25" s="1152"/>
      <c r="AB25" s="1152"/>
      <c r="AC25" s="1152"/>
      <c r="AD25" s="1152"/>
      <c r="AE25" s="1152"/>
      <c r="AF25" s="1152"/>
      <c r="AG25" s="1152"/>
      <c r="AH25" s="1152"/>
      <c r="AI25" s="1152"/>
      <c r="AJ25" s="1152"/>
      <c r="AK25" s="1152"/>
      <c r="AL25" s="1152"/>
      <c r="AM25" s="1152"/>
      <c r="AN25" s="1152"/>
      <c r="AO25" s="1152"/>
      <c r="AP25" s="1152"/>
      <c r="AQ25" s="1152"/>
      <c r="AR25" s="1152"/>
      <c r="AS25" s="1152"/>
      <c r="AT25" s="1152"/>
      <c r="AU25" s="1152"/>
      <c r="AV25" s="1152"/>
      <c r="AW25" s="1152"/>
      <c r="AX25" s="1152"/>
      <c r="AY25" s="1152"/>
      <c r="AZ25" s="1152"/>
      <c r="BA25" s="1152"/>
      <c r="BB25" s="1152"/>
      <c r="BC25" s="1152"/>
      <c r="BD25" s="1152"/>
      <c r="BE25" s="1152"/>
      <c r="BF25" s="1152"/>
      <c r="BG25" s="1152"/>
      <c r="BH25" s="1152"/>
      <c r="BI25" s="1152"/>
      <c r="BJ25" s="1152"/>
      <c r="BK25" s="1152"/>
      <c r="BL25" s="1152"/>
      <c r="BM25" s="1152"/>
      <c r="BN25" s="1152"/>
      <c r="BO25" s="1152"/>
      <c r="BP25" s="1152"/>
      <c r="BQ25" s="1152"/>
      <c r="BR25" s="1152"/>
      <c r="BS25" s="1152"/>
      <c r="BT25" s="1152"/>
      <c r="BU25" s="1152"/>
      <c r="BV25" s="1152"/>
      <c r="BW25" s="1152"/>
      <c r="BX25" s="1152"/>
      <c r="BY25" s="1152"/>
      <c r="BZ25" s="1152"/>
      <c r="CA25" s="1152"/>
      <c r="CB25" s="1152"/>
      <c r="CC25" s="1152"/>
      <c r="CD25" s="1152"/>
      <c r="CE25" s="1152"/>
      <c r="CF25" s="1152"/>
      <c r="CG25" s="1152"/>
      <c r="CH25" s="1152"/>
      <c r="CI25" s="1152"/>
      <c r="CJ25" s="1152"/>
      <c r="CK25" s="1152"/>
      <c r="CL25" s="1152"/>
      <c r="CM25" s="1152"/>
      <c r="CN25" s="1152"/>
      <c r="CO25" s="1152"/>
      <c r="CP25" s="1152"/>
      <c r="CQ25" s="1152"/>
      <c r="CR25" s="1152"/>
      <c r="CS25" s="1152"/>
      <c r="CT25" s="1152"/>
      <c r="CU25" s="1152"/>
      <c r="CV25" s="1152"/>
      <c r="CW25" s="1152"/>
      <c r="CX25" s="1152"/>
      <c r="CY25" s="1152"/>
      <c r="CZ25" s="1152"/>
      <c r="DA25" s="1152"/>
      <c r="DB25" s="1152"/>
      <c r="DC25" s="1152"/>
      <c r="DD25" s="1152"/>
      <c r="DE25" s="1152"/>
      <c r="DF25" s="1152"/>
      <c r="DG25" s="1152"/>
      <c r="DH25" s="1152"/>
      <c r="DI25" s="1152"/>
      <c r="DJ25" s="1152"/>
      <c r="DK25" s="1152"/>
      <c r="DL25" s="1152"/>
      <c r="DM25" s="1152"/>
      <c r="DN25" s="1152"/>
      <c r="DO25" s="1152"/>
      <c r="DP25" s="1152"/>
      <c r="DQ25" s="1152"/>
      <c r="DR25" s="1152"/>
      <c r="DS25" s="1152"/>
      <c r="DT25" s="1152"/>
      <c r="DU25" s="1152"/>
      <c r="DV25" s="1152"/>
      <c r="DW25" s="1152"/>
      <c r="DX25" s="1152"/>
      <c r="DY25" s="1152"/>
      <c r="DZ25" s="1152"/>
      <c r="EA25" s="1152"/>
      <c r="EB25" s="1152"/>
      <c r="EC25" s="1152"/>
      <c r="ED25" s="1152"/>
      <c r="EE25" s="1152"/>
      <c r="EF25" s="1152"/>
      <c r="EG25" s="1152"/>
      <c r="EH25" s="1152"/>
      <c r="EI25" s="1152"/>
      <c r="EJ25" s="1152"/>
      <c r="EK25" s="1152"/>
      <c r="EL25" s="1152"/>
      <c r="EM25" s="1152"/>
      <c r="EN25" s="1152"/>
      <c r="EO25" s="1152"/>
      <c r="EP25" s="1152"/>
      <c r="EQ25" s="1152"/>
      <c r="ER25" s="1152"/>
      <c r="ES25" s="1152"/>
      <c r="ET25" s="1152"/>
      <c r="EU25" s="1152"/>
      <c r="EV25" s="1152"/>
      <c r="EW25" s="1152"/>
      <c r="EX25" s="1152"/>
      <c r="EY25" s="1152"/>
      <c r="EZ25" s="1152"/>
      <c r="FA25" s="1152"/>
      <c r="FB25" s="1152"/>
      <c r="FC25" s="1152"/>
      <c r="FD25" s="1152"/>
      <c r="FE25" s="1152"/>
    </row>
    <row r="26" spans="1:161" s="1149" customFormat="1">
      <c r="A26" s="1791" t="s">
        <v>4</v>
      </c>
      <c r="B26" s="1781" t="s">
        <v>43</v>
      </c>
      <c r="C26" s="1796"/>
      <c r="D26" s="1794"/>
      <c r="E26" s="1794"/>
      <c r="F26" s="1152"/>
      <c r="G26" s="1152"/>
      <c r="H26" s="1152"/>
      <c r="I26" s="1152"/>
      <c r="J26" s="1152"/>
      <c r="K26" s="1152"/>
      <c r="L26" s="1152"/>
      <c r="M26" s="1152"/>
      <c r="N26" s="1152"/>
      <c r="O26" s="1152"/>
      <c r="P26" s="1152"/>
      <c r="Q26" s="1152"/>
      <c r="R26" s="1152"/>
      <c r="S26" s="1152"/>
      <c r="T26" s="1152"/>
      <c r="U26" s="1152"/>
      <c r="V26" s="1152"/>
      <c r="W26" s="1152"/>
      <c r="X26" s="1152"/>
      <c r="Y26" s="1152"/>
      <c r="Z26" s="1152"/>
      <c r="AA26" s="1152"/>
      <c r="AB26" s="1152"/>
      <c r="AC26" s="1152"/>
      <c r="AD26" s="1152"/>
      <c r="AE26" s="1152"/>
      <c r="AF26" s="1152"/>
      <c r="AG26" s="1152"/>
      <c r="AH26" s="1152"/>
      <c r="AI26" s="1152"/>
      <c r="AJ26" s="1152"/>
      <c r="AK26" s="1152"/>
      <c r="AL26" s="1152"/>
      <c r="AM26" s="1152"/>
      <c r="AN26" s="1152"/>
      <c r="AO26" s="1152"/>
      <c r="AP26" s="1152"/>
      <c r="AQ26" s="1152"/>
      <c r="AR26" s="1152"/>
      <c r="AS26" s="1152"/>
      <c r="AT26" s="1152"/>
      <c r="AU26" s="1152"/>
      <c r="AV26" s="1152"/>
      <c r="AW26" s="1152"/>
      <c r="AX26" s="1152"/>
      <c r="AY26" s="1152"/>
      <c r="AZ26" s="1152"/>
      <c r="BA26" s="1152"/>
      <c r="BB26" s="1152"/>
      <c r="BC26" s="1152"/>
      <c r="BD26" s="1152"/>
      <c r="BE26" s="1152"/>
      <c r="BF26" s="1152"/>
      <c r="BG26" s="1152"/>
      <c r="BH26" s="1152"/>
      <c r="BI26" s="1152"/>
      <c r="BJ26" s="1152"/>
      <c r="BK26" s="1152"/>
      <c r="BL26" s="1152"/>
      <c r="BM26" s="1152"/>
      <c r="BN26" s="1152"/>
      <c r="BO26" s="1152"/>
      <c r="BP26" s="1152"/>
      <c r="BQ26" s="1152"/>
      <c r="BR26" s="1152"/>
      <c r="BS26" s="1152"/>
      <c r="BT26" s="1152"/>
      <c r="BU26" s="1152"/>
      <c r="BV26" s="1152"/>
      <c r="BW26" s="1152"/>
      <c r="BX26" s="1152"/>
      <c r="BY26" s="1152"/>
      <c r="BZ26" s="1152"/>
      <c r="CA26" s="1152"/>
      <c r="CB26" s="1152"/>
      <c r="CC26" s="1152"/>
      <c r="CD26" s="1152"/>
      <c r="CE26" s="1152"/>
      <c r="CF26" s="1152"/>
      <c r="CG26" s="1152"/>
      <c r="CH26" s="1152"/>
      <c r="CI26" s="1152"/>
      <c r="CJ26" s="1152"/>
      <c r="CK26" s="1152"/>
      <c r="CL26" s="1152"/>
      <c r="CM26" s="1152"/>
      <c r="CN26" s="1152"/>
      <c r="CO26" s="1152"/>
      <c r="CP26" s="1152"/>
      <c r="CQ26" s="1152"/>
      <c r="CR26" s="1152"/>
      <c r="CS26" s="1152"/>
      <c r="CT26" s="1152"/>
      <c r="CU26" s="1152"/>
      <c r="CV26" s="1152"/>
      <c r="CW26" s="1152"/>
      <c r="CX26" s="1152"/>
      <c r="CY26" s="1152"/>
      <c r="CZ26" s="1152"/>
      <c r="DA26" s="1152"/>
      <c r="DB26" s="1152"/>
      <c r="DC26" s="1152"/>
      <c r="DD26" s="1152"/>
      <c r="DE26" s="1152"/>
      <c r="DF26" s="1152"/>
      <c r="DG26" s="1152"/>
      <c r="DH26" s="1152"/>
      <c r="DI26" s="1152"/>
      <c r="DJ26" s="1152"/>
      <c r="DK26" s="1152"/>
      <c r="DL26" s="1152"/>
      <c r="DM26" s="1152"/>
      <c r="DN26" s="1152"/>
      <c r="DO26" s="1152"/>
      <c r="DP26" s="1152"/>
      <c r="DQ26" s="1152"/>
      <c r="DR26" s="1152"/>
      <c r="DS26" s="1152"/>
      <c r="DT26" s="1152"/>
      <c r="DU26" s="1152"/>
      <c r="DV26" s="1152"/>
      <c r="DW26" s="1152"/>
      <c r="DX26" s="1152"/>
      <c r="DY26" s="1152"/>
      <c r="DZ26" s="1152"/>
      <c r="EA26" s="1152"/>
      <c r="EB26" s="1152"/>
      <c r="EC26" s="1152"/>
      <c r="ED26" s="1152"/>
      <c r="EE26" s="1152"/>
      <c r="EF26" s="1152"/>
      <c r="EG26" s="1152"/>
      <c r="EH26" s="1152"/>
      <c r="EI26" s="1152"/>
      <c r="EJ26" s="1152"/>
      <c r="EK26" s="1152"/>
      <c r="EL26" s="1152"/>
      <c r="EM26" s="1152"/>
      <c r="EN26" s="1152"/>
      <c r="EO26" s="1152"/>
      <c r="EP26" s="1152"/>
      <c r="EQ26" s="1152"/>
      <c r="ER26" s="1152"/>
      <c r="ES26" s="1152"/>
      <c r="ET26" s="1152"/>
      <c r="EU26" s="1152"/>
      <c r="EV26" s="1152"/>
      <c r="EW26" s="1152"/>
      <c r="EX26" s="1152"/>
      <c r="EY26" s="1152"/>
      <c r="EZ26" s="1152"/>
      <c r="FA26" s="1152"/>
      <c r="FB26" s="1152"/>
      <c r="FC26" s="1152"/>
      <c r="FD26" s="1152"/>
      <c r="FE26" s="1152"/>
    </row>
    <row r="27" spans="1:161" s="1149" customFormat="1">
      <c r="A27" s="1791" t="s">
        <v>44</v>
      </c>
      <c r="B27" s="1781" t="s">
        <v>46</v>
      </c>
      <c r="C27" s="1782" t="s">
        <v>618</v>
      </c>
      <c r="D27" s="1794"/>
      <c r="E27" s="1794"/>
      <c r="F27" s="1152"/>
      <c r="G27" s="1152"/>
      <c r="H27" s="1152"/>
      <c r="I27" s="1152"/>
      <c r="J27" s="1152"/>
      <c r="K27" s="1152"/>
      <c r="L27" s="1152"/>
      <c r="M27" s="1152"/>
      <c r="N27" s="1152"/>
      <c r="O27" s="1152"/>
      <c r="P27" s="1152"/>
      <c r="Q27" s="1152"/>
      <c r="R27" s="1152"/>
      <c r="S27" s="1152"/>
      <c r="T27" s="1152"/>
      <c r="U27" s="1152"/>
      <c r="V27" s="1152"/>
      <c r="W27" s="1152"/>
      <c r="X27" s="1152"/>
      <c r="Y27" s="1152"/>
      <c r="Z27" s="1152"/>
      <c r="AA27" s="1152"/>
      <c r="AB27" s="1152"/>
      <c r="AC27" s="1152"/>
      <c r="AD27" s="1152"/>
      <c r="AE27" s="1152"/>
      <c r="AF27" s="1152"/>
      <c r="AG27" s="1152"/>
      <c r="AH27" s="1152"/>
      <c r="AI27" s="1152"/>
      <c r="AJ27" s="1152"/>
      <c r="AK27" s="1152"/>
      <c r="AL27" s="1152"/>
      <c r="AM27" s="1152"/>
      <c r="AN27" s="1152"/>
      <c r="AO27" s="1152"/>
      <c r="AP27" s="1152"/>
      <c r="AQ27" s="1152"/>
      <c r="AR27" s="1152"/>
      <c r="AS27" s="1152"/>
      <c r="AT27" s="1152"/>
      <c r="AU27" s="1152"/>
      <c r="AV27" s="1152"/>
      <c r="AW27" s="1152"/>
      <c r="AX27" s="1152"/>
      <c r="AY27" s="1152"/>
      <c r="AZ27" s="1152"/>
      <c r="BA27" s="1152"/>
      <c r="BB27" s="1152"/>
      <c r="BC27" s="1152"/>
      <c r="BD27" s="1152"/>
      <c r="BE27" s="1152"/>
      <c r="BF27" s="1152"/>
      <c r="BG27" s="1152"/>
      <c r="BH27" s="1152"/>
      <c r="BI27" s="1152"/>
      <c r="BJ27" s="1152"/>
      <c r="BK27" s="1152"/>
      <c r="BL27" s="1152"/>
      <c r="BM27" s="1152"/>
      <c r="BN27" s="1152"/>
      <c r="BO27" s="1152"/>
      <c r="BP27" s="1152"/>
      <c r="BQ27" s="1152"/>
      <c r="BR27" s="1152"/>
      <c r="BS27" s="1152"/>
      <c r="BT27" s="1152"/>
      <c r="BU27" s="1152"/>
      <c r="BV27" s="1152"/>
      <c r="BW27" s="1152"/>
      <c r="BX27" s="1152"/>
      <c r="BY27" s="1152"/>
      <c r="BZ27" s="1152"/>
      <c r="CA27" s="1152"/>
      <c r="CB27" s="1152"/>
      <c r="CC27" s="1152"/>
      <c r="CD27" s="1152"/>
      <c r="CE27" s="1152"/>
      <c r="CF27" s="1152"/>
      <c r="CG27" s="1152"/>
      <c r="CH27" s="1152"/>
      <c r="CI27" s="1152"/>
      <c r="CJ27" s="1152"/>
      <c r="CK27" s="1152"/>
      <c r="CL27" s="1152"/>
      <c r="CM27" s="1152"/>
      <c r="CN27" s="1152"/>
      <c r="CO27" s="1152"/>
      <c r="CP27" s="1152"/>
      <c r="CQ27" s="1152"/>
      <c r="CR27" s="1152"/>
      <c r="CS27" s="1152"/>
      <c r="CT27" s="1152"/>
      <c r="CU27" s="1152"/>
      <c r="CV27" s="1152"/>
      <c r="CW27" s="1152"/>
      <c r="CX27" s="1152"/>
      <c r="CY27" s="1152"/>
      <c r="CZ27" s="1152"/>
      <c r="DA27" s="1152"/>
      <c r="DB27" s="1152"/>
      <c r="DC27" s="1152"/>
      <c r="DD27" s="1152"/>
      <c r="DE27" s="1152"/>
      <c r="DF27" s="1152"/>
      <c r="DG27" s="1152"/>
      <c r="DH27" s="1152"/>
      <c r="DI27" s="1152"/>
      <c r="DJ27" s="1152"/>
      <c r="DK27" s="1152"/>
      <c r="DL27" s="1152"/>
      <c r="DM27" s="1152"/>
      <c r="DN27" s="1152"/>
      <c r="DO27" s="1152"/>
      <c r="DP27" s="1152"/>
      <c r="DQ27" s="1152"/>
      <c r="DR27" s="1152"/>
      <c r="DS27" s="1152"/>
      <c r="DT27" s="1152"/>
      <c r="DU27" s="1152"/>
      <c r="DV27" s="1152"/>
      <c r="DW27" s="1152"/>
      <c r="DX27" s="1152"/>
      <c r="DY27" s="1152"/>
      <c r="DZ27" s="1152"/>
      <c r="EA27" s="1152"/>
      <c r="EB27" s="1152"/>
      <c r="EC27" s="1152"/>
      <c r="ED27" s="1152"/>
      <c r="EE27" s="1152"/>
      <c r="EF27" s="1152"/>
      <c r="EG27" s="1152"/>
      <c r="EH27" s="1152"/>
      <c r="EI27" s="1152"/>
      <c r="EJ27" s="1152"/>
      <c r="EK27" s="1152"/>
      <c r="EL27" s="1152"/>
      <c r="EM27" s="1152"/>
      <c r="EN27" s="1152"/>
      <c r="EO27" s="1152"/>
      <c r="EP27" s="1152"/>
      <c r="EQ27" s="1152"/>
      <c r="ER27" s="1152"/>
      <c r="ES27" s="1152"/>
      <c r="ET27" s="1152"/>
      <c r="EU27" s="1152"/>
      <c r="EV27" s="1152"/>
      <c r="EW27" s="1152"/>
      <c r="EX27" s="1152"/>
      <c r="EY27" s="1152"/>
      <c r="EZ27" s="1152"/>
      <c r="FA27" s="1152"/>
      <c r="FB27" s="1152"/>
      <c r="FC27" s="1152"/>
      <c r="FD27" s="1152"/>
      <c r="FE27" s="1152"/>
    </row>
    <row r="28" spans="1:161" s="1152" customFormat="1">
      <c r="A28" s="1791" t="s">
        <v>45</v>
      </c>
      <c r="B28" s="1781" t="s">
        <v>47</v>
      </c>
      <c r="C28" s="1782" t="s">
        <v>618</v>
      </c>
      <c r="D28" s="1794"/>
      <c r="E28" s="1794"/>
    </row>
    <row r="29" spans="1:161" s="1152" customFormat="1">
      <c r="A29" s="1791" t="s">
        <v>48</v>
      </c>
      <c r="B29" s="1781" t="s">
        <v>729</v>
      </c>
      <c r="C29" s="1782" t="s">
        <v>205</v>
      </c>
      <c r="D29" s="1794"/>
      <c r="E29" s="1794"/>
    </row>
    <row r="30" spans="1:161" s="1152" customFormat="1">
      <c r="A30" s="1791" t="s">
        <v>203</v>
      </c>
      <c r="B30" s="1781" t="s">
        <v>49</v>
      </c>
      <c r="C30" s="1782" t="s">
        <v>618</v>
      </c>
      <c r="D30" s="1794"/>
      <c r="E30" s="1794"/>
    </row>
    <row r="31" spans="1:161" s="1152" customFormat="1">
      <c r="A31" s="1791">
        <v>206</v>
      </c>
      <c r="B31" s="1781" t="s">
        <v>796</v>
      </c>
      <c r="C31" s="1792" t="s">
        <v>616</v>
      </c>
      <c r="D31" s="1794"/>
      <c r="E31" s="1794"/>
    </row>
    <row r="32" spans="1:161" s="1152" customFormat="1">
      <c r="A32" s="1791" t="s">
        <v>50</v>
      </c>
      <c r="B32" s="1781" t="s">
        <v>797</v>
      </c>
      <c r="C32" s="1782" t="s">
        <v>1</v>
      </c>
      <c r="D32" s="1791"/>
      <c r="E32" s="1794"/>
    </row>
    <row r="33" spans="1:5" s="1152" customFormat="1">
      <c r="A33" s="1791" t="s">
        <v>52</v>
      </c>
      <c r="B33" s="1781" t="s">
        <v>798</v>
      </c>
      <c r="C33" s="1782"/>
      <c r="D33" s="1791"/>
      <c r="E33" s="1794"/>
    </row>
    <row r="34" spans="1:5" s="1152" customFormat="1">
      <c r="A34" s="1791" t="s">
        <v>54</v>
      </c>
      <c r="B34" s="1781" t="s">
        <v>710</v>
      </c>
      <c r="C34" s="1782" t="s">
        <v>1</v>
      </c>
      <c r="D34" s="1791"/>
      <c r="E34" s="1794"/>
    </row>
    <row r="35" spans="1:5" s="1152" customFormat="1">
      <c r="A35" s="1791">
        <v>211</v>
      </c>
      <c r="B35" s="1781" t="s">
        <v>854</v>
      </c>
      <c r="C35" s="1782"/>
      <c r="D35" s="1791"/>
      <c r="E35" s="1794"/>
    </row>
    <row r="36" spans="1:5" s="1152" customFormat="1">
      <c r="A36" s="1791" t="s">
        <v>852</v>
      </c>
      <c r="B36" s="1781" t="s">
        <v>855</v>
      </c>
      <c r="C36" s="1792" t="s">
        <v>616</v>
      </c>
      <c r="D36" s="1830"/>
      <c r="E36" s="1794"/>
    </row>
    <row r="37" spans="1:5" s="1152" customFormat="1">
      <c r="A37" s="1791" t="s">
        <v>853</v>
      </c>
      <c r="B37" s="1781" t="s">
        <v>856</v>
      </c>
      <c r="C37" s="1792" t="s">
        <v>616</v>
      </c>
      <c r="D37" s="1803"/>
      <c r="E37" s="1794"/>
    </row>
    <row r="38" spans="1:5" s="1744" customFormat="1" ht="15">
      <c r="A38" s="1876" t="s">
        <v>5</v>
      </c>
      <c r="B38" s="1877"/>
      <c r="C38" s="1877"/>
      <c r="D38" s="1877"/>
      <c r="E38" s="1878"/>
    </row>
    <row r="39" spans="1:5" s="1152" customFormat="1">
      <c r="A39" s="1789" t="s">
        <v>6</v>
      </c>
      <c r="B39" s="1778" t="s">
        <v>800</v>
      </c>
      <c r="C39" s="1770"/>
      <c r="D39" s="1780"/>
      <c r="E39" s="1780"/>
    </row>
    <row r="40" spans="1:5" s="1152" customFormat="1">
      <c r="A40" s="1791" t="s">
        <v>61</v>
      </c>
      <c r="B40" s="1781" t="s">
        <v>62</v>
      </c>
      <c r="C40" s="1783" t="s">
        <v>775</v>
      </c>
      <c r="D40" s="1794"/>
      <c r="E40" s="1794"/>
    </row>
    <row r="41" spans="1:5" s="1152" customFormat="1">
      <c r="A41" s="1791" t="s">
        <v>130</v>
      </c>
      <c r="B41" s="1781" t="s">
        <v>638</v>
      </c>
      <c r="C41" s="1795" t="s">
        <v>775</v>
      </c>
      <c r="D41" s="1794"/>
      <c r="E41" s="1794"/>
    </row>
    <row r="42" spans="1:5" s="1152" customFormat="1">
      <c r="A42" s="1791" t="s">
        <v>7</v>
      </c>
      <c r="B42" s="1781" t="s">
        <v>802</v>
      </c>
      <c r="C42" s="1792" t="s">
        <v>775</v>
      </c>
      <c r="D42" s="1794"/>
      <c r="E42" s="1794"/>
    </row>
    <row r="43" spans="1:5" s="1152" customFormat="1">
      <c r="A43" s="1791" t="s">
        <v>8</v>
      </c>
      <c r="B43" s="1781" t="s">
        <v>803</v>
      </c>
      <c r="C43" s="1792" t="s">
        <v>775</v>
      </c>
      <c r="D43" s="1794"/>
      <c r="E43" s="1794"/>
    </row>
    <row r="44" spans="1:5" s="1745" customFormat="1" ht="28.5">
      <c r="A44" s="1785">
        <v>305</v>
      </c>
      <c r="B44" s="1785" t="s">
        <v>804</v>
      </c>
      <c r="C44" s="1804" t="s">
        <v>775</v>
      </c>
      <c r="D44" s="1805"/>
      <c r="E44" s="1794"/>
    </row>
    <row r="45" spans="1:5" s="1164" customFormat="1">
      <c r="A45" s="1791">
        <v>309</v>
      </c>
      <c r="B45" s="1781" t="s">
        <v>805</v>
      </c>
      <c r="C45" s="1804" t="s">
        <v>775</v>
      </c>
      <c r="D45" s="1784"/>
      <c r="E45" s="1794"/>
    </row>
    <row r="46" spans="1:5" s="1164" customFormat="1">
      <c r="A46" s="1787">
        <v>312</v>
      </c>
      <c r="B46" s="1785" t="s">
        <v>806</v>
      </c>
      <c r="C46" s="1804" t="s">
        <v>616</v>
      </c>
      <c r="D46" s="1784"/>
      <c r="E46" s="1794"/>
    </row>
    <row r="47" spans="1:5" s="1164" customFormat="1">
      <c r="A47" s="1787">
        <v>313</v>
      </c>
      <c r="B47" s="1785" t="s">
        <v>807</v>
      </c>
      <c r="C47" s="1804" t="s">
        <v>616</v>
      </c>
      <c r="D47" s="1784"/>
      <c r="E47" s="1794"/>
    </row>
    <row r="48" spans="1:5" s="1164" customFormat="1">
      <c r="A48" s="1788">
        <v>316</v>
      </c>
      <c r="B48" s="1786" t="s">
        <v>808</v>
      </c>
      <c r="C48" s="1806" t="s">
        <v>618</v>
      </c>
      <c r="D48" s="1777"/>
      <c r="E48" s="1803"/>
    </row>
    <row r="49" spans="1:5" s="1744" customFormat="1" ht="15">
      <c r="A49" s="1876" t="s">
        <v>9</v>
      </c>
      <c r="B49" s="1877"/>
      <c r="C49" s="1877"/>
      <c r="D49" s="1877"/>
      <c r="E49" s="1878"/>
    </row>
    <row r="50" spans="1:5" s="1152" customFormat="1" ht="28.5">
      <c r="A50" s="1789" t="s">
        <v>10</v>
      </c>
      <c r="B50" s="1778" t="s">
        <v>809</v>
      </c>
      <c r="C50" s="1770"/>
      <c r="D50" s="1773"/>
      <c r="E50" s="1773"/>
    </row>
    <row r="51" spans="1:5" s="1152" customFormat="1">
      <c r="A51" s="1791" t="s">
        <v>66</v>
      </c>
      <c r="B51" s="1781" t="s">
        <v>67</v>
      </c>
      <c r="C51" s="1804" t="s">
        <v>775</v>
      </c>
      <c r="D51" s="1784"/>
      <c r="E51" s="1784"/>
    </row>
    <row r="52" spans="1:5" s="1152" customFormat="1">
      <c r="A52" s="1791">
        <v>405</v>
      </c>
      <c r="B52" s="1781" t="s">
        <v>810</v>
      </c>
      <c r="C52" s="1804" t="s">
        <v>14</v>
      </c>
      <c r="D52" s="1794"/>
      <c r="E52" s="1784"/>
    </row>
    <row r="53" spans="1:5" s="1152" customFormat="1">
      <c r="A53" s="1791">
        <v>407</v>
      </c>
      <c r="B53" s="1781" t="s">
        <v>811</v>
      </c>
      <c r="C53" s="1809"/>
      <c r="D53" s="1794"/>
      <c r="E53" s="1784"/>
    </row>
    <row r="54" spans="1:5" s="1152" customFormat="1">
      <c r="A54" s="1791" t="s">
        <v>557</v>
      </c>
      <c r="B54" s="1781" t="s">
        <v>812</v>
      </c>
      <c r="C54" s="1809"/>
      <c r="D54" s="1794"/>
      <c r="E54" s="1784"/>
    </row>
    <row r="55" spans="1:5" s="1152" customFormat="1">
      <c r="A55" s="1791" t="s">
        <v>561</v>
      </c>
      <c r="B55" s="1781" t="s">
        <v>771</v>
      </c>
      <c r="C55" s="1792" t="s">
        <v>616</v>
      </c>
      <c r="D55" s="1794"/>
      <c r="E55" s="1784"/>
    </row>
    <row r="56" spans="1:5" s="1152" customFormat="1">
      <c r="A56" s="1791" t="s">
        <v>562</v>
      </c>
      <c r="B56" s="1781" t="s">
        <v>772</v>
      </c>
      <c r="C56" s="1792" t="s">
        <v>616</v>
      </c>
      <c r="D56" s="1794"/>
      <c r="E56" s="1784"/>
    </row>
    <row r="57" spans="1:5" s="1152" customFormat="1">
      <c r="A57" s="1791" t="s">
        <v>572</v>
      </c>
      <c r="B57" s="1781" t="s">
        <v>813</v>
      </c>
      <c r="C57" s="1792"/>
      <c r="D57" s="1794"/>
      <c r="E57" s="1784"/>
    </row>
    <row r="58" spans="1:5" s="1152" customFormat="1">
      <c r="A58" s="1791" t="s">
        <v>563</v>
      </c>
      <c r="B58" s="1781" t="s">
        <v>652</v>
      </c>
      <c r="C58" s="1792" t="s">
        <v>616</v>
      </c>
      <c r="D58" s="1794"/>
      <c r="E58" s="1784"/>
    </row>
    <row r="59" spans="1:5" s="1152" customFormat="1">
      <c r="A59" s="1791" t="s">
        <v>564</v>
      </c>
      <c r="B59" s="1781" t="s">
        <v>653</v>
      </c>
      <c r="C59" s="1792" t="s">
        <v>616</v>
      </c>
      <c r="D59" s="1794"/>
      <c r="E59" s="1784"/>
    </row>
    <row r="60" spans="1:5" s="1152" customFormat="1">
      <c r="A60" s="1791">
        <v>408</v>
      </c>
      <c r="B60" s="1781" t="s">
        <v>814</v>
      </c>
      <c r="C60" s="1792"/>
      <c r="D60" s="1794"/>
      <c r="E60" s="1784"/>
    </row>
    <row r="61" spans="1:5" s="1152" customFormat="1">
      <c r="A61" s="1791" t="s">
        <v>566</v>
      </c>
      <c r="B61" s="1781" t="s">
        <v>815</v>
      </c>
      <c r="C61" s="1792"/>
      <c r="D61" s="1794"/>
      <c r="E61" s="1784"/>
    </row>
    <row r="62" spans="1:5" s="1152" customFormat="1">
      <c r="A62" s="1791" t="s">
        <v>573</v>
      </c>
      <c r="B62" s="1781" t="s">
        <v>769</v>
      </c>
      <c r="C62" s="1792" t="s">
        <v>1</v>
      </c>
      <c r="D62" s="1794"/>
      <c r="E62" s="1784"/>
    </row>
    <row r="63" spans="1:5" s="1152" customFormat="1">
      <c r="A63" s="1791" t="s">
        <v>574</v>
      </c>
      <c r="B63" s="1781" t="s">
        <v>770</v>
      </c>
      <c r="C63" s="1792" t="s">
        <v>1</v>
      </c>
      <c r="D63" s="1794"/>
      <c r="E63" s="1784"/>
    </row>
    <row r="64" spans="1:5" s="1152" customFormat="1">
      <c r="A64" s="1791" t="s">
        <v>576</v>
      </c>
      <c r="B64" s="1781" t="s">
        <v>547</v>
      </c>
      <c r="C64" s="1792" t="s">
        <v>1</v>
      </c>
      <c r="D64" s="1794"/>
      <c r="E64" s="1784"/>
    </row>
    <row r="65" spans="1:5" s="1152" customFormat="1">
      <c r="A65" s="1791" t="s">
        <v>579</v>
      </c>
      <c r="B65" s="1781" t="s">
        <v>816</v>
      </c>
      <c r="C65" s="1796"/>
      <c r="D65" s="1794"/>
      <c r="E65" s="1784"/>
    </row>
    <row r="66" spans="1:5" s="1152" customFormat="1">
      <c r="A66" s="1791" t="s">
        <v>577</v>
      </c>
      <c r="B66" s="1781" t="s">
        <v>769</v>
      </c>
      <c r="C66" s="1792" t="s">
        <v>1</v>
      </c>
      <c r="D66" s="1794"/>
      <c r="E66" s="1784"/>
    </row>
    <row r="67" spans="1:5" s="1152" customFormat="1">
      <c r="A67" s="1791" t="s">
        <v>578</v>
      </c>
      <c r="B67" s="1781" t="s">
        <v>770</v>
      </c>
      <c r="C67" s="1792" t="s">
        <v>1</v>
      </c>
      <c r="D67" s="1794"/>
      <c r="E67" s="1784"/>
    </row>
    <row r="68" spans="1:5" s="1152" customFormat="1">
      <c r="A68" s="1791" t="s">
        <v>580</v>
      </c>
      <c r="B68" s="1781" t="s">
        <v>547</v>
      </c>
      <c r="C68" s="1792" t="s">
        <v>1</v>
      </c>
      <c r="D68" s="1794"/>
      <c r="E68" s="1784"/>
    </row>
    <row r="69" spans="1:5" s="1152" customFormat="1" ht="28.5">
      <c r="A69" s="1781">
        <v>409</v>
      </c>
      <c r="B69" s="1781" t="s">
        <v>817</v>
      </c>
      <c r="C69" s="1792"/>
      <c r="D69" s="1794"/>
      <c r="E69" s="1784"/>
    </row>
    <row r="70" spans="1:5" s="1152" customFormat="1" ht="28.5">
      <c r="A70" s="1781" t="s">
        <v>643</v>
      </c>
      <c r="B70" s="1781" t="s">
        <v>818</v>
      </c>
      <c r="C70" s="1792"/>
      <c r="D70" s="1794"/>
      <c r="E70" s="1784"/>
    </row>
    <row r="71" spans="1:5" s="1152" customFormat="1" ht="28.5">
      <c r="A71" s="1781" t="s">
        <v>644</v>
      </c>
      <c r="B71" s="1781" t="s">
        <v>642</v>
      </c>
      <c r="C71" s="1792" t="s">
        <v>616</v>
      </c>
      <c r="D71" s="1794"/>
      <c r="E71" s="1784"/>
    </row>
    <row r="72" spans="1:5" s="1152" customFormat="1" ht="28.5">
      <c r="A72" s="1781" t="s">
        <v>645</v>
      </c>
      <c r="B72" s="1781" t="s">
        <v>649</v>
      </c>
      <c r="C72" s="1792" t="s">
        <v>616</v>
      </c>
      <c r="D72" s="1794"/>
      <c r="E72" s="1784"/>
    </row>
    <row r="73" spans="1:5" s="1152" customFormat="1" ht="28.5">
      <c r="A73" s="1781" t="s">
        <v>646</v>
      </c>
      <c r="B73" s="1781" t="s">
        <v>819</v>
      </c>
      <c r="C73" s="1792"/>
      <c r="D73" s="1794"/>
      <c r="E73" s="1784"/>
    </row>
    <row r="74" spans="1:5" s="1152" customFormat="1" ht="28.5">
      <c r="A74" s="1781" t="s">
        <v>647</v>
      </c>
      <c r="B74" s="1781" t="s">
        <v>650</v>
      </c>
      <c r="C74" s="1792" t="s">
        <v>616</v>
      </c>
      <c r="D74" s="1794"/>
      <c r="E74" s="1784"/>
    </row>
    <row r="75" spans="1:5" s="1152" customFormat="1" ht="28.5">
      <c r="A75" s="1801" t="s">
        <v>648</v>
      </c>
      <c r="B75" s="1801" t="s">
        <v>651</v>
      </c>
      <c r="C75" s="1806" t="s">
        <v>616</v>
      </c>
      <c r="D75" s="1803"/>
      <c r="E75" s="1777"/>
    </row>
    <row r="76" spans="1:5" s="1744" customFormat="1" ht="15">
      <c r="A76" s="1876" t="s">
        <v>73</v>
      </c>
      <c r="B76" s="1877"/>
      <c r="C76" s="1877"/>
      <c r="D76" s="1877"/>
      <c r="E76" s="1878"/>
    </row>
    <row r="77" spans="1:5" s="1152" customFormat="1">
      <c r="A77" s="1810">
        <v>501</v>
      </c>
      <c r="B77" s="1811" t="s">
        <v>821</v>
      </c>
      <c r="C77" s="1812" t="s">
        <v>775</v>
      </c>
      <c r="D77" s="1780"/>
      <c r="E77" s="1780"/>
    </row>
    <row r="78" spans="1:5" s="1152" customFormat="1">
      <c r="A78" s="1787">
        <v>502</v>
      </c>
      <c r="B78" s="1785" t="s">
        <v>822</v>
      </c>
      <c r="C78" s="1804" t="s">
        <v>775</v>
      </c>
      <c r="D78" s="1794"/>
      <c r="E78" s="1794"/>
    </row>
    <row r="79" spans="1:5" s="1152" customFormat="1">
      <c r="A79" s="1791" t="s">
        <v>12</v>
      </c>
      <c r="B79" s="1781" t="s">
        <v>823</v>
      </c>
      <c r="C79" s="1804" t="s">
        <v>775</v>
      </c>
      <c r="D79" s="1794"/>
      <c r="E79" s="1794"/>
    </row>
    <row r="80" spans="1:5" s="1152" customFormat="1">
      <c r="A80" s="1791" t="s">
        <v>13</v>
      </c>
      <c r="B80" s="1781" t="s">
        <v>824</v>
      </c>
      <c r="C80" s="1792" t="s">
        <v>616</v>
      </c>
      <c r="D80" s="1794"/>
      <c r="E80" s="1794"/>
    </row>
    <row r="81" spans="1:161" s="1152" customFormat="1">
      <c r="A81" s="1791">
        <v>505</v>
      </c>
      <c r="B81" s="1781" t="s">
        <v>825</v>
      </c>
      <c r="C81" s="1796"/>
      <c r="D81" s="1794"/>
      <c r="E81" s="1794"/>
    </row>
    <row r="82" spans="1:161" s="1152" customFormat="1">
      <c r="A82" s="1791" t="s">
        <v>15</v>
      </c>
      <c r="B82" s="1781" t="s">
        <v>654</v>
      </c>
      <c r="C82" s="1792" t="s">
        <v>14</v>
      </c>
      <c r="D82" s="1794"/>
      <c r="E82" s="1794"/>
    </row>
    <row r="83" spans="1:161" s="1152" customFormat="1">
      <c r="A83" s="1791">
        <v>506</v>
      </c>
      <c r="B83" s="1781" t="s">
        <v>826</v>
      </c>
      <c r="C83" s="1792" t="s">
        <v>775</v>
      </c>
      <c r="D83" s="1794"/>
      <c r="E83" s="1794"/>
    </row>
    <row r="84" spans="1:161" s="1152" customFormat="1">
      <c r="A84" s="1791">
        <v>507</v>
      </c>
      <c r="B84" s="1781" t="s">
        <v>827</v>
      </c>
      <c r="C84" s="1792" t="s">
        <v>775</v>
      </c>
      <c r="D84" s="1794"/>
      <c r="E84" s="1794"/>
    </row>
    <row r="85" spans="1:161" s="1152" customFormat="1" ht="28.5">
      <c r="A85" s="1791">
        <v>509</v>
      </c>
      <c r="B85" s="1781" t="s">
        <v>828</v>
      </c>
      <c r="C85" s="1796"/>
      <c r="D85" s="1794"/>
      <c r="E85" s="1794"/>
    </row>
    <row r="86" spans="1:161" s="1152" customFormat="1">
      <c r="A86" s="1791" t="s">
        <v>140</v>
      </c>
      <c r="B86" s="1781" t="s">
        <v>640</v>
      </c>
      <c r="C86" s="1792" t="s">
        <v>616</v>
      </c>
      <c r="D86" s="1794"/>
      <c r="E86" s="1794"/>
    </row>
    <row r="87" spans="1:161" s="1152" customFormat="1">
      <c r="A87" s="1791" t="s">
        <v>141</v>
      </c>
      <c r="B87" s="1781" t="s">
        <v>639</v>
      </c>
      <c r="C87" s="1792" t="s">
        <v>616</v>
      </c>
      <c r="D87" s="1794"/>
      <c r="E87" s="1794"/>
    </row>
    <row r="88" spans="1:161" s="1743" customFormat="1" ht="28.5">
      <c r="A88" s="1791" t="s">
        <v>637</v>
      </c>
      <c r="B88" s="1781" t="s">
        <v>829</v>
      </c>
      <c r="C88" s="1792"/>
      <c r="D88" s="1794"/>
      <c r="E88" s="1794"/>
      <c r="F88" s="1742"/>
      <c r="G88" s="1742"/>
      <c r="H88" s="1742"/>
      <c r="I88" s="1742"/>
      <c r="J88" s="1742"/>
      <c r="K88" s="1742"/>
      <c r="L88" s="1742"/>
      <c r="M88" s="1742"/>
      <c r="N88" s="1742"/>
      <c r="O88" s="1742"/>
      <c r="P88" s="1742"/>
      <c r="Q88" s="1742"/>
      <c r="R88" s="1742"/>
      <c r="S88" s="1742"/>
      <c r="T88" s="1742"/>
      <c r="U88" s="1742"/>
      <c r="V88" s="1742"/>
      <c r="W88" s="1742"/>
      <c r="X88" s="1742"/>
      <c r="Y88" s="1742"/>
      <c r="Z88" s="1742"/>
      <c r="AA88" s="1742"/>
      <c r="AB88" s="1742"/>
      <c r="AC88" s="1742"/>
      <c r="AD88" s="1742"/>
      <c r="AE88" s="1742"/>
      <c r="AF88" s="1742"/>
      <c r="AG88" s="1742"/>
      <c r="AH88" s="1742"/>
      <c r="AI88" s="1742"/>
      <c r="AJ88" s="1742"/>
      <c r="AK88" s="1742"/>
      <c r="AL88" s="1742"/>
      <c r="AM88" s="1742"/>
      <c r="AN88" s="1742"/>
      <c r="AO88" s="1742"/>
      <c r="AP88" s="1742"/>
      <c r="AQ88" s="1742"/>
      <c r="AR88" s="1742"/>
      <c r="AS88" s="1742"/>
      <c r="AT88" s="1742"/>
      <c r="AU88" s="1742"/>
      <c r="AV88" s="1742"/>
      <c r="AW88" s="1742"/>
      <c r="AX88" s="1742"/>
      <c r="AY88" s="1742"/>
      <c r="AZ88" s="1742"/>
      <c r="BA88" s="1742"/>
      <c r="BB88" s="1742"/>
      <c r="BC88" s="1742"/>
      <c r="BD88" s="1742"/>
      <c r="BE88" s="1742"/>
      <c r="BF88" s="1742"/>
      <c r="BG88" s="1742"/>
      <c r="BH88" s="1742"/>
      <c r="BI88" s="1742"/>
      <c r="BJ88" s="1742"/>
      <c r="BK88" s="1742"/>
      <c r="BL88" s="1742"/>
      <c r="BM88" s="1742"/>
      <c r="BN88" s="1742"/>
      <c r="BO88" s="1742"/>
      <c r="BP88" s="1742"/>
      <c r="BQ88" s="1742"/>
      <c r="BR88" s="1742"/>
      <c r="BS88" s="1742"/>
      <c r="BT88" s="1742"/>
      <c r="BU88" s="1742"/>
      <c r="BV88" s="1742"/>
      <c r="BW88" s="1742"/>
      <c r="BX88" s="1742"/>
      <c r="BY88" s="1742"/>
      <c r="BZ88" s="1742"/>
      <c r="CA88" s="1742"/>
      <c r="CB88" s="1742"/>
      <c r="CC88" s="1742"/>
      <c r="CD88" s="1742"/>
      <c r="CE88" s="1742"/>
      <c r="CF88" s="1742"/>
      <c r="CG88" s="1742"/>
      <c r="CH88" s="1742"/>
      <c r="CI88" s="1742"/>
      <c r="CJ88" s="1742"/>
      <c r="CK88" s="1742"/>
      <c r="CL88" s="1742"/>
      <c r="CM88" s="1742"/>
      <c r="CN88" s="1742"/>
      <c r="CO88" s="1742"/>
      <c r="CP88" s="1742"/>
      <c r="CQ88" s="1742"/>
      <c r="CR88" s="1742"/>
      <c r="CS88" s="1742"/>
      <c r="CT88" s="1742"/>
      <c r="CU88" s="1742"/>
      <c r="CV88" s="1742"/>
      <c r="CW88" s="1742"/>
      <c r="CX88" s="1742"/>
      <c r="CY88" s="1742"/>
      <c r="CZ88" s="1742"/>
      <c r="DA88" s="1742"/>
      <c r="DB88" s="1742"/>
      <c r="DC88" s="1742"/>
      <c r="DD88" s="1742"/>
      <c r="DE88" s="1742"/>
      <c r="DF88" s="1742"/>
      <c r="DG88" s="1742"/>
      <c r="DH88" s="1742"/>
      <c r="DI88" s="1742"/>
      <c r="DJ88" s="1742"/>
      <c r="DK88" s="1742"/>
      <c r="DL88" s="1742"/>
      <c r="DM88" s="1742"/>
      <c r="DN88" s="1742"/>
      <c r="DO88" s="1742"/>
      <c r="DP88" s="1742"/>
      <c r="DQ88" s="1742"/>
      <c r="DR88" s="1742"/>
      <c r="DS88" s="1742"/>
      <c r="DT88" s="1742"/>
      <c r="DU88" s="1742"/>
      <c r="DV88" s="1742"/>
      <c r="DW88" s="1742"/>
      <c r="DX88" s="1742"/>
      <c r="DY88" s="1742"/>
      <c r="DZ88" s="1742"/>
      <c r="EA88" s="1742"/>
      <c r="EB88" s="1742"/>
      <c r="EC88" s="1742"/>
      <c r="ED88" s="1742"/>
      <c r="EE88" s="1742"/>
      <c r="EF88" s="1742"/>
      <c r="EG88" s="1742"/>
      <c r="EH88" s="1742"/>
      <c r="EI88" s="1742"/>
      <c r="EJ88" s="1742"/>
      <c r="EK88" s="1742"/>
      <c r="EL88" s="1742"/>
      <c r="EM88" s="1742"/>
      <c r="EN88" s="1742"/>
      <c r="EO88" s="1742"/>
      <c r="EP88" s="1742"/>
      <c r="EQ88" s="1742"/>
      <c r="ER88" s="1742"/>
      <c r="ES88" s="1742"/>
      <c r="ET88" s="1742"/>
      <c r="EU88" s="1742"/>
      <c r="EV88" s="1742"/>
      <c r="EW88" s="1742"/>
      <c r="EX88" s="1742"/>
      <c r="EY88" s="1742"/>
      <c r="EZ88" s="1742"/>
      <c r="FA88" s="1742"/>
      <c r="FB88" s="1742"/>
      <c r="FC88" s="1742"/>
      <c r="FD88" s="1742"/>
      <c r="FE88" s="1742"/>
    </row>
    <row r="89" spans="1:161" s="1743" customFormat="1" ht="28.5">
      <c r="A89" s="1791" t="s">
        <v>93</v>
      </c>
      <c r="B89" s="1781" t="s">
        <v>541</v>
      </c>
      <c r="C89" s="1792" t="s">
        <v>1</v>
      </c>
      <c r="D89" s="1794"/>
      <c r="E89" s="1794"/>
      <c r="F89" s="1742"/>
      <c r="G89" s="1742"/>
      <c r="H89" s="1742"/>
      <c r="I89" s="1742"/>
      <c r="J89" s="1742"/>
      <c r="K89" s="1742"/>
      <c r="L89" s="1742"/>
      <c r="M89" s="1742"/>
      <c r="N89" s="1742"/>
      <c r="O89" s="1742"/>
      <c r="P89" s="1742"/>
      <c r="Q89" s="1742"/>
      <c r="R89" s="1742"/>
      <c r="S89" s="1742"/>
      <c r="T89" s="1742"/>
      <c r="U89" s="1742"/>
      <c r="V89" s="1742"/>
      <c r="W89" s="1742"/>
      <c r="X89" s="1742"/>
      <c r="Y89" s="1742"/>
      <c r="Z89" s="1742"/>
      <c r="AA89" s="1742"/>
      <c r="AB89" s="1742"/>
      <c r="AC89" s="1742"/>
      <c r="AD89" s="1742"/>
      <c r="AE89" s="1742"/>
      <c r="AF89" s="1742"/>
      <c r="AG89" s="1742"/>
      <c r="AH89" s="1742"/>
      <c r="AI89" s="1742"/>
      <c r="AJ89" s="1742"/>
      <c r="AK89" s="1742"/>
      <c r="AL89" s="1742"/>
      <c r="AM89" s="1742"/>
      <c r="AN89" s="1742"/>
      <c r="AO89" s="1742"/>
      <c r="AP89" s="1742"/>
      <c r="AQ89" s="1742"/>
      <c r="AR89" s="1742"/>
      <c r="AS89" s="1742"/>
      <c r="AT89" s="1742"/>
      <c r="AU89" s="1742"/>
      <c r="AV89" s="1742"/>
      <c r="AW89" s="1742"/>
      <c r="AX89" s="1742"/>
      <c r="AY89" s="1742"/>
      <c r="AZ89" s="1742"/>
      <c r="BA89" s="1742"/>
      <c r="BB89" s="1742"/>
      <c r="BC89" s="1742"/>
      <c r="BD89" s="1742"/>
      <c r="BE89" s="1742"/>
      <c r="BF89" s="1742"/>
      <c r="BG89" s="1742"/>
      <c r="BH89" s="1742"/>
      <c r="BI89" s="1742"/>
      <c r="BJ89" s="1742"/>
      <c r="BK89" s="1742"/>
      <c r="BL89" s="1742"/>
      <c r="BM89" s="1742"/>
      <c r="BN89" s="1742"/>
      <c r="BO89" s="1742"/>
      <c r="BP89" s="1742"/>
      <c r="BQ89" s="1742"/>
      <c r="BR89" s="1742"/>
      <c r="BS89" s="1742"/>
      <c r="BT89" s="1742"/>
      <c r="BU89" s="1742"/>
      <c r="BV89" s="1742"/>
      <c r="BW89" s="1742"/>
      <c r="BX89" s="1742"/>
      <c r="BY89" s="1742"/>
      <c r="BZ89" s="1742"/>
      <c r="CA89" s="1742"/>
      <c r="CB89" s="1742"/>
      <c r="CC89" s="1742"/>
      <c r="CD89" s="1742"/>
      <c r="CE89" s="1742"/>
      <c r="CF89" s="1742"/>
      <c r="CG89" s="1742"/>
      <c r="CH89" s="1742"/>
      <c r="CI89" s="1742"/>
      <c r="CJ89" s="1742"/>
      <c r="CK89" s="1742"/>
      <c r="CL89" s="1742"/>
      <c r="CM89" s="1742"/>
      <c r="CN89" s="1742"/>
      <c r="CO89" s="1742"/>
      <c r="CP89" s="1742"/>
      <c r="CQ89" s="1742"/>
      <c r="CR89" s="1742"/>
      <c r="CS89" s="1742"/>
      <c r="CT89" s="1742"/>
      <c r="CU89" s="1742"/>
      <c r="CV89" s="1742"/>
      <c r="CW89" s="1742"/>
      <c r="CX89" s="1742"/>
      <c r="CY89" s="1742"/>
      <c r="CZ89" s="1742"/>
      <c r="DA89" s="1742"/>
      <c r="DB89" s="1742"/>
      <c r="DC89" s="1742"/>
      <c r="DD89" s="1742"/>
      <c r="DE89" s="1742"/>
      <c r="DF89" s="1742"/>
      <c r="DG89" s="1742"/>
      <c r="DH89" s="1742"/>
      <c r="DI89" s="1742"/>
      <c r="DJ89" s="1742"/>
      <c r="DK89" s="1742"/>
      <c r="DL89" s="1742"/>
      <c r="DM89" s="1742"/>
      <c r="DN89" s="1742"/>
      <c r="DO89" s="1742"/>
      <c r="DP89" s="1742"/>
      <c r="DQ89" s="1742"/>
      <c r="DR89" s="1742"/>
      <c r="DS89" s="1742"/>
      <c r="DT89" s="1742"/>
      <c r="DU89" s="1742"/>
      <c r="DV89" s="1742"/>
      <c r="DW89" s="1742"/>
      <c r="DX89" s="1742"/>
      <c r="DY89" s="1742"/>
      <c r="DZ89" s="1742"/>
      <c r="EA89" s="1742"/>
      <c r="EB89" s="1742"/>
      <c r="EC89" s="1742"/>
      <c r="ED89" s="1742"/>
      <c r="EE89" s="1742"/>
      <c r="EF89" s="1742"/>
      <c r="EG89" s="1742"/>
      <c r="EH89" s="1742"/>
      <c r="EI89" s="1742"/>
      <c r="EJ89" s="1742"/>
      <c r="EK89" s="1742"/>
      <c r="EL89" s="1742"/>
      <c r="EM89" s="1742"/>
      <c r="EN89" s="1742"/>
      <c r="EO89" s="1742"/>
      <c r="EP89" s="1742"/>
      <c r="EQ89" s="1742"/>
      <c r="ER89" s="1742"/>
      <c r="ES89" s="1742"/>
      <c r="ET89" s="1742"/>
      <c r="EU89" s="1742"/>
      <c r="EV89" s="1742"/>
      <c r="EW89" s="1742"/>
      <c r="EX89" s="1742"/>
      <c r="EY89" s="1742"/>
      <c r="EZ89" s="1742"/>
      <c r="FA89" s="1742"/>
      <c r="FB89" s="1742"/>
      <c r="FC89" s="1742"/>
      <c r="FD89" s="1742"/>
      <c r="FE89" s="1742"/>
    </row>
    <row r="90" spans="1:161" s="1743" customFormat="1" ht="28.5">
      <c r="A90" s="1791" t="s">
        <v>778</v>
      </c>
      <c r="B90" s="1781" t="s">
        <v>542</v>
      </c>
      <c r="C90" s="1792" t="s">
        <v>1</v>
      </c>
      <c r="D90" s="1794"/>
      <c r="E90" s="1794"/>
      <c r="F90" s="1742"/>
      <c r="G90" s="1742"/>
      <c r="H90" s="1742"/>
      <c r="I90" s="1742"/>
      <c r="J90" s="1742"/>
      <c r="K90" s="1742"/>
      <c r="L90" s="1742"/>
      <c r="M90" s="1742"/>
      <c r="N90" s="1742"/>
      <c r="O90" s="1742"/>
      <c r="P90" s="1742"/>
      <c r="Q90" s="1742"/>
      <c r="R90" s="1742"/>
      <c r="S90" s="1742"/>
      <c r="T90" s="1742"/>
      <c r="U90" s="1742"/>
      <c r="V90" s="1742"/>
      <c r="W90" s="1742"/>
      <c r="X90" s="1742"/>
      <c r="Y90" s="1742"/>
      <c r="Z90" s="1742"/>
      <c r="AA90" s="1742"/>
      <c r="AB90" s="1742"/>
      <c r="AC90" s="1742"/>
      <c r="AD90" s="1742"/>
      <c r="AE90" s="1742"/>
      <c r="AF90" s="1742"/>
      <c r="AG90" s="1742"/>
      <c r="AH90" s="1742"/>
      <c r="AI90" s="1742"/>
      <c r="AJ90" s="1742"/>
      <c r="AK90" s="1742"/>
      <c r="AL90" s="1742"/>
      <c r="AM90" s="1742"/>
      <c r="AN90" s="1742"/>
      <c r="AO90" s="1742"/>
      <c r="AP90" s="1742"/>
      <c r="AQ90" s="1742"/>
      <c r="AR90" s="1742"/>
      <c r="AS90" s="1742"/>
      <c r="AT90" s="1742"/>
      <c r="AU90" s="1742"/>
      <c r="AV90" s="1742"/>
      <c r="AW90" s="1742"/>
      <c r="AX90" s="1742"/>
      <c r="AY90" s="1742"/>
      <c r="AZ90" s="1742"/>
      <c r="BA90" s="1742"/>
      <c r="BB90" s="1742"/>
      <c r="BC90" s="1742"/>
      <c r="BD90" s="1742"/>
      <c r="BE90" s="1742"/>
      <c r="BF90" s="1742"/>
      <c r="BG90" s="1742"/>
      <c r="BH90" s="1742"/>
      <c r="BI90" s="1742"/>
      <c r="BJ90" s="1742"/>
      <c r="BK90" s="1742"/>
      <c r="BL90" s="1742"/>
      <c r="BM90" s="1742"/>
      <c r="BN90" s="1742"/>
      <c r="BO90" s="1742"/>
      <c r="BP90" s="1742"/>
      <c r="BQ90" s="1742"/>
      <c r="BR90" s="1742"/>
      <c r="BS90" s="1742"/>
      <c r="BT90" s="1742"/>
      <c r="BU90" s="1742"/>
      <c r="BV90" s="1742"/>
      <c r="BW90" s="1742"/>
      <c r="BX90" s="1742"/>
      <c r="BY90" s="1742"/>
      <c r="BZ90" s="1742"/>
      <c r="CA90" s="1742"/>
      <c r="CB90" s="1742"/>
      <c r="CC90" s="1742"/>
      <c r="CD90" s="1742"/>
      <c r="CE90" s="1742"/>
      <c r="CF90" s="1742"/>
      <c r="CG90" s="1742"/>
      <c r="CH90" s="1742"/>
      <c r="CI90" s="1742"/>
      <c r="CJ90" s="1742"/>
      <c r="CK90" s="1742"/>
      <c r="CL90" s="1742"/>
      <c r="CM90" s="1742"/>
      <c r="CN90" s="1742"/>
      <c r="CO90" s="1742"/>
      <c r="CP90" s="1742"/>
      <c r="CQ90" s="1742"/>
      <c r="CR90" s="1742"/>
      <c r="CS90" s="1742"/>
      <c r="CT90" s="1742"/>
      <c r="CU90" s="1742"/>
      <c r="CV90" s="1742"/>
      <c r="CW90" s="1742"/>
      <c r="CX90" s="1742"/>
      <c r="CY90" s="1742"/>
      <c r="CZ90" s="1742"/>
      <c r="DA90" s="1742"/>
      <c r="DB90" s="1742"/>
      <c r="DC90" s="1742"/>
      <c r="DD90" s="1742"/>
      <c r="DE90" s="1742"/>
      <c r="DF90" s="1742"/>
      <c r="DG90" s="1742"/>
      <c r="DH90" s="1742"/>
      <c r="DI90" s="1742"/>
      <c r="DJ90" s="1742"/>
      <c r="DK90" s="1742"/>
      <c r="DL90" s="1742"/>
      <c r="DM90" s="1742"/>
      <c r="DN90" s="1742"/>
      <c r="DO90" s="1742"/>
      <c r="DP90" s="1742"/>
      <c r="DQ90" s="1742"/>
      <c r="DR90" s="1742"/>
      <c r="DS90" s="1742"/>
      <c r="DT90" s="1742"/>
      <c r="DU90" s="1742"/>
      <c r="DV90" s="1742"/>
      <c r="DW90" s="1742"/>
      <c r="DX90" s="1742"/>
      <c r="DY90" s="1742"/>
      <c r="DZ90" s="1742"/>
      <c r="EA90" s="1742"/>
      <c r="EB90" s="1742"/>
      <c r="EC90" s="1742"/>
      <c r="ED90" s="1742"/>
      <c r="EE90" s="1742"/>
      <c r="EF90" s="1742"/>
      <c r="EG90" s="1742"/>
      <c r="EH90" s="1742"/>
      <c r="EI90" s="1742"/>
      <c r="EJ90" s="1742"/>
      <c r="EK90" s="1742"/>
      <c r="EL90" s="1742"/>
      <c r="EM90" s="1742"/>
      <c r="EN90" s="1742"/>
      <c r="EO90" s="1742"/>
      <c r="EP90" s="1742"/>
      <c r="EQ90" s="1742"/>
      <c r="ER90" s="1742"/>
      <c r="ES90" s="1742"/>
      <c r="ET90" s="1742"/>
      <c r="EU90" s="1742"/>
      <c r="EV90" s="1742"/>
      <c r="EW90" s="1742"/>
      <c r="EX90" s="1742"/>
      <c r="EY90" s="1742"/>
      <c r="EZ90" s="1742"/>
      <c r="FA90" s="1742"/>
      <c r="FB90" s="1742"/>
      <c r="FC90" s="1742"/>
      <c r="FD90" s="1742"/>
      <c r="FE90" s="1742"/>
    </row>
    <row r="91" spans="1:161" s="1743" customFormat="1" ht="28.5">
      <c r="A91" s="1791" t="s">
        <v>206</v>
      </c>
      <c r="B91" s="1781" t="s">
        <v>543</v>
      </c>
      <c r="C91" s="1792" t="s">
        <v>1</v>
      </c>
      <c r="D91" s="1794"/>
      <c r="E91" s="1794"/>
      <c r="F91" s="1742"/>
      <c r="G91" s="1742"/>
      <c r="H91" s="1742"/>
      <c r="I91" s="1742"/>
      <c r="J91" s="1742"/>
      <c r="K91" s="1742"/>
      <c r="L91" s="1742"/>
      <c r="M91" s="1742"/>
      <c r="N91" s="1742"/>
      <c r="O91" s="1742"/>
      <c r="P91" s="1742"/>
      <c r="Q91" s="1742"/>
      <c r="R91" s="1742"/>
      <c r="S91" s="1742"/>
      <c r="T91" s="1742"/>
      <c r="U91" s="1742"/>
      <c r="V91" s="1742"/>
      <c r="W91" s="1742"/>
      <c r="X91" s="1742"/>
      <c r="Y91" s="1742"/>
      <c r="Z91" s="1742"/>
      <c r="AA91" s="1742"/>
      <c r="AB91" s="1742"/>
      <c r="AC91" s="1742"/>
      <c r="AD91" s="1742"/>
      <c r="AE91" s="1742"/>
      <c r="AF91" s="1742"/>
      <c r="AG91" s="1742"/>
      <c r="AH91" s="1742"/>
      <c r="AI91" s="1742"/>
      <c r="AJ91" s="1742"/>
      <c r="AK91" s="1742"/>
      <c r="AL91" s="1742"/>
      <c r="AM91" s="1742"/>
      <c r="AN91" s="1742"/>
      <c r="AO91" s="1742"/>
      <c r="AP91" s="1742"/>
      <c r="AQ91" s="1742"/>
      <c r="AR91" s="1742"/>
      <c r="AS91" s="1742"/>
      <c r="AT91" s="1742"/>
      <c r="AU91" s="1742"/>
      <c r="AV91" s="1742"/>
      <c r="AW91" s="1742"/>
      <c r="AX91" s="1742"/>
      <c r="AY91" s="1742"/>
      <c r="AZ91" s="1742"/>
      <c r="BA91" s="1742"/>
      <c r="BB91" s="1742"/>
      <c r="BC91" s="1742"/>
      <c r="BD91" s="1742"/>
      <c r="BE91" s="1742"/>
      <c r="BF91" s="1742"/>
      <c r="BG91" s="1742"/>
      <c r="BH91" s="1742"/>
      <c r="BI91" s="1742"/>
      <c r="BJ91" s="1742"/>
      <c r="BK91" s="1742"/>
      <c r="BL91" s="1742"/>
      <c r="BM91" s="1742"/>
      <c r="BN91" s="1742"/>
      <c r="BO91" s="1742"/>
      <c r="BP91" s="1742"/>
      <c r="BQ91" s="1742"/>
      <c r="BR91" s="1742"/>
      <c r="BS91" s="1742"/>
      <c r="BT91" s="1742"/>
      <c r="BU91" s="1742"/>
      <c r="BV91" s="1742"/>
      <c r="BW91" s="1742"/>
      <c r="BX91" s="1742"/>
      <c r="BY91" s="1742"/>
      <c r="BZ91" s="1742"/>
      <c r="CA91" s="1742"/>
      <c r="CB91" s="1742"/>
      <c r="CC91" s="1742"/>
      <c r="CD91" s="1742"/>
      <c r="CE91" s="1742"/>
      <c r="CF91" s="1742"/>
      <c r="CG91" s="1742"/>
      <c r="CH91" s="1742"/>
      <c r="CI91" s="1742"/>
      <c r="CJ91" s="1742"/>
      <c r="CK91" s="1742"/>
      <c r="CL91" s="1742"/>
      <c r="CM91" s="1742"/>
      <c r="CN91" s="1742"/>
      <c r="CO91" s="1742"/>
      <c r="CP91" s="1742"/>
      <c r="CQ91" s="1742"/>
      <c r="CR91" s="1742"/>
      <c r="CS91" s="1742"/>
      <c r="CT91" s="1742"/>
      <c r="CU91" s="1742"/>
      <c r="CV91" s="1742"/>
      <c r="CW91" s="1742"/>
      <c r="CX91" s="1742"/>
      <c r="CY91" s="1742"/>
      <c r="CZ91" s="1742"/>
      <c r="DA91" s="1742"/>
      <c r="DB91" s="1742"/>
      <c r="DC91" s="1742"/>
      <c r="DD91" s="1742"/>
      <c r="DE91" s="1742"/>
      <c r="DF91" s="1742"/>
      <c r="DG91" s="1742"/>
      <c r="DH91" s="1742"/>
      <c r="DI91" s="1742"/>
      <c r="DJ91" s="1742"/>
      <c r="DK91" s="1742"/>
      <c r="DL91" s="1742"/>
      <c r="DM91" s="1742"/>
      <c r="DN91" s="1742"/>
      <c r="DO91" s="1742"/>
      <c r="DP91" s="1742"/>
      <c r="DQ91" s="1742"/>
      <c r="DR91" s="1742"/>
      <c r="DS91" s="1742"/>
      <c r="DT91" s="1742"/>
      <c r="DU91" s="1742"/>
      <c r="DV91" s="1742"/>
      <c r="DW91" s="1742"/>
      <c r="DX91" s="1742"/>
      <c r="DY91" s="1742"/>
      <c r="DZ91" s="1742"/>
      <c r="EA91" s="1742"/>
      <c r="EB91" s="1742"/>
      <c r="EC91" s="1742"/>
      <c r="ED91" s="1742"/>
      <c r="EE91" s="1742"/>
      <c r="EF91" s="1742"/>
      <c r="EG91" s="1742"/>
      <c r="EH91" s="1742"/>
      <c r="EI91" s="1742"/>
      <c r="EJ91" s="1742"/>
      <c r="EK91" s="1742"/>
      <c r="EL91" s="1742"/>
      <c r="EM91" s="1742"/>
      <c r="EN91" s="1742"/>
      <c r="EO91" s="1742"/>
      <c r="EP91" s="1742"/>
      <c r="EQ91" s="1742"/>
      <c r="ER91" s="1742"/>
      <c r="ES91" s="1742"/>
      <c r="ET91" s="1742"/>
      <c r="EU91" s="1742"/>
      <c r="EV91" s="1742"/>
      <c r="EW91" s="1742"/>
      <c r="EX91" s="1742"/>
      <c r="EY91" s="1742"/>
      <c r="EZ91" s="1742"/>
      <c r="FA91" s="1742"/>
      <c r="FB91" s="1742"/>
      <c r="FC91" s="1742"/>
      <c r="FD91" s="1742"/>
      <c r="FE91" s="1742"/>
    </row>
    <row r="92" spans="1:161" s="1743" customFormat="1" ht="28.5">
      <c r="A92" s="1791" t="s">
        <v>779</v>
      </c>
      <c r="B92" s="1781" t="s">
        <v>544</v>
      </c>
      <c r="C92" s="1792" t="s">
        <v>1</v>
      </c>
      <c r="D92" s="1794"/>
      <c r="E92" s="1794"/>
      <c r="F92" s="1742"/>
      <c r="G92" s="1742"/>
      <c r="H92" s="1742"/>
      <c r="I92" s="1742"/>
      <c r="J92" s="1742"/>
      <c r="K92" s="1742"/>
      <c r="L92" s="1742"/>
      <c r="M92" s="1742"/>
      <c r="N92" s="1742"/>
      <c r="O92" s="1742"/>
      <c r="P92" s="1742"/>
      <c r="Q92" s="1742"/>
      <c r="R92" s="1742"/>
      <c r="S92" s="1742"/>
      <c r="T92" s="1742"/>
      <c r="U92" s="1742"/>
      <c r="V92" s="1742"/>
      <c r="W92" s="1742"/>
      <c r="X92" s="1742"/>
      <c r="Y92" s="1742"/>
      <c r="Z92" s="1742"/>
      <c r="AA92" s="1742"/>
      <c r="AB92" s="1742"/>
      <c r="AC92" s="1742"/>
      <c r="AD92" s="1742"/>
      <c r="AE92" s="1742"/>
      <c r="AF92" s="1742"/>
      <c r="AG92" s="1742"/>
      <c r="AH92" s="1742"/>
      <c r="AI92" s="1742"/>
      <c r="AJ92" s="1742"/>
      <c r="AK92" s="1742"/>
      <c r="AL92" s="1742"/>
      <c r="AM92" s="1742"/>
      <c r="AN92" s="1742"/>
      <c r="AO92" s="1742"/>
      <c r="AP92" s="1742"/>
      <c r="AQ92" s="1742"/>
      <c r="AR92" s="1742"/>
      <c r="AS92" s="1742"/>
      <c r="AT92" s="1742"/>
      <c r="AU92" s="1742"/>
      <c r="AV92" s="1742"/>
      <c r="AW92" s="1742"/>
      <c r="AX92" s="1742"/>
      <c r="AY92" s="1742"/>
      <c r="AZ92" s="1742"/>
      <c r="BA92" s="1742"/>
      <c r="BB92" s="1742"/>
      <c r="BC92" s="1742"/>
      <c r="BD92" s="1742"/>
      <c r="BE92" s="1742"/>
      <c r="BF92" s="1742"/>
      <c r="BG92" s="1742"/>
      <c r="BH92" s="1742"/>
      <c r="BI92" s="1742"/>
      <c r="BJ92" s="1742"/>
      <c r="BK92" s="1742"/>
      <c r="BL92" s="1742"/>
      <c r="BM92" s="1742"/>
      <c r="BN92" s="1742"/>
      <c r="BO92" s="1742"/>
      <c r="BP92" s="1742"/>
      <c r="BQ92" s="1742"/>
      <c r="BR92" s="1742"/>
      <c r="BS92" s="1742"/>
      <c r="BT92" s="1742"/>
      <c r="BU92" s="1742"/>
      <c r="BV92" s="1742"/>
      <c r="BW92" s="1742"/>
      <c r="BX92" s="1742"/>
      <c r="BY92" s="1742"/>
      <c r="BZ92" s="1742"/>
      <c r="CA92" s="1742"/>
      <c r="CB92" s="1742"/>
      <c r="CC92" s="1742"/>
      <c r="CD92" s="1742"/>
      <c r="CE92" s="1742"/>
      <c r="CF92" s="1742"/>
      <c r="CG92" s="1742"/>
      <c r="CH92" s="1742"/>
      <c r="CI92" s="1742"/>
      <c r="CJ92" s="1742"/>
      <c r="CK92" s="1742"/>
      <c r="CL92" s="1742"/>
      <c r="CM92" s="1742"/>
      <c r="CN92" s="1742"/>
      <c r="CO92" s="1742"/>
      <c r="CP92" s="1742"/>
      <c r="CQ92" s="1742"/>
      <c r="CR92" s="1742"/>
      <c r="CS92" s="1742"/>
      <c r="CT92" s="1742"/>
      <c r="CU92" s="1742"/>
      <c r="CV92" s="1742"/>
      <c r="CW92" s="1742"/>
      <c r="CX92" s="1742"/>
      <c r="CY92" s="1742"/>
      <c r="CZ92" s="1742"/>
      <c r="DA92" s="1742"/>
      <c r="DB92" s="1742"/>
      <c r="DC92" s="1742"/>
      <c r="DD92" s="1742"/>
      <c r="DE92" s="1742"/>
      <c r="DF92" s="1742"/>
      <c r="DG92" s="1742"/>
      <c r="DH92" s="1742"/>
      <c r="DI92" s="1742"/>
      <c r="DJ92" s="1742"/>
      <c r="DK92" s="1742"/>
      <c r="DL92" s="1742"/>
      <c r="DM92" s="1742"/>
      <c r="DN92" s="1742"/>
      <c r="DO92" s="1742"/>
      <c r="DP92" s="1742"/>
      <c r="DQ92" s="1742"/>
      <c r="DR92" s="1742"/>
      <c r="DS92" s="1742"/>
      <c r="DT92" s="1742"/>
      <c r="DU92" s="1742"/>
      <c r="DV92" s="1742"/>
      <c r="DW92" s="1742"/>
      <c r="DX92" s="1742"/>
      <c r="DY92" s="1742"/>
      <c r="DZ92" s="1742"/>
      <c r="EA92" s="1742"/>
      <c r="EB92" s="1742"/>
      <c r="EC92" s="1742"/>
      <c r="ED92" s="1742"/>
      <c r="EE92" s="1742"/>
      <c r="EF92" s="1742"/>
      <c r="EG92" s="1742"/>
      <c r="EH92" s="1742"/>
      <c r="EI92" s="1742"/>
      <c r="EJ92" s="1742"/>
      <c r="EK92" s="1742"/>
      <c r="EL92" s="1742"/>
      <c r="EM92" s="1742"/>
      <c r="EN92" s="1742"/>
      <c r="EO92" s="1742"/>
      <c r="EP92" s="1742"/>
      <c r="EQ92" s="1742"/>
      <c r="ER92" s="1742"/>
      <c r="ES92" s="1742"/>
      <c r="ET92" s="1742"/>
      <c r="EU92" s="1742"/>
      <c r="EV92" s="1742"/>
      <c r="EW92" s="1742"/>
      <c r="EX92" s="1742"/>
      <c r="EY92" s="1742"/>
      <c r="EZ92" s="1742"/>
      <c r="FA92" s="1742"/>
      <c r="FB92" s="1742"/>
      <c r="FC92" s="1742"/>
      <c r="FD92" s="1742"/>
      <c r="FE92" s="1742"/>
    </row>
    <row r="93" spans="1:161" s="1743" customFormat="1">
      <c r="A93" s="1791" t="s">
        <v>780</v>
      </c>
      <c r="B93" s="1781" t="s">
        <v>830</v>
      </c>
      <c r="C93" s="1792"/>
      <c r="D93" s="1794"/>
      <c r="E93" s="1794"/>
      <c r="F93" s="1742"/>
      <c r="G93" s="1742"/>
      <c r="H93" s="1742"/>
      <c r="I93" s="1742"/>
      <c r="J93" s="1742"/>
      <c r="K93" s="1742"/>
      <c r="L93" s="1742"/>
      <c r="M93" s="1742"/>
      <c r="N93" s="1742"/>
      <c r="O93" s="1742"/>
      <c r="P93" s="1742"/>
      <c r="Q93" s="1742"/>
      <c r="R93" s="1742"/>
      <c r="S93" s="1742"/>
      <c r="T93" s="1742"/>
      <c r="U93" s="1742"/>
      <c r="V93" s="1742"/>
      <c r="W93" s="1742"/>
      <c r="X93" s="1742"/>
      <c r="Y93" s="1742"/>
      <c r="Z93" s="1742"/>
      <c r="AA93" s="1742"/>
      <c r="AB93" s="1742"/>
      <c r="AC93" s="1742"/>
      <c r="AD93" s="1742"/>
      <c r="AE93" s="1742"/>
      <c r="AF93" s="1742"/>
      <c r="AG93" s="1742"/>
      <c r="AH93" s="1742"/>
      <c r="AI93" s="1742"/>
      <c r="AJ93" s="1742"/>
      <c r="AK93" s="1742"/>
      <c r="AL93" s="1742"/>
      <c r="AM93" s="1742"/>
      <c r="AN93" s="1742"/>
      <c r="AO93" s="1742"/>
      <c r="AP93" s="1742"/>
      <c r="AQ93" s="1742"/>
      <c r="AR93" s="1742"/>
      <c r="AS93" s="1742"/>
      <c r="AT93" s="1742"/>
      <c r="AU93" s="1742"/>
      <c r="AV93" s="1742"/>
      <c r="AW93" s="1742"/>
      <c r="AX93" s="1742"/>
      <c r="AY93" s="1742"/>
      <c r="AZ93" s="1742"/>
      <c r="BA93" s="1742"/>
      <c r="BB93" s="1742"/>
      <c r="BC93" s="1742"/>
      <c r="BD93" s="1742"/>
      <c r="BE93" s="1742"/>
      <c r="BF93" s="1742"/>
      <c r="BG93" s="1742"/>
      <c r="BH93" s="1742"/>
      <c r="BI93" s="1742"/>
      <c r="BJ93" s="1742"/>
      <c r="BK93" s="1742"/>
      <c r="BL93" s="1742"/>
      <c r="BM93" s="1742"/>
      <c r="BN93" s="1742"/>
      <c r="BO93" s="1742"/>
      <c r="BP93" s="1742"/>
      <c r="BQ93" s="1742"/>
      <c r="BR93" s="1742"/>
      <c r="BS93" s="1742"/>
      <c r="BT93" s="1742"/>
      <c r="BU93" s="1742"/>
      <c r="BV93" s="1742"/>
      <c r="BW93" s="1742"/>
      <c r="BX93" s="1742"/>
      <c r="BY93" s="1742"/>
      <c r="BZ93" s="1742"/>
      <c r="CA93" s="1742"/>
      <c r="CB93" s="1742"/>
      <c r="CC93" s="1742"/>
      <c r="CD93" s="1742"/>
      <c r="CE93" s="1742"/>
      <c r="CF93" s="1742"/>
      <c r="CG93" s="1742"/>
      <c r="CH93" s="1742"/>
      <c r="CI93" s="1742"/>
      <c r="CJ93" s="1742"/>
      <c r="CK93" s="1742"/>
      <c r="CL93" s="1742"/>
      <c r="CM93" s="1742"/>
      <c r="CN93" s="1742"/>
      <c r="CO93" s="1742"/>
      <c r="CP93" s="1742"/>
      <c r="CQ93" s="1742"/>
      <c r="CR93" s="1742"/>
      <c r="CS93" s="1742"/>
      <c r="CT93" s="1742"/>
      <c r="CU93" s="1742"/>
      <c r="CV93" s="1742"/>
      <c r="CW93" s="1742"/>
      <c r="CX93" s="1742"/>
      <c r="CY93" s="1742"/>
      <c r="CZ93" s="1742"/>
      <c r="DA93" s="1742"/>
      <c r="DB93" s="1742"/>
      <c r="DC93" s="1742"/>
      <c r="DD93" s="1742"/>
      <c r="DE93" s="1742"/>
      <c r="DF93" s="1742"/>
      <c r="DG93" s="1742"/>
      <c r="DH93" s="1742"/>
      <c r="DI93" s="1742"/>
      <c r="DJ93" s="1742"/>
      <c r="DK93" s="1742"/>
      <c r="DL93" s="1742"/>
      <c r="DM93" s="1742"/>
      <c r="DN93" s="1742"/>
      <c r="DO93" s="1742"/>
      <c r="DP93" s="1742"/>
      <c r="DQ93" s="1742"/>
      <c r="DR93" s="1742"/>
      <c r="DS93" s="1742"/>
      <c r="DT93" s="1742"/>
      <c r="DU93" s="1742"/>
      <c r="DV93" s="1742"/>
      <c r="DW93" s="1742"/>
      <c r="DX93" s="1742"/>
      <c r="DY93" s="1742"/>
      <c r="DZ93" s="1742"/>
      <c r="EA93" s="1742"/>
      <c r="EB93" s="1742"/>
      <c r="EC93" s="1742"/>
      <c r="ED93" s="1742"/>
      <c r="EE93" s="1742"/>
      <c r="EF93" s="1742"/>
      <c r="EG93" s="1742"/>
      <c r="EH93" s="1742"/>
      <c r="EI93" s="1742"/>
      <c r="EJ93" s="1742"/>
      <c r="EK93" s="1742"/>
      <c r="EL93" s="1742"/>
      <c r="EM93" s="1742"/>
      <c r="EN93" s="1742"/>
      <c r="EO93" s="1742"/>
      <c r="EP93" s="1742"/>
      <c r="EQ93" s="1742"/>
      <c r="ER93" s="1742"/>
      <c r="ES93" s="1742"/>
      <c r="ET93" s="1742"/>
      <c r="EU93" s="1742"/>
      <c r="EV93" s="1742"/>
      <c r="EW93" s="1742"/>
      <c r="EX93" s="1742"/>
      <c r="EY93" s="1742"/>
      <c r="EZ93" s="1742"/>
      <c r="FA93" s="1742"/>
      <c r="FB93" s="1742"/>
      <c r="FC93" s="1742"/>
      <c r="FD93" s="1742"/>
      <c r="FE93" s="1742"/>
    </row>
    <row r="94" spans="1:161" s="1743" customFormat="1">
      <c r="A94" s="1791" t="s">
        <v>781</v>
      </c>
      <c r="B94" s="1781" t="s">
        <v>207</v>
      </c>
      <c r="C94" s="1792" t="s">
        <v>1</v>
      </c>
      <c r="D94" s="1794"/>
      <c r="E94" s="1794"/>
      <c r="F94" s="1742"/>
      <c r="G94" s="1742"/>
      <c r="H94" s="1742"/>
      <c r="I94" s="1742"/>
      <c r="J94" s="1742"/>
      <c r="K94" s="1742"/>
      <c r="L94" s="1742"/>
      <c r="M94" s="1742"/>
      <c r="N94" s="1742"/>
      <c r="O94" s="1742"/>
      <c r="P94" s="1742"/>
      <c r="Q94" s="1742"/>
      <c r="R94" s="1742"/>
      <c r="S94" s="1742"/>
      <c r="T94" s="1742"/>
      <c r="U94" s="1742"/>
      <c r="V94" s="1742"/>
      <c r="W94" s="1742"/>
      <c r="X94" s="1742"/>
      <c r="Y94" s="1742"/>
      <c r="Z94" s="1742"/>
      <c r="AA94" s="1742"/>
      <c r="AB94" s="1742"/>
      <c r="AC94" s="1742"/>
      <c r="AD94" s="1742"/>
      <c r="AE94" s="1742"/>
      <c r="AF94" s="1742"/>
      <c r="AG94" s="1742"/>
      <c r="AH94" s="1742"/>
      <c r="AI94" s="1742"/>
      <c r="AJ94" s="1742"/>
      <c r="AK94" s="1742"/>
      <c r="AL94" s="1742"/>
      <c r="AM94" s="1742"/>
      <c r="AN94" s="1742"/>
      <c r="AO94" s="1742"/>
      <c r="AP94" s="1742"/>
      <c r="AQ94" s="1742"/>
      <c r="AR94" s="1742"/>
      <c r="AS94" s="1742"/>
      <c r="AT94" s="1742"/>
      <c r="AU94" s="1742"/>
      <c r="AV94" s="1742"/>
      <c r="AW94" s="1742"/>
      <c r="AX94" s="1742"/>
      <c r="AY94" s="1742"/>
      <c r="AZ94" s="1742"/>
      <c r="BA94" s="1742"/>
      <c r="BB94" s="1742"/>
      <c r="BC94" s="1742"/>
      <c r="BD94" s="1742"/>
      <c r="BE94" s="1742"/>
      <c r="BF94" s="1742"/>
      <c r="BG94" s="1742"/>
      <c r="BH94" s="1742"/>
      <c r="BI94" s="1742"/>
      <c r="BJ94" s="1742"/>
      <c r="BK94" s="1742"/>
      <c r="BL94" s="1742"/>
      <c r="BM94" s="1742"/>
      <c r="BN94" s="1742"/>
      <c r="BO94" s="1742"/>
      <c r="BP94" s="1742"/>
      <c r="BQ94" s="1742"/>
      <c r="BR94" s="1742"/>
      <c r="BS94" s="1742"/>
      <c r="BT94" s="1742"/>
      <c r="BU94" s="1742"/>
      <c r="BV94" s="1742"/>
      <c r="BW94" s="1742"/>
      <c r="BX94" s="1742"/>
      <c r="BY94" s="1742"/>
      <c r="BZ94" s="1742"/>
      <c r="CA94" s="1742"/>
      <c r="CB94" s="1742"/>
      <c r="CC94" s="1742"/>
      <c r="CD94" s="1742"/>
      <c r="CE94" s="1742"/>
      <c r="CF94" s="1742"/>
      <c r="CG94" s="1742"/>
      <c r="CH94" s="1742"/>
      <c r="CI94" s="1742"/>
      <c r="CJ94" s="1742"/>
      <c r="CK94" s="1742"/>
      <c r="CL94" s="1742"/>
      <c r="CM94" s="1742"/>
      <c r="CN94" s="1742"/>
      <c r="CO94" s="1742"/>
      <c r="CP94" s="1742"/>
      <c r="CQ94" s="1742"/>
      <c r="CR94" s="1742"/>
      <c r="CS94" s="1742"/>
      <c r="CT94" s="1742"/>
      <c r="CU94" s="1742"/>
      <c r="CV94" s="1742"/>
      <c r="CW94" s="1742"/>
      <c r="CX94" s="1742"/>
      <c r="CY94" s="1742"/>
      <c r="CZ94" s="1742"/>
      <c r="DA94" s="1742"/>
      <c r="DB94" s="1742"/>
      <c r="DC94" s="1742"/>
      <c r="DD94" s="1742"/>
      <c r="DE94" s="1742"/>
      <c r="DF94" s="1742"/>
      <c r="DG94" s="1742"/>
      <c r="DH94" s="1742"/>
      <c r="DI94" s="1742"/>
      <c r="DJ94" s="1742"/>
      <c r="DK94" s="1742"/>
      <c r="DL94" s="1742"/>
      <c r="DM94" s="1742"/>
      <c r="DN94" s="1742"/>
      <c r="DO94" s="1742"/>
      <c r="DP94" s="1742"/>
      <c r="DQ94" s="1742"/>
      <c r="DR94" s="1742"/>
      <c r="DS94" s="1742"/>
      <c r="DT94" s="1742"/>
      <c r="DU94" s="1742"/>
      <c r="DV94" s="1742"/>
      <c r="DW94" s="1742"/>
      <c r="DX94" s="1742"/>
      <c r="DY94" s="1742"/>
      <c r="DZ94" s="1742"/>
      <c r="EA94" s="1742"/>
      <c r="EB94" s="1742"/>
      <c r="EC94" s="1742"/>
      <c r="ED94" s="1742"/>
      <c r="EE94" s="1742"/>
      <c r="EF94" s="1742"/>
      <c r="EG94" s="1742"/>
      <c r="EH94" s="1742"/>
      <c r="EI94" s="1742"/>
      <c r="EJ94" s="1742"/>
      <c r="EK94" s="1742"/>
      <c r="EL94" s="1742"/>
      <c r="EM94" s="1742"/>
      <c r="EN94" s="1742"/>
      <c r="EO94" s="1742"/>
      <c r="EP94" s="1742"/>
      <c r="EQ94" s="1742"/>
      <c r="ER94" s="1742"/>
      <c r="ES94" s="1742"/>
      <c r="ET94" s="1742"/>
      <c r="EU94" s="1742"/>
      <c r="EV94" s="1742"/>
      <c r="EW94" s="1742"/>
      <c r="EX94" s="1742"/>
      <c r="EY94" s="1742"/>
      <c r="EZ94" s="1742"/>
      <c r="FA94" s="1742"/>
      <c r="FB94" s="1742"/>
      <c r="FC94" s="1742"/>
      <c r="FD94" s="1742"/>
      <c r="FE94" s="1742"/>
    </row>
    <row r="95" spans="1:161" s="1743" customFormat="1">
      <c r="A95" s="1791" t="s">
        <v>782</v>
      </c>
      <c r="B95" s="1781" t="s">
        <v>583</v>
      </c>
      <c r="C95" s="1792" t="s">
        <v>1</v>
      </c>
      <c r="D95" s="1794"/>
      <c r="E95" s="1794"/>
      <c r="F95" s="1742"/>
      <c r="G95" s="1742"/>
      <c r="H95" s="1742"/>
      <c r="I95" s="1742"/>
      <c r="J95" s="1742"/>
      <c r="K95" s="1742"/>
      <c r="L95" s="1742"/>
      <c r="M95" s="1742"/>
      <c r="N95" s="1742"/>
      <c r="O95" s="1742"/>
      <c r="P95" s="1742"/>
      <c r="Q95" s="1742"/>
      <c r="R95" s="1742"/>
      <c r="S95" s="1742"/>
      <c r="T95" s="1742"/>
      <c r="U95" s="1742"/>
      <c r="V95" s="1742"/>
      <c r="W95" s="1742"/>
      <c r="X95" s="1742"/>
      <c r="Y95" s="1742"/>
      <c r="Z95" s="1742"/>
      <c r="AA95" s="1742"/>
      <c r="AB95" s="1742"/>
      <c r="AC95" s="1742"/>
      <c r="AD95" s="1742"/>
      <c r="AE95" s="1742"/>
      <c r="AF95" s="1742"/>
      <c r="AG95" s="1742"/>
      <c r="AH95" s="1742"/>
      <c r="AI95" s="1742"/>
      <c r="AJ95" s="1742"/>
      <c r="AK95" s="1742"/>
      <c r="AL95" s="1742"/>
      <c r="AM95" s="1742"/>
      <c r="AN95" s="1742"/>
      <c r="AO95" s="1742"/>
      <c r="AP95" s="1742"/>
      <c r="AQ95" s="1742"/>
      <c r="AR95" s="1742"/>
      <c r="AS95" s="1742"/>
      <c r="AT95" s="1742"/>
      <c r="AU95" s="1742"/>
      <c r="AV95" s="1742"/>
      <c r="AW95" s="1742"/>
      <c r="AX95" s="1742"/>
      <c r="AY95" s="1742"/>
      <c r="AZ95" s="1742"/>
      <c r="BA95" s="1742"/>
      <c r="BB95" s="1742"/>
      <c r="BC95" s="1742"/>
      <c r="BD95" s="1742"/>
      <c r="BE95" s="1742"/>
      <c r="BF95" s="1742"/>
      <c r="BG95" s="1742"/>
      <c r="BH95" s="1742"/>
      <c r="BI95" s="1742"/>
      <c r="BJ95" s="1742"/>
      <c r="BK95" s="1742"/>
      <c r="BL95" s="1742"/>
      <c r="BM95" s="1742"/>
      <c r="BN95" s="1742"/>
      <c r="BO95" s="1742"/>
      <c r="BP95" s="1742"/>
      <c r="BQ95" s="1742"/>
      <c r="BR95" s="1742"/>
      <c r="BS95" s="1742"/>
      <c r="BT95" s="1742"/>
      <c r="BU95" s="1742"/>
      <c r="BV95" s="1742"/>
      <c r="BW95" s="1742"/>
      <c r="BX95" s="1742"/>
      <c r="BY95" s="1742"/>
      <c r="BZ95" s="1742"/>
      <c r="CA95" s="1742"/>
      <c r="CB95" s="1742"/>
      <c r="CC95" s="1742"/>
      <c r="CD95" s="1742"/>
      <c r="CE95" s="1742"/>
      <c r="CF95" s="1742"/>
      <c r="CG95" s="1742"/>
      <c r="CH95" s="1742"/>
      <c r="CI95" s="1742"/>
      <c r="CJ95" s="1742"/>
      <c r="CK95" s="1742"/>
      <c r="CL95" s="1742"/>
      <c r="CM95" s="1742"/>
      <c r="CN95" s="1742"/>
      <c r="CO95" s="1742"/>
      <c r="CP95" s="1742"/>
      <c r="CQ95" s="1742"/>
      <c r="CR95" s="1742"/>
      <c r="CS95" s="1742"/>
      <c r="CT95" s="1742"/>
      <c r="CU95" s="1742"/>
      <c r="CV95" s="1742"/>
      <c r="CW95" s="1742"/>
      <c r="CX95" s="1742"/>
      <c r="CY95" s="1742"/>
      <c r="CZ95" s="1742"/>
      <c r="DA95" s="1742"/>
      <c r="DB95" s="1742"/>
      <c r="DC95" s="1742"/>
      <c r="DD95" s="1742"/>
      <c r="DE95" s="1742"/>
      <c r="DF95" s="1742"/>
      <c r="DG95" s="1742"/>
      <c r="DH95" s="1742"/>
      <c r="DI95" s="1742"/>
      <c r="DJ95" s="1742"/>
      <c r="DK95" s="1742"/>
      <c r="DL95" s="1742"/>
      <c r="DM95" s="1742"/>
      <c r="DN95" s="1742"/>
      <c r="DO95" s="1742"/>
      <c r="DP95" s="1742"/>
      <c r="DQ95" s="1742"/>
      <c r="DR95" s="1742"/>
      <c r="DS95" s="1742"/>
      <c r="DT95" s="1742"/>
      <c r="DU95" s="1742"/>
      <c r="DV95" s="1742"/>
      <c r="DW95" s="1742"/>
      <c r="DX95" s="1742"/>
      <c r="DY95" s="1742"/>
      <c r="DZ95" s="1742"/>
      <c r="EA95" s="1742"/>
      <c r="EB95" s="1742"/>
      <c r="EC95" s="1742"/>
      <c r="ED95" s="1742"/>
      <c r="EE95" s="1742"/>
      <c r="EF95" s="1742"/>
      <c r="EG95" s="1742"/>
      <c r="EH95" s="1742"/>
      <c r="EI95" s="1742"/>
      <c r="EJ95" s="1742"/>
      <c r="EK95" s="1742"/>
      <c r="EL95" s="1742"/>
      <c r="EM95" s="1742"/>
      <c r="EN95" s="1742"/>
      <c r="EO95" s="1742"/>
      <c r="EP95" s="1742"/>
      <c r="EQ95" s="1742"/>
      <c r="ER95" s="1742"/>
      <c r="ES95" s="1742"/>
      <c r="ET95" s="1742"/>
      <c r="EU95" s="1742"/>
      <c r="EV95" s="1742"/>
      <c r="EW95" s="1742"/>
      <c r="EX95" s="1742"/>
      <c r="EY95" s="1742"/>
      <c r="EZ95" s="1742"/>
      <c r="FA95" s="1742"/>
      <c r="FB95" s="1742"/>
      <c r="FC95" s="1742"/>
      <c r="FD95" s="1742"/>
      <c r="FE95" s="1742"/>
    </row>
    <row r="96" spans="1:161" s="1743" customFormat="1">
      <c r="A96" s="1791" t="s">
        <v>783</v>
      </c>
      <c r="B96" s="1781" t="s">
        <v>588</v>
      </c>
      <c r="C96" s="1792" t="s">
        <v>1</v>
      </c>
      <c r="D96" s="1794"/>
      <c r="E96" s="1794"/>
      <c r="F96" s="1742"/>
      <c r="G96" s="1742"/>
      <c r="H96" s="1742"/>
      <c r="I96" s="1742"/>
      <c r="J96" s="1742"/>
      <c r="K96" s="1742"/>
      <c r="L96" s="1742"/>
      <c r="M96" s="1742"/>
      <c r="N96" s="1742"/>
      <c r="O96" s="1742"/>
      <c r="P96" s="1742"/>
      <c r="Q96" s="1742"/>
      <c r="R96" s="1742"/>
      <c r="S96" s="1742"/>
      <c r="T96" s="1742"/>
      <c r="U96" s="1742"/>
      <c r="V96" s="1742"/>
      <c r="W96" s="1742"/>
      <c r="X96" s="1742"/>
      <c r="Y96" s="1742"/>
      <c r="Z96" s="1742"/>
      <c r="AA96" s="1742"/>
      <c r="AB96" s="1742"/>
      <c r="AC96" s="1742"/>
      <c r="AD96" s="1742"/>
      <c r="AE96" s="1742"/>
      <c r="AF96" s="1742"/>
      <c r="AG96" s="1742"/>
      <c r="AH96" s="1742"/>
      <c r="AI96" s="1742"/>
      <c r="AJ96" s="1742"/>
      <c r="AK96" s="1742"/>
      <c r="AL96" s="1742"/>
      <c r="AM96" s="1742"/>
      <c r="AN96" s="1742"/>
      <c r="AO96" s="1742"/>
      <c r="AP96" s="1742"/>
      <c r="AQ96" s="1742"/>
      <c r="AR96" s="1742"/>
      <c r="AS96" s="1742"/>
      <c r="AT96" s="1742"/>
      <c r="AU96" s="1742"/>
      <c r="AV96" s="1742"/>
      <c r="AW96" s="1742"/>
      <c r="AX96" s="1742"/>
      <c r="AY96" s="1742"/>
      <c r="AZ96" s="1742"/>
      <c r="BA96" s="1742"/>
      <c r="BB96" s="1742"/>
      <c r="BC96" s="1742"/>
      <c r="BD96" s="1742"/>
      <c r="BE96" s="1742"/>
      <c r="BF96" s="1742"/>
      <c r="BG96" s="1742"/>
      <c r="BH96" s="1742"/>
      <c r="BI96" s="1742"/>
      <c r="BJ96" s="1742"/>
      <c r="BK96" s="1742"/>
      <c r="BL96" s="1742"/>
      <c r="BM96" s="1742"/>
      <c r="BN96" s="1742"/>
      <c r="BO96" s="1742"/>
      <c r="BP96" s="1742"/>
      <c r="BQ96" s="1742"/>
      <c r="BR96" s="1742"/>
      <c r="BS96" s="1742"/>
      <c r="BT96" s="1742"/>
      <c r="BU96" s="1742"/>
      <c r="BV96" s="1742"/>
      <c r="BW96" s="1742"/>
      <c r="BX96" s="1742"/>
      <c r="BY96" s="1742"/>
      <c r="BZ96" s="1742"/>
      <c r="CA96" s="1742"/>
      <c r="CB96" s="1742"/>
      <c r="CC96" s="1742"/>
      <c r="CD96" s="1742"/>
      <c r="CE96" s="1742"/>
      <c r="CF96" s="1742"/>
      <c r="CG96" s="1742"/>
      <c r="CH96" s="1742"/>
      <c r="CI96" s="1742"/>
      <c r="CJ96" s="1742"/>
      <c r="CK96" s="1742"/>
      <c r="CL96" s="1742"/>
      <c r="CM96" s="1742"/>
      <c r="CN96" s="1742"/>
      <c r="CO96" s="1742"/>
      <c r="CP96" s="1742"/>
      <c r="CQ96" s="1742"/>
      <c r="CR96" s="1742"/>
      <c r="CS96" s="1742"/>
      <c r="CT96" s="1742"/>
      <c r="CU96" s="1742"/>
      <c r="CV96" s="1742"/>
      <c r="CW96" s="1742"/>
      <c r="CX96" s="1742"/>
      <c r="CY96" s="1742"/>
      <c r="CZ96" s="1742"/>
      <c r="DA96" s="1742"/>
      <c r="DB96" s="1742"/>
      <c r="DC96" s="1742"/>
      <c r="DD96" s="1742"/>
      <c r="DE96" s="1742"/>
      <c r="DF96" s="1742"/>
      <c r="DG96" s="1742"/>
      <c r="DH96" s="1742"/>
      <c r="DI96" s="1742"/>
      <c r="DJ96" s="1742"/>
      <c r="DK96" s="1742"/>
      <c r="DL96" s="1742"/>
      <c r="DM96" s="1742"/>
      <c r="DN96" s="1742"/>
      <c r="DO96" s="1742"/>
      <c r="DP96" s="1742"/>
      <c r="DQ96" s="1742"/>
      <c r="DR96" s="1742"/>
      <c r="DS96" s="1742"/>
      <c r="DT96" s="1742"/>
      <c r="DU96" s="1742"/>
      <c r="DV96" s="1742"/>
      <c r="DW96" s="1742"/>
      <c r="DX96" s="1742"/>
      <c r="DY96" s="1742"/>
      <c r="DZ96" s="1742"/>
      <c r="EA96" s="1742"/>
      <c r="EB96" s="1742"/>
      <c r="EC96" s="1742"/>
      <c r="ED96" s="1742"/>
      <c r="EE96" s="1742"/>
      <c r="EF96" s="1742"/>
      <c r="EG96" s="1742"/>
      <c r="EH96" s="1742"/>
      <c r="EI96" s="1742"/>
      <c r="EJ96" s="1742"/>
      <c r="EK96" s="1742"/>
      <c r="EL96" s="1742"/>
      <c r="EM96" s="1742"/>
      <c r="EN96" s="1742"/>
      <c r="EO96" s="1742"/>
      <c r="EP96" s="1742"/>
      <c r="EQ96" s="1742"/>
      <c r="ER96" s="1742"/>
      <c r="ES96" s="1742"/>
      <c r="ET96" s="1742"/>
      <c r="EU96" s="1742"/>
      <c r="EV96" s="1742"/>
      <c r="EW96" s="1742"/>
      <c r="EX96" s="1742"/>
      <c r="EY96" s="1742"/>
      <c r="EZ96" s="1742"/>
      <c r="FA96" s="1742"/>
      <c r="FB96" s="1742"/>
      <c r="FC96" s="1742"/>
      <c r="FD96" s="1742"/>
      <c r="FE96" s="1742"/>
    </row>
    <row r="97" spans="1:161" s="1747" customFormat="1">
      <c r="A97" s="1791">
        <v>512</v>
      </c>
      <c r="B97" s="1781" t="s">
        <v>831</v>
      </c>
      <c r="C97" s="1792"/>
      <c r="D97" s="1794"/>
      <c r="E97" s="1794"/>
      <c r="F97" s="1746"/>
      <c r="G97" s="1746"/>
      <c r="H97" s="1746"/>
      <c r="I97" s="1746"/>
      <c r="J97" s="1746"/>
      <c r="K97" s="1746"/>
      <c r="L97" s="1746"/>
      <c r="M97" s="1746"/>
      <c r="N97" s="1746"/>
      <c r="O97" s="1746"/>
      <c r="P97" s="1746"/>
      <c r="Q97" s="1746"/>
      <c r="R97" s="1746"/>
      <c r="S97" s="1746"/>
      <c r="T97" s="1746"/>
      <c r="U97" s="1746"/>
      <c r="V97" s="1746"/>
      <c r="W97" s="1746"/>
      <c r="X97" s="1746"/>
      <c r="Y97" s="1746"/>
      <c r="Z97" s="1746"/>
      <c r="AA97" s="1746"/>
      <c r="AB97" s="1746"/>
      <c r="AC97" s="1746"/>
      <c r="AD97" s="1746"/>
      <c r="AE97" s="1746"/>
      <c r="AF97" s="1746"/>
      <c r="AG97" s="1746"/>
      <c r="AH97" s="1746"/>
      <c r="AI97" s="1746"/>
      <c r="AJ97" s="1746"/>
      <c r="AK97" s="1746"/>
      <c r="AL97" s="1746"/>
      <c r="AM97" s="1746"/>
      <c r="AN97" s="1746"/>
      <c r="AO97" s="1746"/>
      <c r="AP97" s="1746"/>
      <c r="AQ97" s="1746"/>
      <c r="AR97" s="1746"/>
      <c r="AS97" s="1746"/>
      <c r="AT97" s="1746"/>
      <c r="AU97" s="1746"/>
      <c r="AV97" s="1746"/>
      <c r="AW97" s="1746"/>
      <c r="AX97" s="1746"/>
      <c r="AY97" s="1746"/>
      <c r="AZ97" s="1746"/>
      <c r="BA97" s="1746"/>
      <c r="BB97" s="1746"/>
      <c r="BC97" s="1746"/>
      <c r="BD97" s="1746"/>
      <c r="BE97" s="1746"/>
      <c r="BF97" s="1746"/>
      <c r="BG97" s="1746"/>
      <c r="BH97" s="1746"/>
      <c r="BI97" s="1746"/>
      <c r="BJ97" s="1746"/>
      <c r="BK97" s="1746"/>
      <c r="BL97" s="1746"/>
      <c r="BM97" s="1746"/>
      <c r="BN97" s="1746"/>
      <c r="BO97" s="1746"/>
      <c r="BP97" s="1746"/>
      <c r="BQ97" s="1746"/>
      <c r="BR97" s="1746"/>
      <c r="BS97" s="1746"/>
      <c r="BT97" s="1746"/>
      <c r="BU97" s="1746"/>
      <c r="BV97" s="1746"/>
      <c r="BW97" s="1746"/>
      <c r="BX97" s="1746"/>
      <c r="BY97" s="1746"/>
      <c r="BZ97" s="1746"/>
      <c r="CA97" s="1746"/>
      <c r="CB97" s="1746"/>
      <c r="CC97" s="1746"/>
      <c r="CD97" s="1746"/>
      <c r="CE97" s="1746"/>
      <c r="CF97" s="1746"/>
      <c r="CG97" s="1746"/>
      <c r="CH97" s="1746"/>
      <c r="CI97" s="1746"/>
      <c r="CJ97" s="1746"/>
      <c r="CK97" s="1746"/>
      <c r="CL97" s="1746"/>
      <c r="CM97" s="1746"/>
      <c r="CN97" s="1746"/>
      <c r="CO97" s="1746"/>
      <c r="CP97" s="1746"/>
      <c r="CQ97" s="1746"/>
      <c r="CR97" s="1746"/>
      <c r="CS97" s="1746"/>
      <c r="CT97" s="1746"/>
      <c r="CU97" s="1746"/>
      <c r="CV97" s="1746"/>
      <c r="CW97" s="1746"/>
      <c r="CX97" s="1746"/>
      <c r="CY97" s="1746"/>
      <c r="CZ97" s="1746"/>
      <c r="DA97" s="1746"/>
      <c r="DB97" s="1746"/>
      <c r="DC97" s="1746"/>
      <c r="DD97" s="1746"/>
      <c r="DE97" s="1746"/>
      <c r="DF97" s="1746"/>
      <c r="DG97" s="1746"/>
      <c r="DH97" s="1746"/>
      <c r="DI97" s="1746"/>
      <c r="DJ97" s="1746"/>
      <c r="DK97" s="1746"/>
      <c r="DL97" s="1746"/>
      <c r="DM97" s="1746"/>
      <c r="DN97" s="1746"/>
      <c r="DO97" s="1746"/>
      <c r="DP97" s="1746"/>
      <c r="DQ97" s="1746"/>
      <c r="DR97" s="1746"/>
      <c r="DS97" s="1746"/>
      <c r="DT97" s="1746"/>
      <c r="DU97" s="1746"/>
      <c r="DV97" s="1746"/>
      <c r="DW97" s="1746"/>
      <c r="DX97" s="1746"/>
      <c r="DY97" s="1746"/>
      <c r="DZ97" s="1746"/>
      <c r="EA97" s="1746"/>
      <c r="EB97" s="1746"/>
      <c r="EC97" s="1746"/>
      <c r="ED97" s="1746"/>
      <c r="EE97" s="1746"/>
      <c r="EF97" s="1746"/>
      <c r="EG97" s="1746"/>
      <c r="EH97" s="1746"/>
      <c r="EI97" s="1746"/>
      <c r="EJ97" s="1746"/>
      <c r="EK97" s="1746"/>
      <c r="EL97" s="1746"/>
      <c r="EM97" s="1746"/>
      <c r="EN97" s="1746"/>
      <c r="EO97" s="1746"/>
      <c r="EP97" s="1746"/>
      <c r="EQ97" s="1746"/>
      <c r="ER97" s="1746"/>
      <c r="ES97" s="1746"/>
      <c r="ET97" s="1746"/>
      <c r="EU97" s="1746"/>
      <c r="EV97" s="1746"/>
      <c r="EW97" s="1746"/>
      <c r="EX97" s="1746"/>
      <c r="EY97" s="1746"/>
      <c r="EZ97" s="1746"/>
      <c r="FA97" s="1746"/>
      <c r="FB97" s="1746"/>
      <c r="FC97" s="1746"/>
      <c r="FD97" s="1746"/>
      <c r="FE97" s="1746"/>
    </row>
    <row r="98" spans="1:161" s="1743" customFormat="1">
      <c r="A98" s="1791" t="s">
        <v>589</v>
      </c>
      <c r="B98" s="1781" t="s">
        <v>516</v>
      </c>
      <c r="C98" s="1792" t="s">
        <v>1</v>
      </c>
      <c r="D98" s="1784"/>
      <c r="E98" s="1794"/>
      <c r="F98" s="1742"/>
      <c r="G98" s="1742"/>
      <c r="H98" s="1742"/>
      <c r="I98" s="1742"/>
      <c r="J98" s="1742"/>
      <c r="K98" s="1742"/>
      <c r="L98" s="1742"/>
      <c r="M98" s="1742"/>
      <c r="N98" s="1742"/>
      <c r="O98" s="1742"/>
      <c r="P98" s="1742"/>
      <c r="Q98" s="1742"/>
      <c r="R98" s="1742"/>
      <c r="S98" s="1742"/>
      <c r="T98" s="1742"/>
      <c r="U98" s="1742"/>
      <c r="V98" s="1742"/>
      <c r="W98" s="1742"/>
      <c r="X98" s="1742"/>
      <c r="Y98" s="1742"/>
      <c r="Z98" s="1742"/>
      <c r="AA98" s="1742"/>
      <c r="AB98" s="1742"/>
      <c r="AC98" s="1742"/>
      <c r="AD98" s="1742"/>
      <c r="AE98" s="1742"/>
      <c r="AF98" s="1742"/>
      <c r="AG98" s="1742"/>
      <c r="AH98" s="1742"/>
      <c r="AI98" s="1742"/>
      <c r="AJ98" s="1742"/>
      <c r="AK98" s="1742"/>
      <c r="AL98" s="1742"/>
      <c r="AM98" s="1742"/>
      <c r="AN98" s="1742"/>
      <c r="AO98" s="1742"/>
      <c r="AP98" s="1742"/>
      <c r="AQ98" s="1742"/>
      <c r="AR98" s="1742"/>
      <c r="AS98" s="1742"/>
      <c r="AT98" s="1742"/>
      <c r="AU98" s="1742"/>
      <c r="AV98" s="1742"/>
      <c r="AW98" s="1742"/>
      <c r="AX98" s="1742"/>
      <c r="AY98" s="1742"/>
      <c r="AZ98" s="1742"/>
      <c r="BA98" s="1742"/>
      <c r="BB98" s="1742"/>
      <c r="BC98" s="1742"/>
      <c r="BD98" s="1742"/>
      <c r="BE98" s="1742"/>
      <c r="BF98" s="1742"/>
      <c r="BG98" s="1742"/>
      <c r="BH98" s="1742"/>
      <c r="BI98" s="1742"/>
      <c r="BJ98" s="1742"/>
      <c r="BK98" s="1742"/>
      <c r="BL98" s="1742"/>
      <c r="BM98" s="1742"/>
      <c r="BN98" s="1742"/>
      <c r="BO98" s="1742"/>
      <c r="BP98" s="1742"/>
      <c r="BQ98" s="1742"/>
      <c r="BR98" s="1742"/>
      <c r="BS98" s="1742"/>
      <c r="BT98" s="1742"/>
      <c r="BU98" s="1742"/>
      <c r="BV98" s="1742"/>
      <c r="BW98" s="1742"/>
      <c r="BX98" s="1742"/>
      <c r="BY98" s="1742"/>
      <c r="BZ98" s="1742"/>
      <c r="CA98" s="1742"/>
      <c r="CB98" s="1742"/>
      <c r="CC98" s="1742"/>
      <c r="CD98" s="1742"/>
      <c r="CE98" s="1742"/>
      <c r="CF98" s="1742"/>
      <c r="CG98" s="1742"/>
      <c r="CH98" s="1742"/>
      <c r="CI98" s="1742"/>
      <c r="CJ98" s="1742"/>
      <c r="CK98" s="1742"/>
      <c r="CL98" s="1742"/>
      <c r="CM98" s="1742"/>
      <c r="CN98" s="1742"/>
      <c r="CO98" s="1742"/>
      <c r="CP98" s="1742"/>
      <c r="CQ98" s="1742"/>
      <c r="CR98" s="1742"/>
      <c r="CS98" s="1742"/>
      <c r="CT98" s="1742"/>
      <c r="CU98" s="1742"/>
      <c r="CV98" s="1742"/>
      <c r="CW98" s="1742"/>
      <c r="CX98" s="1742"/>
      <c r="CY98" s="1742"/>
      <c r="CZ98" s="1742"/>
      <c r="DA98" s="1742"/>
      <c r="DB98" s="1742"/>
      <c r="DC98" s="1742"/>
      <c r="DD98" s="1742"/>
      <c r="DE98" s="1742"/>
      <c r="DF98" s="1742"/>
      <c r="DG98" s="1742"/>
      <c r="DH98" s="1742"/>
      <c r="DI98" s="1742"/>
      <c r="DJ98" s="1742"/>
      <c r="DK98" s="1742"/>
      <c r="DL98" s="1742"/>
      <c r="DM98" s="1742"/>
      <c r="DN98" s="1742"/>
      <c r="DO98" s="1742"/>
      <c r="DP98" s="1742"/>
      <c r="DQ98" s="1742"/>
      <c r="DR98" s="1742"/>
      <c r="DS98" s="1742"/>
      <c r="DT98" s="1742"/>
      <c r="DU98" s="1742"/>
      <c r="DV98" s="1742"/>
      <c r="DW98" s="1742"/>
      <c r="DX98" s="1742"/>
      <c r="DY98" s="1742"/>
      <c r="DZ98" s="1742"/>
      <c r="EA98" s="1742"/>
      <c r="EB98" s="1742"/>
      <c r="EC98" s="1742"/>
      <c r="ED98" s="1742"/>
      <c r="EE98" s="1742"/>
      <c r="EF98" s="1742"/>
      <c r="EG98" s="1742"/>
      <c r="EH98" s="1742"/>
      <c r="EI98" s="1742"/>
      <c r="EJ98" s="1742"/>
      <c r="EK98" s="1742"/>
      <c r="EL98" s="1742"/>
      <c r="EM98" s="1742"/>
      <c r="EN98" s="1742"/>
      <c r="EO98" s="1742"/>
      <c r="EP98" s="1742"/>
      <c r="EQ98" s="1742"/>
      <c r="ER98" s="1742"/>
      <c r="ES98" s="1742"/>
      <c r="ET98" s="1742"/>
      <c r="EU98" s="1742"/>
      <c r="EV98" s="1742"/>
      <c r="EW98" s="1742"/>
      <c r="EX98" s="1742"/>
      <c r="EY98" s="1742"/>
      <c r="EZ98" s="1742"/>
      <c r="FA98" s="1742"/>
      <c r="FB98" s="1742"/>
      <c r="FC98" s="1742"/>
      <c r="FD98" s="1742"/>
      <c r="FE98" s="1742"/>
    </row>
    <row r="99" spans="1:161" s="1747" customFormat="1">
      <c r="A99" s="1791" t="s">
        <v>219</v>
      </c>
      <c r="B99" s="1781" t="s">
        <v>832</v>
      </c>
      <c r="C99" s="1792" t="s">
        <v>27</v>
      </c>
      <c r="D99" s="1794"/>
      <c r="E99" s="1794"/>
      <c r="F99" s="1746"/>
      <c r="G99" s="1746"/>
      <c r="H99" s="1746"/>
      <c r="I99" s="1746"/>
      <c r="J99" s="1746"/>
      <c r="K99" s="1746"/>
      <c r="L99" s="1746"/>
      <c r="M99" s="1746"/>
      <c r="N99" s="1746"/>
      <c r="O99" s="1746"/>
      <c r="P99" s="1746"/>
      <c r="Q99" s="1746"/>
      <c r="R99" s="1746"/>
      <c r="S99" s="1746"/>
      <c r="T99" s="1746"/>
      <c r="U99" s="1746"/>
      <c r="V99" s="1746"/>
      <c r="W99" s="1746"/>
      <c r="X99" s="1746"/>
      <c r="Y99" s="1746"/>
      <c r="Z99" s="1746"/>
      <c r="AA99" s="1746"/>
      <c r="AB99" s="1746"/>
      <c r="AC99" s="1746"/>
      <c r="AD99" s="1746"/>
      <c r="AE99" s="1746"/>
      <c r="AF99" s="1746"/>
      <c r="AG99" s="1746"/>
      <c r="AH99" s="1746"/>
      <c r="AI99" s="1746"/>
      <c r="AJ99" s="1746"/>
      <c r="AK99" s="1746"/>
      <c r="AL99" s="1746"/>
      <c r="AM99" s="1746"/>
      <c r="AN99" s="1746"/>
      <c r="AO99" s="1746"/>
      <c r="AP99" s="1746"/>
      <c r="AQ99" s="1746"/>
      <c r="AR99" s="1746"/>
      <c r="AS99" s="1746"/>
      <c r="AT99" s="1746"/>
      <c r="AU99" s="1746"/>
      <c r="AV99" s="1746"/>
      <c r="AW99" s="1746"/>
      <c r="AX99" s="1746"/>
      <c r="AY99" s="1746"/>
      <c r="AZ99" s="1746"/>
      <c r="BA99" s="1746"/>
      <c r="BB99" s="1746"/>
      <c r="BC99" s="1746"/>
      <c r="BD99" s="1746"/>
      <c r="BE99" s="1746"/>
      <c r="BF99" s="1746"/>
      <c r="BG99" s="1746"/>
      <c r="BH99" s="1746"/>
      <c r="BI99" s="1746"/>
      <c r="BJ99" s="1746"/>
      <c r="BK99" s="1746"/>
      <c r="BL99" s="1746"/>
      <c r="BM99" s="1746"/>
      <c r="BN99" s="1746"/>
      <c r="BO99" s="1746"/>
      <c r="BP99" s="1746"/>
      <c r="BQ99" s="1746"/>
      <c r="BR99" s="1746"/>
      <c r="BS99" s="1746"/>
      <c r="BT99" s="1746"/>
      <c r="BU99" s="1746"/>
      <c r="BV99" s="1746"/>
      <c r="BW99" s="1746"/>
      <c r="BX99" s="1746"/>
      <c r="BY99" s="1746"/>
      <c r="BZ99" s="1746"/>
      <c r="CA99" s="1746"/>
      <c r="CB99" s="1746"/>
      <c r="CC99" s="1746"/>
      <c r="CD99" s="1746"/>
      <c r="CE99" s="1746"/>
      <c r="CF99" s="1746"/>
      <c r="CG99" s="1746"/>
      <c r="CH99" s="1746"/>
      <c r="CI99" s="1746"/>
      <c r="CJ99" s="1746"/>
      <c r="CK99" s="1746"/>
      <c r="CL99" s="1746"/>
      <c r="CM99" s="1746"/>
      <c r="CN99" s="1746"/>
      <c r="CO99" s="1746"/>
      <c r="CP99" s="1746"/>
      <c r="CQ99" s="1746"/>
      <c r="CR99" s="1746"/>
      <c r="CS99" s="1746"/>
      <c r="CT99" s="1746"/>
      <c r="CU99" s="1746"/>
      <c r="CV99" s="1746"/>
      <c r="CW99" s="1746"/>
      <c r="CX99" s="1746"/>
      <c r="CY99" s="1746"/>
      <c r="CZ99" s="1746"/>
      <c r="DA99" s="1746"/>
      <c r="DB99" s="1746"/>
      <c r="DC99" s="1746"/>
      <c r="DD99" s="1746"/>
      <c r="DE99" s="1746"/>
      <c r="DF99" s="1746"/>
      <c r="DG99" s="1746"/>
      <c r="DH99" s="1746"/>
      <c r="DI99" s="1746"/>
      <c r="DJ99" s="1746"/>
      <c r="DK99" s="1746"/>
      <c r="DL99" s="1746"/>
      <c r="DM99" s="1746"/>
      <c r="DN99" s="1746"/>
      <c r="DO99" s="1746"/>
      <c r="DP99" s="1746"/>
      <c r="DQ99" s="1746"/>
      <c r="DR99" s="1746"/>
      <c r="DS99" s="1746"/>
      <c r="DT99" s="1746"/>
      <c r="DU99" s="1746"/>
      <c r="DV99" s="1746"/>
      <c r="DW99" s="1746"/>
      <c r="DX99" s="1746"/>
      <c r="DY99" s="1746"/>
      <c r="DZ99" s="1746"/>
      <c r="EA99" s="1746"/>
      <c r="EB99" s="1746"/>
      <c r="EC99" s="1746"/>
      <c r="ED99" s="1746"/>
      <c r="EE99" s="1746"/>
      <c r="EF99" s="1746"/>
      <c r="EG99" s="1746"/>
      <c r="EH99" s="1746"/>
      <c r="EI99" s="1746"/>
      <c r="EJ99" s="1746"/>
      <c r="EK99" s="1746"/>
      <c r="EL99" s="1746"/>
      <c r="EM99" s="1746"/>
      <c r="EN99" s="1746"/>
      <c r="EO99" s="1746"/>
      <c r="EP99" s="1746"/>
      <c r="EQ99" s="1746"/>
      <c r="ER99" s="1746"/>
      <c r="ES99" s="1746"/>
      <c r="ET99" s="1746"/>
      <c r="EU99" s="1746"/>
      <c r="EV99" s="1746"/>
      <c r="EW99" s="1746"/>
      <c r="EX99" s="1746"/>
      <c r="EY99" s="1746"/>
      <c r="EZ99" s="1746"/>
      <c r="FA99" s="1746"/>
      <c r="FB99" s="1746"/>
      <c r="FC99" s="1746"/>
      <c r="FD99" s="1746"/>
      <c r="FE99" s="1746"/>
    </row>
    <row r="100" spans="1:161" s="1743" customFormat="1">
      <c r="A100" s="1791">
        <v>513</v>
      </c>
      <c r="B100" s="1781" t="s">
        <v>833</v>
      </c>
      <c r="C100" s="1792"/>
      <c r="D100" s="1794"/>
      <c r="E100" s="1794"/>
      <c r="F100" s="1742"/>
      <c r="G100" s="1742"/>
      <c r="H100" s="1742"/>
      <c r="I100" s="1742"/>
      <c r="J100" s="1742"/>
      <c r="K100" s="1742"/>
      <c r="L100" s="1742"/>
      <c r="M100" s="1742"/>
      <c r="N100" s="1742"/>
      <c r="O100" s="1742"/>
      <c r="P100" s="1742"/>
      <c r="Q100" s="1742"/>
      <c r="R100" s="1742"/>
      <c r="S100" s="1742"/>
      <c r="T100" s="1742"/>
      <c r="U100" s="1742"/>
      <c r="V100" s="1742"/>
      <c r="W100" s="1742"/>
      <c r="X100" s="1742"/>
      <c r="Y100" s="1742"/>
      <c r="Z100" s="1742"/>
      <c r="AA100" s="1742"/>
      <c r="AB100" s="1742"/>
      <c r="AC100" s="1742"/>
      <c r="AD100" s="1742"/>
      <c r="AE100" s="1742"/>
      <c r="AF100" s="1742"/>
      <c r="AG100" s="1742"/>
      <c r="AH100" s="1742"/>
      <c r="AI100" s="1742"/>
      <c r="AJ100" s="1742"/>
      <c r="AK100" s="1742"/>
      <c r="AL100" s="1742"/>
      <c r="AM100" s="1742"/>
      <c r="AN100" s="1742"/>
      <c r="AO100" s="1742"/>
      <c r="AP100" s="1742"/>
      <c r="AQ100" s="1742"/>
      <c r="AR100" s="1742"/>
      <c r="AS100" s="1742"/>
      <c r="AT100" s="1742"/>
      <c r="AU100" s="1742"/>
      <c r="AV100" s="1742"/>
      <c r="AW100" s="1742"/>
      <c r="AX100" s="1742"/>
      <c r="AY100" s="1742"/>
      <c r="AZ100" s="1742"/>
      <c r="BA100" s="1742"/>
      <c r="BB100" s="1742"/>
      <c r="BC100" s="1742"/>
      <c r="BD100" s="1742"/>
      <c r="BE100" s="1742"/>
      <c r="BF100" s="1742"/>
      <c r="BG100" s="1742"/>
      <c r="BH100" s="1742"/>
      <c r="BI100" s="1742"/>
      <c r="BJ100" s="1742"/>
      <c r="BK100" s="1742"/>
      <c r="BL100" s="1742"/>
      <c r="BM100" s="1742"/>
      <c r="BN100" s="1742"/>
      <c r="BO100" s="1742"/>
      <c r="BP100" s="1742"/>
      <c r="BQ100" s="1742"/>
      <c r="BR100" s="1742"/>
      <c r="BS100" s="1742"/>
      <c r="BT100" s="1742"/>
      <c r="BU100" s="1742"/>
      <c r="BV100" s="1742"/>
      <c r="BW100" s="1742"/>
      <c r="BX100" s="1742"/>
      <c r="BY100" s="1742"/>
      <c r="BZ100" s="1742"/>
      <c r="CA100" s="1742"/>
      <c r="CB100" s="1742"/>
      <c r="CC100" s="1742"/>
      <c r="CD100" s="1742"/>
      <c r="CE100" s="1742"/>
      <c r="CF100" s="1742"/>
      <c r="CG100" s="1742"/>
      <c r="CH100" s="1742"/>
      <c r="CI100" s="1742"/>
      <c r="CJ100" s="1742"/>
      <c r="CK100" s="1742"/>
      <c r="CL100" s="1742"/>
      <c r="CM100" s="1742"/>
      <c r="CN100" s="1742"/>
      <c r="CO100" s="1742"/>
      <c r="CP100" s="1742"/>
      <c r="CQ100" s="1742"/>
      <c r="CR100" s="1742"/>
      <c r="CS100" s="1742"/>
      <c r="CT100" s="1742"/>
      <c r="CU100" s="1742"/>
      <c r="CV100" s="1742"/>
      <c r="CW100" s="1742"/>
      <c r="CX100" s="1742"/>
      <c r="CY100" s="1742"/>
      <c r="CZ100" s="1742"/>
      <c r="DA100" s="1742"/>
      <c r="DB100" s="1742"/>
      <c r="DC100" s="1742"/>
      <c r="DD100" s="1742"/>
      <c r="DE100" s="1742"/>
      <c r="DF100" s="1742"/>
      <c r="DG100" s="1742"/>
      <c r="DH100" s="1742"/>
      <c r="DI100" s="1742"/>
      <c r="DJ100" s="1742"/>
      <c r="DK100" s="1742"/>
      <c r="DL100" s="1742"/>
      <c r="DM100" s="1742"/>
      <c r="DN100" s="1742"/>
      <c r="DO100" s="1742"/>
      <c r="DP100" s="1742"/>
      <c r="DQ100" s="1742"/>
      <c r="DR100" s="1742"/>
      <c r="DS100" s="1742"/>
      <c r="DT100" s="1742"/>
      <c r="DU100" s="1742"/>
      <c r="DV100" s="1742"/>
      <c r="DW100" s="1742"/>
      <c r="DX100" s="1742"/>
      <c r="DY100" s="1742"/>
      <c r="DZ100" s="1742"/>
      <c r="EA100" s="1742"/>
      <c r="EB100" s="1742"/>
      <c r="EC100" s="1742"/>
      <c r="ED100" s="1742"/>
      <c r="EE100" s="1742"/>
      <c r="EF100" s="1742"/>
      <c r="EG100" s="1742"/>
      <c r="EH100" s="1742"/>
      <c r="EI100" s="1742"/>
      <c r="EJ100" s="1742"/>
      <c r="EK100" s="1742"/>
      <c r="EL100" s="1742"/>
      <c r="EM100" s="1742"/>
      <c r="EN100" s="1742"/>
      <c r="EO100" s="1742"/>
      <c r="EP100" s="1742"/>
      <c r="EQ100" s="1742"/>
      <c r="ER100" s="1742"/>
      <c r="ES100" s="1742"/>
      <c r="ET100" s="1742"/>
      <c r="EU100" s="1742"/>
      <c r="EV100" s="1742"/>
      <c r="EW100" s="1742"/>
      <c r="EX100" s="1742"/>
      <c r="EY100" s="1742"/>
      <c r="EZ100" s="1742"/>
      <c r="FA100" s="1742"/>
      <c r="FB100" s="1742"/>
      <c r="FC100" s="1742"/>
      <c r="FD100" s="1742"/>
      <c r="FE100" s="1742"/>
    </row>
    <row r="101" spans="1:161" s="1743" customFormat="1" ht="42.75">
      <c r="A101" s="1785" t="s">
        <v>145</v>
      </c>
      <c r="B101" s="1785" t="s">
        <v>612</v>
      </c>
      <c r="C101" s="1792" t="s">
        <v>27</v>
      </c>
      <c r="D101" s="1794"/>
      <c r="E101" s="1794"/>
      <c r="F101" s="1742"/>
      <c r="G101" s="1742"/>
      <c r="H101" s="1742"/>
      <c r="I101" s="1742"/>
      <c r="J101" s="1742"/>
      <c r="K101" s="1742"/>
      <c r="L101" s="1742"/>
      <c r="M101" s="1742"/>
      <c r="N101" s="1742"/>
      <c r="O101" s="1742"/>
      <c r="P101" s="1742"/>
      <c r="Q101" s="1742"/>
      <c r="R101" s="1742"/>
      <c r="S101" s="1742"/>
      <c r="T101" s="1742"/>
      <c r="U101" s="1742"/>
      <c r="V101" s="1742"/>
      <c r="W101" s="1742"/>
      <c r="X101" s="1742"/>
      <c r="Y101" s="1742"/>
      <c r="Z101" s="1742"/>
      <c r="AA101" s="1742"/>
      <c r="AB101" s="1742"/>
      <c r="AC101" s="1742"/>
      <c r="AD101" s="1742"/>
      <c r="AE101" s="1742"/>
      <c r="AF101" s="1742"/>
      <c r="AG101" s="1742"/>
      <c r="AH101" s="1742"/>
      <c r="AI101" s="1742"/>
      <c r="AJ101" s="1742"/>
      <c r="AK101" s="1742"/>
      <c r="AL101" s="1742"/>
      <c r="AM101" s="1742"/>
      <c r="AN101" s="1742"/>
      <c r="AO101" s="1742"/>
      <c r="AP101" s="1742"/>
      <c r="AQ101" s="1742"/>
      <c r="AR101" s="1742"/>
      <c r="AS101" s="1742"/>
      <c r="AT101" s="1742"/>
      <c r="AU101" s="1742"/>
      <c r="AV101" s="1742"/>
      <c r="AW101" s="1742"/>
      <c r="AX101" s="1742"/>
      <c r="AY101" s="1742"/>
      <c r="AZ101" s="1742"/>
      <c r="BA101" s="1742"/>
      <c r="BB101" s="1742"/>
      <c r="BC101" s="1742"/>
      <c r="BD101" s="1742"/>
      <c r="BE101" s="1742"/>
      <c r="BF101" s="1742"/>
      <c r="BG101" s="1742"/>
      <c r="BH101" s="1742"/>
      <c r="BI101" s="1742"/>
      <c r="BJ101" s="1742"/>
      <c r="BK101" s="1742"/>
      <c r="BL101" s="1742"/>
      <c r="BM101" s="1742"/>
      <c r="BN101" s="1742"/>
      <c r="BO101" s="1742"/>
      <c r="BP101" s="1742"/>
      <c r="BQ101" s="1742"/>
      <c r="BR101" s="1742"/>
      <c r="BS101" s="1742"/>
      <c r="BT101" s="1742"/>
      <c r="BU101" s="1742"/>
      <c r="BV101" s="1742"/>
      <c r="BW101" s="1742"/>
      <c r="BX101" s="1742"/>
      <c r="BY101" s="1742"/>
      <c r="BZ101" s="1742"/>
      <c r="CA101" s="1742"/>
      <c r="CB101" s="1742"/>
      <c r="CC101" s="1742"/>
      <c r="CD101" s="1742"/>
      <c r="CE101" s="1742"/>
      <c r="CF101" s="1742"/>
      <c r="CG101" s="1742"/>
      <c r="CH101" s="1742"/>
      <c r="CI101" s="1742"/>
      <c r="CJ101" s="1742"/>
      <c r="CK101" s="1742"/>
      <c r="CL101" s="1742"/>
      <c r="CM101" s="1742"/>
      <c r="CN101" s="1742"/>
      <c r="CO101" s="1742"/>
      <c r="CP101" s="1742"/>
      <c r="CQ101" s="1742"/>
      <c r="CR101" s="1742"/>
      <c r="CS101" s="1742"/>
      <c r="CT101" s="1742"/>
      <c r="CU101" s="1742"/>
      <c r="CV101" s="1742"/>
      <c r="CW101" s="1742"/>
      <c r="CX101" s="1742"/>
      <c r="CY101" s="1742"/>
      <c r="CZ101" s="1742"/>
      <c r="DA101" s="1742"/>
      <c r="DB101" s="1742"/>
      <c r="DC101" s="1742"/>
      <c r="DD101" s="1742"/>
      <c r="DE101" s="1742"/>
      <c r="DF101" s="1742"/>
      <c r="DG101" s="1742"/>
      <c r="DH101" s="1742"/>
      <c r="DI101" s="1742"/>
      <c r="DJ101" s="1742"/>
      <c r="DK101" s="1742"/>
      <c r="DL101" s="1742"/>
      <c r="DM101" s="1742"/>
      <c r="DN101" s="1742"/>
      <c r="DO101" s="1742"/>
      <c r="DP101" s="1742"/>
      <c r="DQ101" s="1742"/>
      <c r="DR101" s="1742"/>
      <c r="DS101" s="1742"/>
      <c r="DT101" s="1742"/>
      <c r="DU101" s="1742"/>
      <c r="DV101" s="1742"/>
      <c r="DW101" s="1742"/>
      <c r="DX101" s="1742"/>
      <c r="DY101" s="1742"/>
      <c r="DZ101" s="1742"/>
      <c r="EA101" s="1742"/>
      <c r="EB101" s="1742"/>
      <c r="EC101" s="1742"/>
      <c r="ED101" s="1742"/>
      <c r="EE101" s="1742"/>
      <c r="EF101" s="1742"/>
      <c r="EG101" s="1742"/>
      <c r="EH101" s="1742"/>
      <c r="EI101" s="1742"/>
      <c r="EJ101" s="1742"/>
      <c r="EK101" s="1742"/>
      <c r="EL101" s="1742"/>
      <c r="EM101" s="1742"/>
      <c r="EN101" s="1742"/>
      <c r="EO101" s="1742"/>
      <c r="EP101" s="1742"/>
      <c r="EQ101" s="1742"/>
      <c r="ER101" s="1742"/>
      <c r="ES101" s="1742"/>
      <c r="ET101" s="1742"/>
      <c r="EU101" s="1742"/>
      <c r="EV101" s="1742"/>
      <c r="EW101" s="1742"/>
      <c r="EX101" s="1742"/>
      <c r="EY101" s="1742"/>
      <c r="EZ101" s="1742"/>
      <c r="FA101" s="1742"/>
      <c r="FB101" s="1742"/>
      <c r="FC101" s="1742"/>
      <c r="FD101" s="1742"/>
      <c r="FE101" s="1742"/>
    </row>
    <row r="102" spans="1:161" s="1743" customFormat="1">
      <c r="A102" s="1785" t="s">
        <v>214</v>
      </c>
      <c r="B102" s="1785" t="s">
        <v>611</v>
      </c>
      <c r="C102" s="1792" t="s">
        <v>27</v>
      </c>
      <c r="D102" s="1794"/>
      <c r="E102" s="1794"/>
      <c r="F102" s="1742"/>
      <c r="G102" s="1742"/>
      <c r="H102" s="1742"/>
      <c r="I102" s="1742"/>
      <c r="J102" s="1742"/>
      <c r="K102" s="1742"/>
      <c r="L102" s="1742"/>
      <c r="M102" s="1742"/>
      <c r="N102" s="1742"/>
      <c r="O102" s="1742"/>
      <c r="P102" s="1742"/>
      <c r="Q102" s="1742"/>
      <c r="R102" s="1742"/>
      <c r="S102" s="1742"/>
      <c r="T102" s="1742"/>
      <c r="U102" s="1742"/>
      <c r="V102" s="1742"/>
      <c r="W102" s="1742"/>
      <c r="X102" s="1742"/>
      <c r="Y102" s="1742"/>
      <c r="Z102" s="1742"/>
      <c r="AA102" s="1742"/>
      <c r="AB102" s="1742"/>
      <c r="AC102" s="1742"/>
      <c r="AD102" s="1742"/>
      <c r="AE102" s="1742"/>
      <c r="AF102" s="1742"/>
      <c r="AG102" s="1742"/>
      <c r="AH102" s="1742"/>
      <c r="AI102" s="1742"/>
      <c r="AJ102" s="1742"/>
      <c r="AK102" s="1742"/>
      <c r="AL102" s="1742"/>
      <c r="AM102" s="1742"/>
      <c r="AN102" s="1742"/>
      <c r="AO102" s="1742"/>
      <c r="AP102" s="1742"/>
      <c r="AQ102" s="1742"/>
      <c r="AR102" s="1742"/>
      <c r="AS102" s="1742"/>
      <c r="AT102" s="1742"/>
      <c r="AU102" s="1742"/>
      <c r="AV102" s="1742"/>
      <c r="AW102" s="1742"/>
      <c r="AX102" s="1742"/>
      <c r="AY102" s="1742"/>
      <c r="AZ102" s="1742"/>
      <c r="BA102" s="1742"/>
      <c r="BB102" s="1742"/>
      <c r="BC102" s="1742"/>
      <c r="BD102" s="1742"/>
      <c r="BE102" s="1742"/>
      <c r="BF102" s="1742"/>
      <c r="BG102" s="1742"/>
      <c r="BH102" s="1742"/>
      <c r="BI102" s="1742"/>
      <c r="BJ102" s="1742"/>
      <c r="BK102" s="1742"/>
      <c r="BL102" s="1742"/>
      <c r="BM102" s="1742"/>
      <c r="BN102" s="1742"/>
      <c r="BO102" s="1742"/>
      <c r="BP102" s="1742"/>
      <c r="BQ102" s="1742"/>
      <c r="BR102" s="1742"/>
      <c r="BS102" s="1742"/>
      <c r="BT102" s="1742"/>
      <c r="BU102" s="1742"/>
      <c r="BV102" s="1742"/>
      <c r="BW102" s="1742"/>
      <c r="BX102" s="1742"/>
      <c r="BY102" s="1742"/>
      <c r="BZ102" s="1742"/>
      <c r="CA102" s="1742"/>
      <c r="CB102" s="1742"/>
      <c r="CC102" s="1742"/>
      <c r="CD102" s="1742"/>
      <c r="CE102" s="1742"/>
      <c r="CF102" s="1742"/>
      <c r="CG102" s="1742"/>
      <c r="CH102" s="1742"/>
      <c r="CI102" s="1742"/>
      <c r="CJ102" s="1742"/>
      <c r="CK102" s="1742"/>
      <c r="CL102" s="1742"/>
      <c r="CM102" s="1742"/>
      <c r="CN102" s="1742"/>
      <c r="CO102" s="1742"/>
      <c r="CP102" s="1742"/>
      <c r="CQ102" s="1742"/>
      <c r="CR102" s="1742"/>
      <c r="CS102" s="1742"/>
      <c r="CT102" s="1742"/>
      <c r="CU102" s="1742"/>
      <c r="CV102" s="1742"/>
      <c r="CW102" s="1742"/>
      <c r="CX102" s="1742"/>
      <c r="CY102" s="1742"/>
      <c r="CZ102" s="1742"/>
      <c r="DA102" s="1742"/>
      <c r="DB102" s="1742"/>
      <c r="DC102" s="1742"/>
      <c r="DD102" s="1742"/>
      <c r="DE102" s="1742"/>
      <c r="DF102" s="1742"/>
      <c r="DG102" s="1742"/>
      <c r="DH102" s="1742"/>
      <c r="DI102" s="1742"/>
      <c r="DJ102" s="1742"/>
      <c r="DK102" s="1742"/>
      <c r="DL102" s="1742"/>
      <c r="DM102" s="1742"/>
      <c r="DN102" s="1742"/>
      <c r="DO102" s="1742"/>
      <c r="DP102" s="1742"/>
      <c r="DQ102" s="1742"/>
      <c r="DR102" s="1742"/>
      <c r="DS102" s="1742"/>
      <c r="DT102" s="1742"/>
      <c r="DU102" s="1742"/>
      <c r="DV102" s="1742"/>
      <c r="DW102" s="1742"/>
      <c r="DX102" s="1742"/>
      <c r="DY102" s="1742"/>
      <c r="DZ102" s="1742"/>
      <c r="EA102" s="1742"/>
      <c r="EB102" s="1742"/>
      <c r="EC102" s="1742"/>
      <c r="ED102" s="1742"/>
      <c r="EE102" s="1742"/>
      <c r="EF102" s="1742"/>
      <c r="EG102" s="1742"/>
      <c r="EH102" s="1742"/>
      <c r="EI102" s="1742"/>
      <c r="EJ102" s="1742"/>
      <c r="EK102" s="1742"/>
      <c r="EL102" s="1742"/>
      <c r="EM102" s="1742"/>
      <c r="EN102" s="1742"/>
      <c r="EO102" s="1742"/>
      <c r="EP102" s="1742"/>
      <c r="EQ102" s="1742"/>
      <c r="ER102" s="1742"/>
      <c r="ES102" s="1742"/>
      <c r="ET102" s="1742"/>
      <c r="EU102" s="1742"/>
      <c r="EV102" s="1742"/>
      <c r="EW102" s="1742"/>
      <c r="EX102" s="1742"/>
      <c r="EY102" s="1742"/>
      <c r="EZ102" s="1742"/>
      <c r="FA102" s="1742"/>
      <c r="FB102" s="1742"/>
      <c r="FC102" s="1742"/>
      <c r="FD102" s="1742"/>
      <c r="FE102" s="1742"/>
    </row>
    <row r="103" spans="1:161" s="1743" customFormat="1">
      <c r="A103" s="1791">
        <v>515</v>
      </c>
      <c r="B103" s="1781" t="s">
        <v>834</v>
      </c>
      <c r="C103" s="1792"/>
      <c r="D103" s="1794"/>
      <c r="E103" s="1794"/>
      <c r="F103" s="1742"/>
      <c r="G103" s="1742"/>
      <c r="H103" s="1742"/>
      <c r="I103" s="1742"/>
      <c r="J103" s="1742"/>
      <c r="K103" s="1742"/>
      <c r="L103" s="1742"/>
      <c r="M103" s="1742"/>
      <c r="N103" s="1742"/>
      <c r="O103" s="1742"/>
      <c r="P103" s="1742"/>
      <c r="Q103" s="1742"/>
      <c r="R103" s="1742"/>
      <c r="S103" s="1742"/>
      <c r="T103" s="1742"/>
      <c r="U103" s="1742"/>
      <c r="V103" s="1742"/>
      <c r="W103" s="1742"/>
      <c r="X103" s="1742"/>
      <c r="Y103" s="1742"/>
      <c r="Z103" s="1742"/>
      <c r="AA103" s="1742"/>
      <c r="AB103" s="1742"/>
      <c r="AC103" s="1742"/>
      <c r="AD103" s="1742"/>
      <c r="AE103" s="1742"/>
      <c r="AF103" s="1742"/>
      <c r="AG103" s="1742"/>
      <c r="AH103" s="1742"/>
      <c r="AI103" s="1742"/>
      <c r="AJ103" s="1742"/>
      <c r="AK103" s="1742"/>
      <c r="AL103" s="1742"/>
      <c r="AM103" s="1742"/>
      <c r="AN103" s="1742"/>
      <c r="AO103" s="1742"/>
      <c r="AP103" s="1742"/>
      <c r="AQ103" s="1742"/>
      <c r="AR103" s="1742"/>
      <c r="AS103" s="1742"/>
      <c r="AT103" s="1742"/>
      <c r="AU103" s="1742"/>
      <c r="AV103" s="1742"/>
      <c r="AW103" s="1742"/>
      <c r="AX103" s="1742"/>
      <c r="AY103" s="1742"/>
      <c r="AZ103" s="1742"/>
      <c r="BA103" s="1742"/>
      <c r="BB103" s="1742"/>
      <c r="BC103" s="1742"/>
      <c r="BD103" s="1742"/>
      <c r="BE103" s="1742"/>
      <c r="BF103" s="1742"/>
      <c r="BG103" s="1742"/>
      <c r="BH103" s="1742"/>
      <c r="BI103" s="1742"/>
      <c r="BJ103" s="1742"/>
      <c r="BK103" s="1742"/>
      <c r="BL103" s="1742"/>
      <c r="BM103" s="1742"/>
      <c r="BN103" s="1742"/>
      <c r="BO103" s="1742"/>
      <c r="BP103" s="1742"/>
      <c r="BQ103" s="1742"/>
      <c r="BR103" s="1742"/>
      <c r="BS103" s="1742"/>
      <c r="BT103" s="1742"/>
      <c r="BU103" s="1742"/>
      <c r="BV103" s="1742"/>
      <c r="BW103" s="1742"/>
      <c r="BX103" s="1742"/>
      <c r="BY103" s="1742"/>
      <c r="BZ103" s="1742"/>
      <c r="CA103" s="1742"/>
      <c r="CB103" s="1742"/>
      <c r="CC103" s="1742"/>
      <c r="CD103" s="1742"/>
      <c r="CE103" s="1742"/>
      <c r="CF103" s="1742"/>
      <c r="CG103" s="1742"/>
      <c r="CH103" s="1742"/>
      <c r="CI103" s="1742"/>
      <c r="CJ103" s="1742"/>
      <c r="CK103" s="1742"/>
      <c r="CL103" s="1742"/>
      <c r="CM103" s="1742"/>
      <c r="CN103" s="1742"/>
      <c r="CO103" s="1742"/>
      <c r="CP103" s="1742"/>
      <c r="CQ103" s="1742"/>
      <c r="CR103" s="1742"/>
      <c r="CS103" s="1742"/>
      <c r="CT103" s="1742"/>
      <c r="CU103" s="1742"/>
      <c r="CV103" s="1742"/>
      <c r="CW103" s="1742"/>
      <c r="CX103" s="1742"/>
      <c r="CY103" s="1742"/>
      <c r="CZ103" s="1742"/>
      <c r="DA103" s="1742"/>
      <c r="DB103" s="1742"/>
      <c r="DC103" s="1742"/>
      <c r="DD103" s="1742"/>
      <c r="DE103" s="1742"/>
      <c r="DF103" s="1742"/>
      <c r="DG103" s="1742"/>
      <c r="DH103" s="1742"/>
      <c r="DI103" s="1742"/>
      <c r="DJ103" s="1742"/>
      <c r="DK103" s="1742"/>
      <c r="DL103" s="1742"/>
      <c r="DM103" s="1742"/>
      <c r="DN103" s="1742"/>
      <c r="DO103" s="1742"/>
      <c r="DP103" s="1742"/>
      <c r="DQ103" s="1742"/>
      <c r="DR103" s="1742"/>
      <c r="DS103" s="1742"/>
      <c r="DT103" s="1742"/>
      <c r="DU103" s="1742"/>
      <c r="DV103" s="1742"/>
      <c r="DW103" s="1742"/>
      <c r="DX103" s="1742"/>
      <c r="DY103" s="1742"/>
      <c r="DZ103" s="1742"/>
      <c r="EA103" s="1742"/>
      <c r="EB103" s="1742"/>
      <c r="EC103" s="1742"/>
      <c r="ED103" s="1742"/>
      <c r="EE103" s="1742"/>
      <c r="EF103" s="1742"/>
      <c r="EG103" s="1742"/>
      <c r="EH103" s="1742"/>
      <c r="EI103" s="1742"/>
      <c r="EJ103" s="1742"/>
      <c r="EK103" s="1742"/>
      <c r="EL103" s="1742"/>
      <c r="EM103" s="1742"/>
      <c r="EN103" s="1742"/>
      <c r="EO103" s="1742"/>
      <c r="EP103" s="1742"/>
      <c r="EQ103" s="1742"/>
      <c r="ER103" s="1742"/>
      <c r="ES103" s="1742"/>
      <c r="ET103" s="1742"/>
      <c r="EU103" s="1742"/>
      <c r="EV103" s="1742"/>
      <c r="EW103" s="1742"/>
      <c r="EX103" s="1742"/>
      <c r="EY103" s="1742"/>
      <c r="EZ103" s="1742"/>
      <c r="FA103" s="1742"/>
      <c r="FB103" s="1742"/>
      <c r="FC103" s="1742"/>
      <c r="FD103" s="1742"/>
      <c r="FE103" s="1742"/>
    </row>
    <row r="104" spans="1:161" s="1743" customFormat="1">
      <c r="A104" s="1814" t="s">
        <v>149</v>
      </c>
      <c r="B104" s="1815" t="s">
        <v>835</v>
      </c>
      <c r="C104" s="1806" t="s">
        <v>27</v>
      </c>
      <c r="D104" s="1803"/>
      <c r="E104" s="1803"/>
      <c r="F104" s="1742"/>
      <c r="G104" s="1742"/>
      <c r="H104" s="1742"/>
      <c r="I104" s="1742"/>
      <c r="J104" s="1742"/>
      <c r="K104" s="1742"/>
      <c r="L104" s="1742"/>
      <c r="M104" s="1742"/>
      <c r="N104" s="1742"/>
      <c r="O104" s="1742"/>
      <c r="P104" s="1742"/>
      <c r="Q104" s="1742"/>
      <c r="R104" s="1742"/>
      <c r="S104" s="1742"/>
      <c r="T104" s="1742"/>
      <c r="U104" s="1742"/>
      <c r="V104" s="1742"/>
      <c r="W104" s="1742"/>
      <c r="X104" s="1742"/>
      <c r="Y104" s="1742"/>
      <c r="Z104" s="1742"/>
      <c r="AA104" s="1742"/>
      <c r="AB104" s="1742"/>
      <c r="AC104" s="1742"/>
      <c r="AD104" s="1742"/>
      <c r="AE104" s="1742"/>
      <c r="AF104" s="1742"/>
      <c r="AG104" s="1742"/>
      <c r="AH104" s="1742"/>
      <c r="AI104" s="1742"/>
      <c r="AJ104" s="1742"/>
      <c r="AK104" s="1742"/>
      <c r="AL104" s="1742"/>
      <c r="AM104" s="1742"/>
      <c r="AN104" s="1742"/>
      <c r="AO104" s="1742"/>
      <c r="AP104" s="1742"/>
      <c r="AQ104" s="1742"/>
      <c r="AR104" s="1742"/>
      <c r="AS104" s="1742"/>
      <c r="AT104" s="1742"/>
      <c r="AU104" s="1742"/>
      <c r="AV104" s="1742"/>
      <c r="AW104" s="1742"/>
      <c r="AX104" s="1742"/>
      <c r="AY104" s="1742"/>
      <c r="AZ104" s="1742"/>
      <c r="BA104" s="1742"/>
      <c r="BB104" s="1742"/>
      <c r="BC104" s="1742"/>
      <c r="BD104" s="1742"/>
      <c r="BE104" s="1742"/>
      <c r="BF104" s="1742"/>
      <c r="BG104" s="1742"/>
      <c r="BH104" s="1742"/>
      <c r="BI104" s="1742"/>
      <c r="BJ104" s="1742"/>
      <c r="BK104" s="1742"/>
      <c r="BL104" s="1742"/>
      <c r="BM104" s="1742"/>
      <c r="BN104" s="1742"/>
      <c r="BO104" s="1742"/>
      <c r="BP104" s="1742"/>
      <c r="BQ104" s="1742"/>
      <c r="BR104" s="1742"/>
      <c r="BS104" s="1742"/>
      <c r="BT104" s="1742"/>
      <c r="BU104" s="1742"/>
      <c r="BV104" s="1742"/>
      <c r="BW104" s="1742"/>
      <c r="BX104" s="1742"/>
      <c r="BY104" s="1742"/>
      <c r="BZ104" s="1742"/>
      <c r="CA104" s="1742"/>
      <c r="CB104" s="1742"/>
      <c r="CC104" s="1742"/>
      <c r="CD104" s="1742"/>
      <c r="CE104" s="1742"/>
      <c r="CF104" s="1742"/>
      <c r="CG104" s="1742"/>
      <c r="CH104" s="1742"/>
      <c r="CI104" s="1742"/>
      <c r="CJ104" s="1742"/>
      <c r="CK104" s="1742"/>
      <c r="CL104" s="1742"/>
      <c r="CM104" s="1742"/>
      <c r="CN104" s="1742"/>
      <c r="CO104" s="1742"/>
      <c r="CP104" s="1742"/>
      <c r="CQ104" s="1742"/>
      <c r="CR104" s="1742"/>
      <c r="CS104" s="1742"/>
      <c r="CT104" s="1742"/>
      <c r="CU104" s="1742"/>
      <c r="CV104" s="1742"/>
      <c r="CW104" s="1742"/>
      <c r="CX104" s="1742"/>
      <c r="CY104" s="1742"/>
      <c r="CZ104" s="1742"/>
      <c r="DA104" s="1742"/>
      <c r="DB104" s="1742"/>
      <c r="DC104" s="1742"/>
      <c r="DD104" s="1742"/>
      <c r="DE104" s="1742"/>
      <c r="DF104" s="1742"/>
      <c r="DG104" s="1742"/>
      <c r="DH104" s="1742"/>
      <c r="DI104" s="1742"/>
      <c r="DJ104" s="1742"/>
      <c r="DK104" s="1742"/>
      <c r="DL104" s="1742"/>
      <c r="DM104" s="1742"/>
      <c r="DN104" s="1742"/>
      <c r="DO104" s="1742"/>
      <c r="DP104" s="1742"/>
      <c r="DQ104" s="1742"/>
      <c r="DR104" s="1742"/>
      <c r="DS104" s="1742"/>
      <c r="DT104" s="1742"/>
      <c r="DU104" s="1742"/>
      <c r="DV104" s="1742"/>
      <c r="DW104" s="1742"/>
      <c r="DX104" s="1742"/>
      <c r="DY104" s="1742"/>
      <c r="DZ104" s="1742"/>
      <c r="EA104" s="1742"/>
      <c r="EB104" s="1742"/>
      <c r="EC104" s="1742"/>
      <c r="ED104" s="1742"/>
      <c r="EE104" s="1742"/>
      <c r="EF104" s="1742"/>
      <c r="EG104" s="1742"/>
      <c r="EH104" s="1742"/>
      <c r="EI104" s="1742"/>
      <c r="EJ104" s="1742"/>
      <c r="EK104" s="1742"/>
      <c r="EL104" s="1742"/>
      <c r="EM104" s="1742"/>
      <c r="EN104" s="1742"/>
      <c r="EO104" s="1742"/>
      <c r="EP104" s="1742"/>
      <c r="EQ104" s="1742"/>
      <c r="ER104" s="1742"/>
      <c r="ES104" s="1742"/>
      <c r="ET104" s="1742"/>
      <c r="EU104" s="1742"/>
      <c r="EV104" s="1742"/>
      <c r="EW104" s="1742"/>
      <c r="EX104" s="1742"/>
      <c r="EY104" s="1742"/>
      <c r="EZ104" s="1742"/>
      <c r="FA104" s="1742"/>
      <c r="FB104" s="1742"/>
      <c r="FC104" s="1742"/>
      <c r="FD104" s="1742"/>
      <c r="FE104" s="1742"/>
    </row>
    <row r="105" spans="1:161" s="1744" customFormat="1" ht="15">
      <c r="A105" s="1876" t="s">
        <v>17</v>
      </c>
      <c r="B105" s="1877"/>
      <c r="C105" s="1877"/>
      <c r="D105" s="1877"/>
      <c r="E105" s="1878"/>
    </row>
    <row r="106" spans="1:161" s="1152" customFormat="1" ht="15">
      <c r="A106" s="1789" t="s">
        <v>18</v>
      </c>
      <c r="B106" s="1778" t="s">
        <v>837</v>
      </c>
      <c r="C106" s="1817"/>
      <c r="D106" s="1780"/>
      <c r="E106" s="1780"/>
    </row>
    <row r="107" spans="1:161" s="1152" customFormat="1">
      <c r="A107" s="1791" t="s">
        <v>192</v>
      </c>
      <c r="B107" s="1781" t="s">
        <v>655</v>
      </c>
      <c r="C107" s="1792" t="s">
        <v>27</v>
      </c>
      <c r="D107" s="1794"/>
      <c r="E107" s="1794"/>
    </row>
    <row r="108" spans="1:161" s="1152" customFormat="1">
      <c r="A108" s="1791" t="s">
        <v>194</v>
      </c>
      <c r="B108" s="1781" t="s">
        <v>683</v>
      </c>
      <c r="C108" s="1792" t="s">
        <v>27</v>
      </c>
      <c r="D108" s="1794"/>
      <c r="E108" s="1794"/>
    </row>
    <row r="109" spans="1:161" s="1152" customFormat="1">
      <c r="A109" s="1791" t="s">
        <v>195</v>
      </c>
      <c r="B109" s="1781" t="s">
        <v>669</v>
      </c>
      <c r="C109" s="1792" t="s">
        <v>237</v>
      </c>
      <c r="D109" s="1794"/>
      <c r="E109" s="1794"/>
    </row>
    <row r="110" spans="1:161" s="1152" customFormat="1">
      <c r="A110" s="1791">
        <v>602</v>
      </c>
      <c r="B110" s="1781" t="s">
        <v>838</v>
      </c>
      <c r="C110" s="1782"/>
      <c r="D110" s="1794"/>
      <c r="E110" s="1794"/>
    </row>
    <row r="111" spans="1:161" s="1152" customFormat="1">
      <c r="A111" s="1791" t="s">
        <v>619</v>
      </c>
      <c r="B111" s="1781" t="s">
        <v>630</v>
      </c>
      <c r="C111" s="1792" t="s">
        <v>1</v>
      </c>
      <c r="D111" s="1794"/>
      <c r="E111" s="1794"/>
    </row>
    <row r="112" spans="1:161" s="1152" customFormat="1">
      <c r="A112" s="1791" t="s">
        <v>620</v>
      </c>
      <c r="B112" s="1781" t="s">
        <v>267</v>
      </c>
      <c r="C112" s="1792" t="s">
        <v>1</v>
      </c>
      <c r="D112" s="1794"/>
      <c r="E112" s="1794"/>
    </row>
    <row r="113" spans="1:5" s="1152" customFormat="1" ht="15">
      <c r="A113" s="1791">
        <v>604</v>
      </c>
      <c r="B113" s="1781" t="s">
        <v>839</v>
      </c>
      <c r="C113" s="1799"/>
      <c r="D113" s="1794"/>
      <c r="E113" s="1794"/>
    </row>
    <row r="114" spans="1:5" s="1152" customFormat="1">
      <c r="A114" s="1791" t="s">
        <v>224</v>
      </c>
      <c r="B114" s="1781" t="s">
        <v>656</v>
      </c>
      <c r="C114" s="1792" t="s">
        <v>27</v>
      </c>
      <c r="D114" s="1794"/>
      <c r="E114" s="1794"/>
    </row>
    <row r="115" spans="1:5" s="1152" customFormat="1">
      <c r="A115" s="1791" t="s">
        <v>225</v>
      </c>
      <c r="B115" s="1781" t="s">
        <v>226</v>
      </c>
      <c r="C115" s="1792" t="s">
        <v>27</v>
      </c>
      <c r="D115" s="1794"/>
      <c r="E115" s="1794"/>
    </row>
    <row r="116" spans="1:5" s="1152" customFormat="1">
      <c r="A116" s="1791">
        <v>605</v>
      </c>
      <c r="B116" s="1781" t="s">
        <v>840</v>
      </c>
      <c r="C116" s="1804" t="s">
        <v>775</v>
      </c>
      <c r="D116" s="1794"/>
      <c r="E116" s="1794"/>
    </row>
    <row r="117" spans="1:5" s="1152" customFormat="1" ht="28.5">
      <c r="A117" s="1791" t="s">
        <v>610</v>
      </c>
      <c r="B117" s="1781" t="s">
        <v>841</v>
      </c>
      <c r="C117" s="1820"/>
      <c r="D117" s="1794"/>
      <c r="E117" s="1794"/>
    </row>
    <row r="118" spans="1:5" s="1152" customFormat="1">
      <c r="A118" s="1791" t="s">
        <v>621</v>
      </c>
      <c r="B118" s="1781" t="s">
        <v>622</v>
      </c>
      <c r="C118" s="1804" t="s">
        <v>27</v>
      </c>
      <c r="D118" s="1794"/>
      <c r="E118" s="1794"/>
    </row>
    <row r="119" spans="1:5" s="1152" customFormat="1" ht="28.5">
      <c r="A119" s="1791">
        <v>615</v>
      </c>
      <c r="B119" s="1781" t="s">
        <v>842</v>
      </c>
      <c r="C119" s="1804"/>
      <c r="D119" s="1794"/>
      <c r="E119" s="1794"/>
    </row>
    <row r="120" spans="1:5" s="1152" customFormat="1">
      <c r="A120" s="1800" t="s">
        <v>601</v>
      </c>
      <c r="B120" s="1801" t="s">
        <v>614</v>
      </c>
      <c r="C120" s="1821" t="s">
        <v>27</v>
      </c>
      <c r="D120" s="1803"/>
      <c r="E120" s="1803"/>
    </row>
    <row r="129" spans="1:162" s="1146" customFormat="1" ht="15">
      <c r="A129" s="1748"/>
      <c r="B129" s="1757"/>
      <c r="C129" s="1749"/>
      <c r="D129" s="1767"/>
      <c r="E129" s="1768"/>
      <c r="FF129" s="44"/>
    </row>
    <row r="130" spans="1:162" s="1146" customFormat="1" ht="15">
      <c r="A130" s="1748"/>
      <c r="B130" s="1879"/>
      <c r="C130" s="1879"/>
      <c r="D130" s="1879"/>
      <c r="E130" s="1879"/>
      <c r="FF130" s="44"/>
    </row>
  </sheetData>
  <mergeCells count="15">
    <mergeCell ref="A76:E76"/>
    <mergeCell ref="A105:E105"/>
    <mergeCell ref="B130:E130"/>
    <mergeCell ref="A1:E1"/>
    <mergeCell ref="A2:E2"/>
    <mergeCell ref="A5:E5"/>
    <mergeCell ref="A38:E38"/>
    <mergeCell ref="A49:E49"/>
    <mergeCell ref="A9:E9"/>
    <mergeCell ref="A12:E12"/>
    <mergeCell ref="A20:E20"/>
    <mergeCell ref="D7:E7"/>
    <mergeCell ref="C7:C8"/>
    <mergeCell ref="B7:B8"/>
    <mergeCell ref="A7:A8"/>
  </mergeCells>
  <pageMargins left="0.70866141732283472" right="0.70866141732283472" top="0.74803149606299213" bottom="0.74803149606299213" header="0.31496062992125984" footer="0.31496062992125984"/>
  <pageSetup paperSize="9" fitToHeight="0" orientation="landscape" r:id="rId1"/>
  <headerFooter>
    <oddHeader>Page &amp;P de &amp;N</oddHeader>
    <oddFooter>&amp;A</oddFooter>
  </headerFooter>
  <rowBreaks count="1" manualBreakCount="1">
    <brk id="47" max="5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B8BB3F-1265-4E1C-92E8-1298D334DFA0}">
  <sheetPr>
    <tabColor theme="9" tint="-0.249977111117893"/>
    <pageSetUpPr fitToPage="1"/>
  </sheetPr>
  <dimension ref="A1:FF171"/>
  <sheetViews>
    <sheetView tabSelected="1" topLeftCell="A142" zoomScaleNormal="100" zoomScaleSheetLayoutView="59" workbookViewId="0">
      <selection activeCell="D172" sqref="D172"/>
    </sheetView>
  </sheetViews>
  <sheetFormatPr baseColWidth="10" defaultColWidth="9.140625" defaultRowHeight="14.25"/>
  <cols>
    <col min="1" max="1" width="9.85546875" style="1748" customWidth="1"/>
    <col min="2" max="2" width="57.7109375" style="1757" customWidth="1"/>
    <col min="3" max="3" width="12.85546875" style="1749" customWidth="1"/>
    <col min="4" max="4" width="12.140625" style="44" customWidth="1"/>
    <col min="5" max="6" width="16.42578125" style="1766" customWidth="1"/>
    <col min="7" max="162" width="9.140625" style="1146"/>
    <col min="163" max="16384" width="9.140625" style="44"/>
  </cols>
  <sheetData>
    <row r="1" spans="1:162" ht="15" thickBot="1">
      <c r="A1" s="1880" t="s">
        <v>774</v>
      </c>
      <c r="B1" s="1881"/>
      <c r="C1" s="1881"/>
      <c r="D1" s="1881"/>
      <c r="E1" s="1881"/>
      <c r="F1" s="1882"/>
    </row>
    <row r="2" spans="1:162" s="1146" customFormat="1" ht="15" thickBot="1">
      <c r="A2" s="1883" t="s">
        <v>777</v>
      </c>
      <c r="B2" s="1884"/>
      <c r="C2" s="1884"/>
      <c r="D2" s="1884"/>
      <c r="E2" s="1884"/>
      <c r="F2" s="1885"/>
    </row>
    <row r="3" spans="1:162" s="1157" customFormat="1" ht="15">
      <c r="A3" s="1751"/>
      <c r="B3" s="1755"/>
      <c r="C3" s="1738"/>
      <c r="D3" s="1199"/>
      <c r="E3" s="1758"/>
      <c r="F3" s="1759"/>
    </row>
    <row r="4" spans="1:162" s="1146" customFormat="1" ht="15">
      <c r="A4" s="1752" t="s">
        <v>742</v>
      </c>
      <c r="B4" s="1755"/>
      <c r="C4" s="1739"/>
      <c r="D4" s="1199"/>
      <c r="E4" s="1760"/>
      <c r="F4" s="1761"/>
    </row>
    <row r="5" spans="1:162" s="1146" customFormat="1" ht="49.9" customHeight="1">
      <c r="A5" s="1886" t="s">
        <v>768</v>
      </c>
      <c r="B5" s="1887"/>
      <c r="C5" s="1887"/>
      <c r="D5" s="1887"/>
      <c r="E5" s="1887"/>
      <c r="F5" s="1888"/>
    </row>
    <row r="6" spans="1:162" s="1146" customFormat="1" ht="15">
      <c r="A6" s="565"/>
      <c r="B6" s="1756"/>
      <c r="C6" s="1740"/>
      <c r="D6" s="1199"/>
      <c r="E6" s="1762"/>
      <c r="F6" s="1763"/>
    </row>
    <row r="7" spans="1:162" s="1741" customFormat="1" ht="45">
      <c r="A7" s="1753" t="s">
        <v>585</v>
      </c>
      <c r="B7" s="1829" t="s">
        <v>584</v>
      </c>
      <c r="C7" s="1753" t="s">
        <v>98</v>
      </c>
      <c r="D7" s="1753" t="s">
        <v>99</v>
      </c>
      <c r="E7" s="1764" t="s">
        <v>776</v>
      </c>
      <c r="F7" s="1764" t="s">
        <v>603</v>
      </c>
    </row>
    <row r="8" spans="1:162" s="1152" customFormat="1" ht="15">
      <c r="A8" s="1876" t="s">
        <v>20</v>
      </c>
      <c r="B8" s="1877"/>
      <c r="C8" s="1877"/>
      <c r="D8" s="1877"/>
      <c r="E8" s="1877"/>
      <c r="F8" s="1878"/>
    </row>
    <row r="9" spans="1:162" s="1152" customFormat="1" ht="42.75">
      <c r="A9" s="1769" t="s">
        <v>22</v>
      </c>
      <c r="B9" s="1769" t="s">
        <v>784</v>
      </c>
      <c r="C9" s="1770" t="s">
        <v>618</v>
      </c>
      <c r="D9" s="1771">
        <v>1</v>
      </c>
      <c r="E9" s="1772"/>
      <c r="F9" s="1773"/>
    </row>
    <row r="10" spans="1:162" s="1152" customFormat="1">
      <c r="A10" s="1774" t="s">
        <v>126</v>
      </c>
      <c r="B10" s="1774" t="s">
        <v>785</v>
      </c>
      <c r="C10" s="1775" t="s">
        <v>618</v>
      </c>
      <c r="D10" s="1776">
        <v>1</v>
      </c>
      <c r="E10" s="1777"/>
      <c r="F10" s="1777"/>
    </row>
    <row r="11" spans="1:162" s="1149" customFormat="1" ht="15">
      <c r="A11" s="1823"/>
      <c r="B11" s="1824" t="s">
        <v>786</v>
      </c>
      <c r="C11" s="1825"/>
      <c r="D11" s="1754"/>
      <c r="E11" s="1826"/>
      <c r="F11" s="1765"/>
      <c r="G11" s="1152"/>
      <c r="H11" s="1152"/>
      <c r="I11" s="1152"/>
      <c r="J11" s="1152"/>
      <c r="K11" s="1152"/>
      <c r="L11" s="1152"/>
      <c r="M11" s="1152"/>
      <c r="N11" s="1152"/>
      <c r="O11" s="1152"/>
      <c r="P11" s="1152"/>
      <c r="Q11" s="1152"/>
      <c r="R11" s="1152"/>
      <c r="S11" s="1152"/>
      <c r="T11" s="1152"/>
      <c r="U11" s="1152"/>
      <c r="V11" s="1152"/>
      <c r="W11" s="1152"/>
      <c r="X11" s="1152"/>
      <c r="Y11" s="1152"/>
      <c r="Z11" s="1152"/>
      <c r="AA11" s="1152"/>
      <c r="AB11" s="1152"/>
      <c r="AC11" s="1152"/>
      <c r="AD11" s="1152"/>
      <c r="AE11" s="1152"/>
      <c r="AF11" s="1152"/>
      <c r="AG11" s="1152"/>
      <c r="AH11" s="1152"/>
      <c r="AI11" s="1152"/>
      <c r="AJ11" s="1152"/>
      <c r="AK11" s="1152"/>
      <c r="AL11" s="1152"/>
      <c r="AM11" s="1152"/>
      <c r="AN11" s="1152"/>
      <c r="AO11" s="1152"/>
      <c r="AP11" s="1152"/>
      <c r="AQ11" s="1152"/>
      <c r="AR11" s="1152"/>
      <c r="AS11" s="1152"/>
      <c r="AT11" s="1152"/>
      <c r="AU11" s="1152"/>
      <c r="AV11" s="1152"/>
      <c r="AW11" s="1152"/>
      <c r="AX11" s="1152"/>
      <c r="AY11" s="1152"/>
      <c r="AZ11" s="1152"/>
      <c r="BA11" s="1152"/>
      <c r="BB11" s="1152"/>
      <c r="BC11" s="1152"/>
      <c r="BD11" s="1152"/>
      <c r="BE11" s="1152"/>
      <c r="BF11" s="1152"/>
      <c r="BG11" s="1152"/>
      <c r="BH11" s="1152"/>
      <c r="BI11" s="1152"/>
      <c r="BJ11" s="1152"/>
      <c r="BK11" s="1152"/>
      <c r="BL11" s="1152"/>
      <c r="BM11" s="1152"/>
      <c r="BN11" s="1152"/>
      <c r="BO11" s="1152"/>
      <c r="BP11" s="1152"/>
      <c r="BQ11" s="1152"/>
      <c r="BR11" s="1152"/>
      <c r="BS11" s="1152"/>
      <c r="BT11" s="1152"/>
      <c r="BU11" s="1152"/>
      <c r="BV11" s="1152"/>
      <c r="BW11" s="1152"/>
      <c r="BX11" s="1152"/>
      <c r="BY11" s="1152"/>
      <c r="BZ11" s="1152"/>
      <c r="CA11" s="1152"/>
      <c r="CB11" s="1152"/>
      <c r="CC11" s="1152"/>
      <c r="CD11" s="1152"/>
      <c r="CE11" s="1152"/>
      <c r="CF11" s="1152"/>
      <c r="CG11" s="1152"/>
      <c r="CH11" s="1152"/>
      <c r="CI11" s="1152"/>
      <c r="CJ11" s="1152"/>
      <c r="CK11" s="1152"/>
      <c r="CL11" s="1152"/>
      <c r="CM11" s="1152"/>
      <c r="CN11" s="1152"/>
      <c r="CO11" s="1152"/>
      <c r="CP11" s="1152"/>
      <c r="CQ11" s="1152"/>
      <c r="CR11" s="1152"/>
      <c r="CS11" s="1152"/>
      <c r="CT11" s="1152"/>
      <c r="CU11" s="1152"/>
      <c r="CV11" s="1152"/>
      <c r="CW11" s="1152"/>
      <c r="CX11" s="1152"/>
      <c r="CY11" s="1152"/>
      <c r="CZ11" s="1152"/>
      <c r="DA11" s="1152"/>
      <c r="DB11" s="1152"/>
      <c r="DC11" s="1152"/>
      <c r="DD11" s="1152"/>
      <c r="DE11" s="1152"/>
      <c r="DF11" s="1152"/>
      <c r="DG11" s="1152"/>
      <c r="DH11" s="1152"/>
      <c r="DI11" s="1152"/>
      <c r="DJ11" s="1152"/>
      <c r="DK11" s="1152"/>
      <c r="DL11" s="1152"/>
      <c r="DM11" s="1152"/>
      <c r="DN11" s="1152"/>
      <c r="DO11" s="1152"/>
      <c r="DP11" s="1152"/>
      <c r="DQ11" s="1152"/>
      <c r="DR11" s="1152"/>
      <c r="DS11" s="1152"/>
      <c r="DT11" s="1152"/>
      <c r="DU11" s="1152"/>
      <c r="DV11" s="1152"/>
      <c r="DW11" s="1152"/>
      <c r="DX11" s="1152"/>
      <c r="DY11" s="1152"/>
      <c r="DZ11" s="1152"/>
      <c r="EA11" s="1152"/>
      <c r="EB11" s="1152"/>
      <c r="EC11" s="1152"/>
      <c r="ED11" s="1152"/>
      <c r="EE11" s="1152"/>
      <c r="EF11" s="1152"/>
      <c r="EG11" s="1152"/>
      <c r="EH11" s="1152"/>
      <c r="EI11" s="1152"/>
      <c r="EJ11" s="1152"/>
      <c r="EK11" s="1152"/>
      <c r="EL11" s="1152"/>
      <c r="EM11" s="1152"/>
      <c r="EN11" s="1152"/>
      <c r="EO11" s="1152"/>
      <c r="EP11" s="1152"/>
      <c r="EQ11" s="1152"/>
      <c r="ER11" s="1152"/>
      <c r="ES11" s="1152"/>
      <c r="ET11" s="1152"/>
      <c r="EU11" s="1152"/>
      <c r="EV11" s="1152"/>
      <c r="EW11" s="1152"/>
      <c r="EX11" s="1152"/>
      <c r="EY11" s="1152"/>
      <c r="EZ11" s="1152"/>
      <c r="FA11" s="1152"/>
      <c r="FB11" s="1152"/>
      <c r="FC11" s="1152"/>
      <c r="FD11" s="1152"/>
      <c r="FE11" s="1152"/>
      <c r="FF11" s="1152"/>
    </row>
    <row r="12" spans="1:162" s="1149" customFormat="1" ht="15">
      <c r="A12" s="1876" t="s">
        <v>617</v>
      </c>
      <c r="B12" s="1877"/>
      <c r="C12" s="1877"/>
      <c r="D12" s="1877"/>
      <c r="E12" s="1877"/>
      <c r="F12" s="1878"/>
      <c r="G12" s="1152"/>
      <c r="H12" s="1152"/>
      <c r="I12" s="1152"/>
      <c r="J12" s="1152"/>
      <c r="K12" s="1152"/>
      <c r="L12" s="1152"/>
      <c r="M12" s="1152"/>
      <c r="N12" s="1152"/>
      <c r="O12" s="1152"/>
      <c r="P12" s="1152"/>
      <c r="Q12" s="1152"/>
      <c r="R12" s="1152"/>
      <c r="S12" s="1152"/>
      <c r="T12" s="1152"/>
      <c r="U12" s="1152"/>
      <c r="V12" s="1152"/>
      <c r="W12" s="1152"/>
      <c r="X12" s="1152"/>
      <c r="Y12" s="1152"/>
      <c r="Z12" s="1152"/>
      <c r="AA12" s="1152"/>
      <c r="AB12" s="1152"/>
      <c r="AC12" s="1152"/>
      <c r="AD12" s="1152"/>
      <c r="AE12" s="1152"/>
      <c r="AF12" s="1152"/>
      <c r="AG12" s="1152"/>
      <c r="AH12" s="1152"/>
      <c r="AI12" s="1152"/>
      <c r="AJ12" s="1152"/>
      <c r="AK12" s="1152"/>
      <c r="AL12" s="1152"/>
      <c r="AM12" s="1152"/>
      <c r="AN12" s="1152"/>
      <c r="AO12" s="1152"/>
      <c r="AP12" s="1152"/>
      <c r="AQ12" s="1152"/>
      <c r="AR12" s="1152"/>
      <c r="AS12" s="1152"/>
      <c r="AT12" s="1152"/>
      <c r="AU12" s="1152"/>
      <c r="AV12" s="1152"/>
      <c r="AW12" s="1152"/>
      <c r="AX12" s="1152"/>
      <c r="AY12" s="1152"/>
      <c r="AZ12" s="1152"/>
      <c r="BA12" s="1152"/>
      <c r="BB12" s="1152"/>
      <c r="BC12" s="1152"/>
      <c r="BD12" s="1152"/>
      <c r="BE12" s="1152"/>
      <c r="BF12" s="1152"/>
      <c r="BG12" s="1152"/>
      <c r="BH12" s="1152"/>
      <c r="BI12" s="1152"/>
      <c r="BJ12" s="1152"/>
      <c r="BK12" s="1152"/>
      <c r="BL12" s="1152"/>
      <c r="BM12" s="1152"/>
      <c r="BN12" s="1152"/>
      <c r="BO12" s="1152"/>
      <c r="BP12" s="1152"/>
      <c r="BQ12" s="1152"/>
      <c r="BR12" s="1152"/>
      <c r="BS12" s="1152"/>
      <c r="BT12" s="1152"/>
      <c r="BU12" s="1152"/>
      <c r="BV12" s="1152"/>
      <c r="BW12" s="1152"/>
      <c r="BX12" s="1152"/>
      <c r="BY12" s="1152"/>
      <c r="BZ12" s="1152"/>
      <c r="CA12" s="1152"/>
      <c r="CB12" s="1152"/>
      <c r="CC12" s="1152"/>
      <c r="CD12" s="1152"/>
      <c r="CE12" s="1152"/>
      <c r="CF12" s="1152"/>
      <c r="CG12" s="1152"/>
      <c r="CH12" s="1152"/>
      <c r="CI12" s="1152"/>
      <c r="CJ12" s="1152"/>
      <c r="CK12" s="1152"/>
      <c r="CL12" s="1152"/>
      <c r="CM12" s="1152"/>
      <c r="CN12" s="1152"/>
      <c r="CO12" s="1152"/>
      <c r="CP12" s="1152"/>
      <c r="CQ12" s="1152"/>
      <c r="CR12" s="1152"/>
      <c r="CS12" s="1152"/>
      <c r="CT12" s="1152"/>
      <c r="CU12" s="1152"/>
      <c r="CV12" s="1152"/>
      <c r="CW12" s="1152"/>
      <c r="CX12" s="1152"/>
      <c r="CY12" s="1152"/>
      <c r="CZ12" s="1152"/>
      <c r="DA12" s="1152"/>
      <c r="DB12" s="1152"/>
      <c r="DC12" s="1152"/>
      <c r="DD12" s="1152"/>
      <c r="DE12" s="1152"/>
      <c r="DF12" s="1152"/>
      <c r="DG12" s="1152"/>
      <c r="DH12" s="1152"/>
      <c r="DI12" s="1152"/>
      <c r="DJ12" s="1152"/>
      <c r="DK12" s="1152"/>
      <c r="DL12" s="1152"/>
      <c r="DM12" s="1152"/>
      <c r="DN12" s="1152"/>
      <c r="DO12" s="1152"/>
      <c r="DP12" s="1152"/>
      <c r="DQ12" s="1152"/>
      <c r="DR12" s="1152"/>
      <c r="DS12" s="1152"/>
      <c r="DT12" s="1152"/>
      <c r="DU12" s="1152"/>
      <c r="DV12" s="1152"/>
      <c r="DW12" s="1152"/>
      <c r="DX12" s="1152"/>
      <c r="DY12" s="1152"/>
      <c r="DZ12" s="1152"/>
      <c r="EA12" s="1152"/>
      <c r="EB12" s="1152"/>
      <c r="EC12" s="1152"/>
      <c r="ED12" s="1152"/>
      <c r="EE12" s="1152"/>
      <c r="EF12" s="1152"/>
      <c r="EG12" s="1152"/>
      <c r="EH12" s="1152"/>
      <c r="EI12" s="1152"/>
      <c r="EJ12" s="1152"/>
      <c r="EK12" s="1152"/>
      <c r="EL12" s="1152"/>
      <c r="EM12" s="1152"/>
      <c r="EN12" s="1152"/>
      <c r="EO12" s="1152"/>
      <c r="EP12" s="1152"/>
      <c r="EQ12" s="1152"/>
      <c r="ER12" s="1152"/>
      <c r="ES12" s="1152"/>
      <c r="ET12" s="1152"/>
      <c r="EU12" s="1152"/>
      <c r="EV12" s="1152"/>
      <c r="EW12" s="1152"/>
      <c r="EX12" s="1152"/>
      <c r="EY12" s="1152"/>
      <c r="EZ12" s="1152"/>
      <c r="FA12" s="1152"/>
      <c r="FB12" s="1152"/>
      <c r="FC12" s="1152"/>
      <c r="FD12" s="1152"/>
      <c r="FE12" s="1152"/>
      <c r="FF12" s="1152"/>
    </row>
    <row r="13" spans="1:162" s="1149" customFormat="1">
      <c r="A13" s="1778" t="s">
        <v>0</v>
      </c>
      <c r="B13" s="1778" t="s">
        <v>787</v>
      </c>
      <c r="C13" s="1770" t="s">
        <v>266</v>
      </c>
      <c r="D13" s="1779">
        <v>1</v>
      </c>
      <c r="E13" s="1780">
        <v>146000000</v>
      </c>
      <c r="F13" s="1780">
        <f>+E13*D13</f>
        <v>146000000</v>
      </c>
      <c r="G13" s="1152"/>
      <c r="H13" s="1152"/>
      <c r="I13" s="1152"/>
      <c r="J13" s="1152"/>
      <c r="K13" s="1152"/>
      <c r="L13" s="1152"/>
      <c r="M13" s="1152"/>
      <c r="N13" s="1152"/>
      <c r="O13" s="1152"/>
      <c r="P13" s="1152"/>
      <c r="Q13" s="1152"/>
      <c r="R13" s="1152"/>
      <c r="S13" s="1152"/>
      <c r="T13" s="1152"/>
      <c r="U13" s="1152"/>
      <c r="V13" s="1152"/>
      <c r="W13" s="1152"/>
      <c r="X13" s="1152"/>
      <c r="Y13" s="1152"/>
      <c r="Z13" s="1152"/>
      <c r="AA13" s="1152"/>
      <c r="AB13" s="1152"/>
      <c r="AC13" s="1152"/>
      <c r="AD13" s="1152"/>
      <c r="AE13" s="1152"/>
      <c r="AF13" s="1152"/>
      <c r="AG13" s="1152"/>
      <c r="AH13" s="1152"/>
      <c r="AI13" s="1152"/>
      <c r="AJ13" s="1152"/>
      <c r="AK13" s="1152"/>
      <c r="AL13" s="1152"/>
      <c r="AM13" s="1152"/>
      <c r="AN13" s="1152"/>
      <c r="AO13" s="1152"/>
      <c r="AP13" s="1152"/>
      <c r="AQ13" s="1152"/>
      <c r="AR13" s="1152"/>
      <c r="AS13" s="1152"/>
      <c r="AT13" s="1152"/>
      <c r="AU13" s="1152"/>
      <c r="AV13" s="1152"/>
      <c r="AW13" s="1152"/>
      <c r="AX13" s="1152"/>
      <c r="AY13" s="1152"/>
      <c r="AZ13" s="1152"/>
      <c r="BA13" s="1152"/>
      <c r="BB13" s="1152"/>
      <c r="BC13" s="1152"/>
      <c r="BD13" s="1152"/>
      <c r="BE13" s="1152"/>
      <c r="BF13" s="1152"/>
      <c r="BG13" s="1152"/>
      <c r="BH13" s="1152"/>
      <c r="BI13" s="1152"/>
      <c r="BJ13" s="1152"/>
      <c r="BK13" s="1152"/>
      <c r="BL13" s="1152"/>
      <c r="BM13" s="1152"/>
      <c r="BN13" s="1152"/>
      <c r="BO13" s="1152"/>
      <c r="BP13" s="1152"/>
      <c r="BQ13" s="1152"/>
      <c r="BR13" s="1152"/>
      <c r="BS13" s="1152"/>
      <c r="BT13" s="1152"/>
      <c r="BU13" s="1152"/>
      <c r="BV13" s="1152"/>
      <c r="BW13" s="1152"/>
      <c r="BX13" s="1152"/>
      <c r="BY13" s="1152"/>
      <c r="BZ13" s="1152"/>
      <c r="CA13" s="1152"/>
      <c r="CB13" s="1152"/>
      <c r="CC13" s="1152"/>
      <c r="CD13" s="1152"/>
      <c r="CE13" s="1152"/>
      <c r="CF13" s="1152"/>
      <c r="CG13" s="1152"/>
      <c r="CH13" s="1152"/>
      <c r="CI13" s="1152"/>
      <c r="CJ13" s="1152"/>
      <c r="CK13" s="1152"/>
      <c r="CL13" s="1152"/>
      <c r="CM13" s="1152"/>
      <c r="CN13" s="1152"/>
      <c r="CO13" s="1152"/>
      <c r="CP13" s="1152"/>
      <c r="CQ13" s="1152"/>
      <c r="CR13" s="1152"/>
      <c r="CS13" s="1152"/>
      <c r="CT13" s="1152"/>
      <c r="CU13" s="1152"/>
      <c r="CV13" s="1152"/>
      <c r="CW13" s="1152"/>
      <c r="CX13" s="1152"/>
      <c r="CY13" s="1152"/>
      <c r="CZ13" s="1152"/>
      <c r="DA13" s="1152"/>
      <c r="DB13" s="1152"/>
      <c r="DC13" s="1152"/>
      <c r="DD13" s="1152"/>
      <c r="DE13" s="1152"/>
      <c r="DF13" s="1152"/>
      <c r="DG13" s="1152"/>
      <c r="DH13" s="1152"/>
      <c r="DI13" s="1152"/>
      <c r="DJ13" s="1152"/>
      <c r="DK13" s="1152"/>
      <c r="DL13" s="1152"/>
      <c r="DM13" s="1152"/>
      <c r="DN13" s="1152"/>
      <c r="DO13" s="1152"/>
      <c r="DP13" s="1152"/>
      <c r="DQ13" s="1152"/>
      <c r="DR13" s="1152"/>
      <c r="DS13" s="1152"/>
      <c r="DT13" s="1152"/>
      <c r="DU13" s="1152"/>
      <c r="DV13" s="1152"/>
      <c r="DW13" s="1152"/>
      <c r="DX13" s="1152"/>
      <c r="DY13" s="1152"/>
      <c r="DZ13" s="1152"/>
      <c r="EA13" s="1152"/>
      <c r="EB13" s="1152"/>
      <c r="EC13" s="1152"/>
      <c r="ED13" s="1152"/>
      <c r="EE13" s="1152"/>
      <c r="EF13" s="1152"/>
      <c r="EG13" s="1152"/>
      <c r="EH13" s="1152"/>
      <c r="EI13" s="1152"/>
      <c r="EJ13" s="1152"/>
      <c r="EK13" s="1152"/>
      <c r="EL13" s="1152"/>
      <c r="EM13" s="1152"/>
      <c r="EN13" s="1152"/>
      <c r="EO13" s="1152"/>
      <c r="EP13" s="1152"/>
      <c r="EQ13" s="1152"/>
      <c r="ER13" s="1152"/>
      <c r="ES13" s="1152"/>
      <c r="ET13" s="1152"/>
      <c r="EU13" s="1152"/>
      <c r="EV13" s="1152"/>
      <c r="EW13" s="1152"/>
      <c r="EX13" s="1152"/>
      <c r="EY13" s="1152"/>
      <c r="EZ13" s="1152"/>
      <c r="FA13" s="1152"/>
      <c r="FB13" s="1152"/>
      <c r="FC13" s="1152"/>
      <c r="FD13" s="1152"/>
      <c r="FE13" s="1152"/>
      <c r="FF13" s="1152"/>
    </row>
    <row r="14" spans="1:162" s="1164" customFormat="1">
      <c r="A14" s="1781">
        <v>102</v>
      </c>
      <c r="B14" s="1781" t="s">
        <v>788</v>
      </c>
      <c r="C14" s="1782" t="s">
        <v>266</v>
      </c>
      <c r="D14" s="1783">
        <v>1</v>
      </c>
      <c r="E14" s="1784">
        <v>362000000</v>
      </c>
      <c r="F14" s="1794">
        <f t="shared" ref="F14:F15" si="0">+E14*D14</f>
        <v>362000000</v>
      </c>
    </row>
    <row r="15" spans="1:162" s="1743" customFormat="1">
      <c r="A15" s="1781">
        <v>103</v>
      </c>
      <c r="B15" s="1781" t="s">
        <v>789</v>
      </c>
      <c r="C15" s="1782" t="s">
        <v>266</v>
      </c>
      <c r="D15" s="1783">
        <v>1</v>
      </c>
      <c r="E15" s="1784">
        <v>133000000</v>
      </c>
      <c r="F15" s="1794">
        <f t="shared" si="0"/>
        <v>133000000</v>
      </c>
      <c r="G15" s="1742"/>
      <c r="H15" s="1742"/>
      <c r="I15" s="1742"/>
      <c r="J15" s="1742"/>
      <c r="K15" s="1742"/>
      <c r="L15" s="1742"/>
      <c r="M15" s="1742"/>
      <c r="N15" s="1742"/>
      <c r="O15" s="1742"/>
      <c r="P15" s="1742"/>
      <c r="Q15" s="1742"/>
      <c r="R15" s="1742"/>
      <c r="S15" s="1742"/>
      <c r="T15" s="1742"/>
      <c r="U15" s="1742"/>
      <c r="V15" s="1742"/>
      <c r="W15" s="1742"/>
      <c r="X15" s="1742"/>
      <c r="Y15" s="1742"/>
      <c r="Z15" s="1742"/>
      <c r="AA15" s="1742"/>
      <c r="AB15" s="1742"/>
      <c r="AC15" s="1742"/>
      <c r="AD15" s="1742"/>
      <c r="AE15" s="1742"/>
      <c r="AF15" s="1742"/>
      <c r="AG15" s="1742"/>
      <c r="AH15" s="1742"/>
      <c r="AI15" s="1742"/>
      <c r="AJ15" s="1742"/>
      <c r="AK15" s="1742"/>
      <c r="AL15" s="1742"/>
      <c r="AM15" s="1742"/>
      <c r="AN15" s="1742"/>
      <c r="AO15" s="1742"/>
      <c r="AP15" s="1742"/>
      <c r="AQ15" s="1742"/>
      <c r="AR15" s="1742"/>
      <c r="AS15" s="1742"/>
      <c r="AT15" s="1742"/>
      <c r="AU15" s="1742"/>
      <c r="AV15" s="1742"/>
      <c r="AW15" s="1742"/>
      <c r="AX15" s="1742"/>
      <c r="AY15" s="1742"/>
      <c r="AZ15" s="1742"/>
      <c r="BA15" s="1742"/>
      <c r="BB15" s="1742"/>
      <c r="BC15" s="1742"/>
      <c r="BD15" s="1742"/>
      <c r="BE15" s="1742"/>
      <c r="BF15" s="1742"/>
      <c r="BG15" s="1742"/>
      <c r="BH15" s="1742"/>
      <c r="BI15" s="1742"/>
      <c r="BJ15" s="1742"/>
      <c r="BK15" s="1742"/>
      <c r="BL15" s="1742"/>
      <c r="BM15" s="1742"/>
      <c r="BN15" s="1742"/>
      <c r="BO15" s="1742"/>
      <c r="BP15" s="1742"/>
      <c r="BQ15" s="1742"/>
      <c r="BR15" s="1742"/>
      <c r="BS15" s="1742"/>
      <c r="BT15" s="1742"/>
      <c r="BU15" s="1742"/>
      <c r="BV15" s="1742"/>
      <c r="BW15" s="1742"/>
      <c r="BX15" s="1742"/>
      <c r="BY15" s="1742"/>
      <c r="BZ15" s="1742"/>
      <c r="CA15" s="1742"/>
      <c r="CB15" s="1742"/>
      <c r="CC15" s="1742"/>
      <c r="CD15" s="1742"/>
      <c r="CE15" s="1742"/>
      <c r="CF15" s="1742"/>
      <c r="CG15" s="1742"/>
      <c r="CH15" s="1742"/>
      <c r="CI15" s="1742"/>
      <c r="CJ15" s="1742"/>
      <c r="CK15" s="1742"/>
      <c r="CL15" s="1742"/>
      <c r="CM15" s="1742"/>
      <c r="CN15" s="1742"/>
      <c r="CO15" s="1742"/>
      <c r="CP15" s="1742"/>
      <c r="CQ15" s="1742"/>
      <c r="CR15" s="1742"/>
      <c r="CS15" s="1742"/>
      <c r="CT15" s="1742"/>
      <c r="CU15" s="1742"/>
      <c r="CV15" s="1742"/>
      <c r="CW15" s="1742"/>
      <c r="CX15" s="1742"/>
      <c r="CY15" s="1742"/>
      <c r="CZ15" s="1742"/>
      <c r="DA15" s="1742"/>
      <c r="DB15" s="1742"/>
      <c r="DC15" s="1742"/>
      <c r="DD15" s="1742"/>
      <c r="DE15" s="1742"/>
      <c r="DF15" s="1742"/>
      <c r="DG15" s="1742"/>
      <c r="DH15" s="1742"/>
      <c r="DI15" s="1742"/>
      <c r="DJ15" s="1742"/>
      <c r="DK15" s="1742"/>
      <c r="DL15" s="1742"/>
      <c r="DM15" s="1742"/>
      <c r="DN15" s="1742"/>
      <c r="DO15" s="1742"/>
      <c r="DP15" s="1742"/>
      <c r="DQ15" s="1742"/>
      <c r="DR15" s="1742"/>
      <c r="DS15" s="1742"/>
      <c r="DT15" s="1742"/>
      <c r="DU15" s="1742"/>
      <c r="DV15" s="1742"/>
      <c r="DW15" s="1742"/>
      <c r="DX15" s="1742"/>
      <c r="DY15" s="1742"/>
      <c r="DZ15" s="1742"/>
      <c r="EA15" s="1742"/>
      <c r="EB15" s="1742"/>
      <c r="EC15" s="1742"/>
      <c r="ED15" s="1742"/>
      <c r="EE15" s="1742"/>
      <c r="EF15" s="1742"/>
      <c r="EG15" s="1742"/>
      <c r="EH15" s="1742"/>
      <c r="EI15" s="1742"/>
      <c r="EJ15" s="1742"/>
      <c r="EK15" s="1742"/>
      <c r="EL15" s="1742"/>
      <c r="EM15" s="1742"/>
      <c r="EN15" s="1742"/>
      <c r="EO15" s="1742"/>
      <c r="EP15" s="1742"/>
      <c r="EQ15" s="1742"/>
      <c r="ER15" s="1742"/>
      <c r="ES15" s="1742"/>
      <c r="ET15" s="1742"/>
      <c r="EU15" s="1742"/>
      <c r="EV15" s="1742"/>
      <c r="EW15" s="1742"/>
      <c r="EX15" s="1742"/>
      <c r="EY15" s="1742"/>
      <c r="EZ15" s="1742"/>
      <c r="FA15" s="1742"/>
      <c r="FB15" s="1742"/>
      <c r="FC15" s="1742"/>
      <c r="FD15" s="1742"/>
      <c r="FE15" s="1742"/>
      <c r="FF15" s="1742"/>
    </row>
    <row r="16" spans="1:162" s="1149" customFormat="1" ht="28.5">
      <c r="A16" s="1787">
        <v>105</v>
      </c>
      <c r="B16" s="1785" t="s">
        <v>790</v>
      </c>
      <c r="C16" s="1782" t="s">
        <v>615</v>
      </c>
      <c r="D16" s="1783"/>
      <c r="E16" s="1784">
        <v>641000000</v>
      </c>
      <c r="F16" s="1794"/>
      <c r="G16" s="1152"/>
      <c r="H16" s="1152"/>
      <c r="I16" s="1152"/>
      <c r="J16" s="1152"/>
      <c r="K16" s="1152"/>
      <c r="L16" s="1152"/>
      <c r="M16" s="1152"/>
      <c r="N16" s="1152"/>
      <c r="O16" s="1152"/>
      <c r="P16" s="1152"/>
      <c r="Q16" s="1152"/>
      <c r="R16" s="1152"/>
      <c r="S16" s="1152"/>
      <c r="T16" s="1152"/>
      <c r="U16" s="1152"/>
      <c r="V16" s="1152"/>
      <c r="W16" s="1152"/>
      <c r="X16" s="1152"/>
      <c r="Y16" s="1152"/>
      <c r="Z16" s="1152"/>
      <c r="AA16" s="1152"/>
      <c r="AB16" s="1152"/>
      <c r="AC16" s="1152"/>
      <c r="AD16" s="1152"/>
      <c r="AE16" s="1152"/>
      <c r="AF16" s="1152"/>
      <c r="AG16" s="1152"/>
      <c r="AH16" s="1152"/>
      <c r="AI16" s="1152"/>
      <c r="AJ16" s="1152"/>
      <c r="AK16" s="1152"/>
      <c r="AL16" s="1152"/>
      <c r="AM16" s="1152"/>
      <c r="AN16" s="1152"/>
      <c r="AO16" s="1152"/>
      <c r="AP16" s="1152"/>
      <c r="AQ16" s="1152"/>
      <c r="AR16" s="1152"/>
      <c r="AS16" s="1152"/>
      <c r="AT16" s="1152"/>
      <c r="AU16" s="1152"/>
      <c r="AV16" s="1152"/>
      <c r="AW16" s="1152"/>
      <c r="AX16" s="1152"/>
      <c r="AY16" s="1152"/>
      <c r="AZ16" s="1152"/>
      <c r="BA16" s="1152"/>
      <c r="BB16" s="1152"/>
      <c r="BC16" s="1152"/>
      <c r="BD16" s="1152"/>
      <c r="BE16" s="1152"/>
      <c r="BF16" s="1152"/>
      <c r="BG16" s="1152"/>
      <c r="BH16" s="1152"/>
      <c r="BI16" s="1152"/>
      <c r="BJ16" s="1152"/>
      <c r="BK16" s="1152"/>
      <c r="BL16" s="1152"/>
      <c r="BM16" s="1152"/>
      <c r="BN16" s="1152"/>
      <c r="BO16" s="1152"/>
      <c r="BP16" s="1152"/>
      <c r="BQ16" s="1152"/>
      <c r="BR16" s="1152"/>
      <c r="BS16" s="1152"/>
      <c r="BT16" s="1152"/>
      <c r="BU16" s="1152"/>
      <c r="BV16" s="1152"/>
      <c r="BW16" s="1152"/>
      <c r="BX16" s="1152"/>
      <c r="BY16" s="1152"/>
      <c r="BZ16" s="1152"/>
      <c r="CA16" s="1152"/>
      <c r="CB16" s="1152"/>
      <c r="CC16" s="1152"/>
      <c r="CD16" s="1152"/>
      <c r="CE16" s="1152"/>
      <c r="CF16" s="1152"/>
      <c r="CG16" s="1152"/>
      <c r="CH16" s="1152"/>
      <c r="CI16" s="1152"/>
      <c r="CJ16" s="1152"/>
      <c r="CK16" s="1152"/>
      <c r="CL16" s="1152"/>
      <c r="CM16" s="1152"/>
      <c r="CN16" s="1152"/>
      <c r="CO16" s="1152"/>
      <c r="CP16" s="1152"/>
      <c r="CQ16" s="1152"/>
      <c r="CR16" s="1152"/>
      <c r="CS16" s="1152"/>
      <c r="CT16" s="1152"/>
      <c r="CU16" s="1152"/>
      <c r="CV16" s="1152"/>
      <c r="CW16" s="1152"/>
      <c r="CX16" s="1152"/>
      <c r="CY16" s="1152"/>
      <c r="CZ16" s="1152"/>
      <c r="DA16" s="1152"/>
      <c r="DB16" s="1152"/>
      <c r="DC16" s="1152"/>
      <c r="DD16" s="1152"/>
      <c r="DE16" s="1152"/>
      <c r="DF16" s="1152"/>
      <c r="DG16" s="1152"/>
      <c r="DH16" s="1152"/>
      <c r="DI16" s="1152"/>
      <c r="DJ16" s="1152"/>
      <c r="DK16" s="1152"/>
      <c r="DL16" s="1152"/>
      <c r="DM16" s="1152"/>
      <c r="DN16" s="1152"/>
      <c r="DO16" s="1152"/>
      <c r="DP16" s="1152"/>
      <c r="DQ16" s="1152"/>
      <c r="DR16" s="1152"/>
      <c r="DS16" s="1152"/>
      <c r="DT16" s="1152"/>
      <c r="DU16" s="1152"/>
      <c r="DV16" s="1152"/>
      <c r="DW16" s="1152"/>
      <c r="DX16" s="1152"/>
      <c r="DY16" s="1152"/>
      <c r="DZ16" s="1152"/>
      <c r="EA16" s="1152"/>
      <c r="EB16" s="1152"/>
      <c r="EC16" s="1152"/>
      <c r="ED16" s="1152"/>
      <c r="EE16" s="1152"/>
      <c r="EF16" s="1152"/>
      <c r="EG16" s="1152"/>
      <c r="EH16" s="1152"/>
      <c r="EI16" s="1152"/>
      <c r="EJ16" s="1152"/>
      <c r="EK16" s="1152"/>
      <c r="EL16" s="1152"/>
      <c r="EM16" s="1152"/>
      <c r="EN16" s="1152"/>
      <c r="EO16" s="1152"/>
      <c r="EP16" s="1152"/>
      <c r="EQ16" s="1152"/>
      <c r="ER16" s="1152"/>
      <c r="ES16" s="1152"/>
      <c r="ET16" s="1152"/>
      <c r="EU16" s="1152"/>
      <c r="EV16" s="1152"/>
      <c r="EW16" s="1152"/>
      <c r="EX16" s="1152"/>
      <c r="EY16" s="1152"/>
      <c r="EZ16" s="1152"/>
      <c r="FA16" s="1152"/>
      <c r="FB16" s="1152"/>
      <c r="FC16" s="1152"/>
      <c r="FD16" s="1152"/>
      <c r="FE16" s="1152"/>
      <c r="FF16" s="1152"/>
    </row>
    <row r="17" spans="1:162" s="1149" customFormat="1">
      <c r="A17" s="1787">
        <v>107</v>
      </c>
      <c r="B17" s="1785" t="s">
        <v>791</v>
      </c>
      <c r="C17" s="1782" t="s">
        <v>27</v>
      </c>
      <c r="D17" s="1783">
        <v>94</v>
      </c>
      <c r="E17" s="1784"/>
      <c r="F17" s="1794"/>
      <c r="G17" s="1152"/>
      <c r="H17" s="1152"/>
      <c r="I17" s="1152"/>
      <c r="J17" s="1152"/>
      <c r="K17" s="1152"/>
      <c r="L17" s="1152"/>
      <c r="M17" s="1152"/>
      <c r="N17" s="1152"/>
      <c r="O17" s="1152"/>
      <c r="P17" s="1152"/>
      <c r="Q17" s="1152"/>
      <c r="R17" s="1152"/>
      <c r="S17" s="1152"/>
      <c r="T17" s="1152"/>
      <c r="U17" s="1152"/>
      <c r="V17" s="1152"/>
      <c r="W17" s="1152"/>
      <c r="X17" s="1152"/>
      <c r="Y17" s="1152"/>
      <c r="Z17" s="1152"/>
      <c r="AA17" s="1152"/>
      <c r="AB17" s="1152"/>
      <c r="AC17" s="1152"/>
      <c r="AD17" s="1152"/>
      <c r="AE17" s="1152"/>
      <c r="AF17" s="1152"/>
      <c r="AG17" s="1152"/>
      <c r="AH17" s="1152"/>
      <c r="AI17" s="1152"/>
      <c r="AJ17" s="1152"/>
      <c r="AK17" s="1152"/>
      <c r="AL17" s="1152"/>
      <c r="AM17" s="1152"/>
      <c r="AN17" s="1152"/>
      <c r="AO17" s="1152"/>
      <c r="AP17" s="1152"/>
      <c r="AQ17" s="1152"/>
      <c r="AR17" s="1152"/>
      <c r="AS17" s="1152"/>
      <c r="AT17" s="1152"/>
      <c r="AU17" s="1152"/>
      <c r="AV17" s="1152"/>
      <c r="AW17" s="1152"/>
      <c r="AX17" s="1152"/>
      <c r="AY17" s="1152"/>
      <c r="AZ17" s="1152"/>
      <c r="BA17" s="1152"/>
      <c r="BB17" s="1152"/>
      <c r="BC17" s="1152"/>
      <c r="BD17" s="1152"/>
      <c r="BE17" s="1152"/>
      <c r="BF17" s="1152"/>
      <c r="BG17" s="1152"/>
      <c r="BH17" s="1152"/>
      <c r="BI17" s="1152"/>
      <c r="BJ17" s="1152"/>
      <c r="BK17" s="1152"/>
      <c r="BL17" s="1152"/>
      <c r="BM17" s="1152"/>
      <c r="BN17" s="1152"/>
      <c r="BO17" s="1152"/>
      <c r="BP17" s="1152"/>
      <c r="BQ17" s="1152"/>
      <c r="BR17" s="1152"/>
      <c r="BS17" s="1152"/>
      <c r="BT17" s="1152"/>
      <c r="BU17" s="1152"/>
      <c r="BV17" s="1152"/>
      <c r="BW17" s="1152"/>
      <c r="BX17" s="1152"/>
      <c r="BY17" s="1152"/>
      <c r="BZ17" s="1152"/>
      <c r="CA17" s="1152"/>
      <c r="CB17" s="1152"/>
      <c r="CC17" s="1152"/>
      <c r="CD17" s="1152"/>
      <c r="CE17" s="1152"/>
      <c r="CF17" s="1152"/>
      <c r="CG17" s="1152"/>
      <c r="CH17" s="1152"/>
      <c r="CI17" s="1152"/>
      <c r="CJ17" s="1152"/>
      <c r="CK17" s="1152"/>
      <c r="CL17" s="1152"/>
      <c r="CM17" s="1152"/>
      <c r="CN17" s="1152"/>
      <c r="CO17" s="1152"/>
      <c r="CP17" s="1152"/>
      <c r="CQ17" s="1152"/>
      <c r="CR17" s="1152"/>
      <c r="CS17" s="1152"/>
      <c r="CT17" s="1152"/>
      <c r="CU17" s="1152"/>
      <c r="CV17" s="1152"/>
      <c r="CW17" s="1152"/>
      <c r="CX17" s="1152"/>
      <c r="CY17" s="1152"/>
      <c r="CZ17" s="1152"/>
      <c r="DA17" s="1152"/>
      <c r="DB17" s="1152"/>
      <c r="DC17" s="1152"/>
      <c r="DD17" s="1152"/>
      <c r="DE17" s="1152"/>
      <c r="DF17" s="1152"/>
      <c r="DG17" s="1152"/>
      <c r="DH17" s="1152"/>
      <c r="DI17" s="1152"/>
      <c r="DJ17" s="1152"/>
      <c r="DK17" s="1152"/>
      <c r="DL17" s="1152"/>
      <c r="DM17" s="1152"/>
      <c r="DN17" s="1152"/>
      <c r="DO17" s="1152"/>
      <c r="DP17" s="1152"/>
      <c r="DQ17" s="1152"/>
      <c r="DR17" s="1152"/>
      <c r="DS17" s="1152"/>
      <c r="DT17" s="1152"/>
      <c r="DU17" s="1152"/>
      <c r="DV17" s="1152"/>
      <c r="DW17" s="1152"/>
      <c r="DX17" s="1152"/>
      <c r="DY17" s="1152"/>
      <c r="DZ17" s="1152"/>
      <c r="EA17" s="1152"/>
      <c r="EB17" s="1152"/>
      <c r="EC17" s="1152"/>
      <c r="ED17" s="1152"/>
      <c r="EE17" s="1152"/>
      <c r="EF17" s="1152"/>
      <c r="EG17" s="1152"/>
      <c r="EH17" s="1152"/>
      <c r="EI17" s="1152"/>
      <c r="EJ17" s="1152"/>
      <c r="EK17" s="1152"/>
      <c r="EL17" s="1152"/>
      <c r="EM17" s="1152"/>
      <c r="EN17" s="1152"/>
      <c r="EO17" s="1152"/>
      <c r="EP17" s="1152"/>
      <c r="EQ17" s="1152"/>
      <c r="ER17" s="1152"/>
      <c r="ES17" s="1152"/>
      <c r="ET17" s="1152"/>
      <c r="EU17" s="1152"/>
      <c r="EV17" s="1152"/>
      <c r="EW17" s="1152"/>
      <c r="EX17" s="1152"/>
      <c r="EY17" s="1152"/>
      <c r="EZ17" s="1152"/>
      <c r="FA17" s="1152"/>
      <c r="FB17" s="1152"/>
      <c r="FC17" s="1152"/>
      <c r="FD17" s="1152"/>
      <c r="FE17" s="1152"/>
      <c r="FF17" s="1152"/>
    </row>
    <row r="18" spans="1:162" s="1149" customFormat="1">
      <c r="A18" s="1787">
        <v>108</v>
      </c>
      <c r="B18" s="1785" t="s">
        <v>604</v>
      </c>
      <c r="C18" s="1782" t="s">
        <v>1</v>
      </c>
      <c r="D18" s="1783">
        <v>2090</v>
      </c>
      <c r="E18" s="1784"/>
      <c r="F18" s="1794"/>
      <c r="G18" s="1152"/>
      <c r="H18" s="1152"/>
      <c r="I18" s="1152"/>
      <c r="J18" s="1152"/>
      <c r="K18" s="1152"/>
      <c r="L18" s="1152"/>
      <c r="M18" s="1152"/>
      <c r="N18" s="1152"/>
      <c r="O18" s="1152"/>
      <c r="P18" s="1152"/>
      <c r="Q18" s="1152"/>
      <c r="R18" s="1152"/>
      <c r="S18" s="1152"/>
      <c r="T18" s="1152"/>
      <c r="U18" s="1152"/>
      <c r="V18" s="1152"/>
      <c r="W18" s="1152"/>
      <c r="X18" s="1152"/>
      <c r="Y18" s="1152"/>
      <c r="Z18" s="1152"/>
      <c r="AA18" s="1152"/>
      <c r="AB18" s="1152"/>
      <c r="AC18" s="1152"/>
      <c r="AD18" s="1152"/>
      <c r="AE18" s="1152"/>
      <c r="AF18" s="1152"/>
      <c r="AG18" s="1152"/>
      <c r="AH18" s="1152"/>
      <c r="AI18" s="1152"/>
      <c r="AJ18" s="1152"/>
      <c r="AK18" s="1152"/>
      <c r="AL18" s="1152"/>
      <c r="AM18" s="1152"/>
      <c r="AN18" s="1152"/>
      <c r="AO18" s="1152"/>
      <c r="AP18" s="1152"/>
      <c r="AQ18" s="1152"/>
      <c r="AR18" s="1152"/>
      <c r="AS18" s="1152"/>
      <c r="AT18" s="1152"/>
      <c r="AU18" s="1152"/>
      <c r="AV18" s="1152"/>
      <c r="AW18" s="1152"/>
      <c r="AX18" s="1152"/>
      <c r="AY18" s="1152"/>
      <c r="AZ18" s="1152"/>
      <c r="BA18" s="1152"/>
      <c r="BB18" s="1152"/>
      <c r="BC18" s="1152"/>
      <c r="BD18" s="1152"/>
      <c r="BE18" s="1152"/>
      <c r="BF18" s="1152"/>
      <c r="BG18" s="1152"/>
      <c r="BH18" s="1152"/>
      <c r="BI18" s="1152"/>
      <c r="BJ18" s="1152"/>
      <c r="BK18" s="1152"/>
      <c r="BL18" s="1152"/>
      <c r="BM18" s="1152"/>
      <c r="BN18" s="1152"/>
      <c r="BO18" s="1152"/>
      <c r="BP18" s="1152"/>
      <c r="BQ18" s="1152"/>
      <c r="BR18" s="1152"/>
      <c r="BS18" s="1152"/>
      <c r="BT18" s="1152"/>
      <c r="BU18" s="1152"/>
      <c r="BV18" s="1152"/>
      <c r="BW18" s="1152"/>
      <c r="BX18" s="1152"/>
      <c r="BY18" s="1152"/>
      <c r="BZ18" s="1152"/>
      <c r="CA18" s="1152"/>
      <c r="CB18" s="1152"/>
      <c r="CC18" s="1152"/>
      <c r="CD18" s="1152"/>
      <c r="CE18" s="1152"/>
      <c r="CF18" s="1152"/>
      <c r="CG18" s="1152"/>
      <c r="CH18" s="1152"/>
      <c r="CI18" s="1152"/>
      <c r="CJ18" s="1152"/>
      <c r="CK18" s="1152"/>
      <c r="CL18" s="1152"/>
      <c r="CM18" s="1152"/>
      <c r="CN18" s="1152"/>
      <c r="CO18" s="1152"/>
      <c r="CP18" s="1152"/>
      <c r="CQ18" s="1152"/>
      <c r="CR18" s="1152"/>
      <c r="CS18" s="1152"/>
      <c r="CT18" s="1152"/>
      <c r="CU18" s="1152"/>
      <c r="CV18" s="1152"/>
      <c r="CW18" s="1152"/>
      <c r="CX18" s="1152"/>
      <c r="CY18" s="1152"/>
      <c r="CZ18" s="1152"/>
      <c r="DA18" s="1152"/>
      <c r="DB18" s="1152"/>
      <c r="DC18" s="1152"/>
      <c r="DD18" s="1152"/>
      <c r="DE18" s="1152"/>
      <c r="DF18" s="1152"/>
      <c r="DG18" s="1152"/>
      <c r="DH18" s="1152"/>
      <c r="DI18" s="1152"/>
      <c r="DJ18" s="1152"/>
      <c r="DK18" s="1152"/>
      <c r="DL18" s="1152"/>
      <c r="DM18" s="1152"/>
      <c r="DN18" s="1152"/>
      <c r="DO18" s="1152"/>
      <c r="DP18" s="1152"/>
      <c r="DQ18" s="1152"/>
      <c r="DR18" s="1152"/>
      <c r="DS18" s="1152"/>
      <c r="DT18" s="1152"/>
      <c r="DU18" s="1152"/>
      <c r="DV18" s="1152"/>
      <c r="DW18" s="1152"/>
      <c r="DX18" s="1152"/>
      <c r="DY18" s="1152"/>
      <c r="DZ18" s="1152"/>
      <c r="EA18" s="1152"/>
      <c r="EB18" s="1152"/>
      <c r="EC18" s="1152"/>
      <c r="ED18" s="1152"/>
      <c r="EE18" s="1152"/>
      <c r="EF18" s="1152"/>
      <c r="EG18" s="1152"/>
      <c r="EH18" s="1152"/>
      <c r="EI18" s="1152"/>
      <c r="EJ18" s="1152"/>
      <c r="EK18" s="1152"/>
      <c r="EL18" s="1152"/>
      <c r="EM18" s="1152"/>
      <c r="EN18" s="1152"/>
      <c r="EO18" s="1152"/>
      <c r="EP18" s="1152"/>
      <c r="EQ18" s="1152"/>
      <c r="ER18" s="1152"/>
      <c r="ES18" s="1152"/>
      <c r="ET18" s="1152"/>
      <c r="EU18" s="1152"/>
      <c r="EV18" s="1152"/>
      <c r="EW18" s="1152"/>
      <c r="EX18" s="1152"/>
      <c r="EY18" s="1152"/>
      <c r="EZ18" s="1152"/>
      <c r="FA18" s="1152"/>
      <c r="FB18" s="1152"/>
      <c r="FC18" s="1152"/>
      <c r="FD18" s="1152"/>
      <c r="FE18" s="1152"/>
      <c r="FF18" s="1152"/>
    </row>
    <row r="19" spans="1:162" s="1149" customFormat="1">
      <c r="A19" s="1788">
        <v>109</v>
      </c>
      <c r="B19" s="1786" t="s">
        <v>605</v>
      </c>
      <c r="C19" s="1775" t="s">
        <v>1</v>
      </c>
      <c r="D19" s="1776">
        <v>2090</v>
      </c>
      <c r="E19" s="1777"/>
      <c r="F19" s="1794"/>
      <c r="G19" s="1152"/>
      <c r="H19" s="1152"/>
      <c r="I19" s="1152"/>
      <c r="J19" s="1152"/>
      <c r="K19" s="1152"/>
      <c r="L19" s="1152"/>
      <c r="M19" s="1152"/>
      <c r="N19" s="1152"/>
      <c r="O19" s="1152"/>
      <c r="P19" s="1152"/>
      <c r="Q19" s="1152"/>
      <c r="R19" s="1152"/>
      <c r="S19" s="1152"/>
      <c r="T19" s="1152"/>
      <c r="U19" s="1152"/>
      <c r="V19" s="1152"/>
      <c r="W19" s="1152"/>
      <c r="X19" s="1152"/>
      <c r="Y19" s="1152"/>
      <c r="Z19" s="1152"/>
      <c r="AA19" s="1152"/>
      <c r="AB19" s="1152"/>
      <c r="AC19" s="1152"/>
      <c r="AD19" s="1152"/>
      <c r="AE19" s="1152"/>
      <c r="AF19" s="1152"/>
      <c r="AG19" s="1152"/>
      <c r="AH19" s="1152"/>
      <c r="AI19" s="1152"/>
      <c r="AJ19" s="1152"/>
      <c r="AK19" s="1152"/>
      <c r="AL19" s="1152"/>
      <c r="AM19" s="1152"/>
      <c r="AN19" s="1152"/>
      <c r="AO19" s="1152"/>
      <c r="AP19" s="1152"/>
      <c r="AQ19" s="1152"/>
      <c r="AR19" s="1152"/>
      <c r="AS19" s="1152"/>
      <c r="AT19" s="1152"/>
      <c r="AU19" s="1152"/>
      <c r="AV19" s="1152"/>
      <c r="AW19" s="1152"/>
      <c r="AX19" s="1152"/>
      <c r="AY19" s="1152"/>
      <c r="AZ19" s="1152"/>
      <c r="BA19" s="1152"/>
      <c r="BB19" s="1152"/>
      <c r="BC19" s="1152"/>
      <c r="BD19" s="1152"/>
      <c r="BE19" s="1152"/>
      <c r="BF19" s="1152"/>
      <c r="BG19" s="1152"/>
      <c r="BH19" s="1152"/>
      <c r="BI19" s="1152"/>
      <c r="BJ19" s="1152"/>
      <c r="BK19" s="1152"/>
      <c r="BL19" s="1152"/>
      <c r="BM19" s="1152"/>
      <c r="BN19" s="1152"/>
      <c r="BO19" s="1152"/>
      <c r="BP19" s="1152"/>
      <c r="BQ19" s="1152"/>
      <c r="BR19" s="1152"/>
      <c r="BS19" s="1152"/>
      <c r="BT19" s="1152"/>
      <c r="BU19" s="1152"/>
      <c r="BV19" s="1152"/>
      <c r="BW19" s="1152"/>
      <c r="BX19" s="1152"/>
      <c r="BY19" s="1152"/>
      <c r="BZ19" s="1152"/>
      <c r="CA19" s="1152"/>
      <c r="CB19" s="1152"/>
      <c r="CC19" s="1152"/>
      <c r="CD19" s="1152"/>
      <c r="CE19" s="1152"/>
      <c r="CF19" s="1152"/>
      <c r="CG19" s="1152"/>
      <c r="CH19" s="1152"/>
      <c r="CI19" s="1152"/>
      <c r="CJ19" s="1152"/>
      <c r="CK19" s="1152"/>
      <c r="CL19" s="1152"/>
      <c r="CM19" s="1152"/>
      <c r="CN19" s="1152"/>
      <c r="CO19" s="1152"/>
      <c r="CP19" s="1152"/>
      <c r="CQ19" s="1152"/>
      <c r="CR19" s="1152"/>
      <c r="CS19" s="1152"/>
      <c r="CT19" s="1152"/>
      <c r="CU19" s="1152"/>
      <c r="CV19" s="1152"/>
      <c r="CW19" s="1152"/>
      <c r="CX19" s="1152"/>
      <c r="CY19" s="1152"/>
      <c r="CZ19" s="1152"/>
      <c r="DA19" s="1152"/>
      <c r="DB19" s="1152"/>
      <c r="DC19" s="1152"/>
      <c r="DD19" s="1152"/>
      <c r="DE19" s="1152"/>
      <c r="DF19" s="1152"/>
      <c r="DG19" s="1152"/>
      <c r="DH19" s="1152"/>
      <c r="DI19" s="1152"/>
      <c r="DJ19" s="1152"/>
      <c r="DK19" s="1152"/>
      <c r="DL19" s="1152"/>
      <c r="DM19" s="1152"/>
      <c r="DN19" s="1152"/>
      <c r="DO19" s="1152"/>
      <c r="DP19" s="1152"/>
      <c r="DQ19" s="1152"/>
      <c r="DR19" s="1152"/>
      <c r="DS19" s="1152"/>
      <c r="DT19" s="1152"/>
      <c r="DU19" s="1152"/>
      <c r="DV19" s="1152"/>
      <c r="DW19" s="1152"/>
      <c r="DX19" s="1152"/>
      <c r="DY19" s="1152"/>
      <c r="DZ19" s="1152"/>
      <c r="EA19" s="1152"/>
      <c r="EB19" s="1152"/>
      <c r="EC19" s="1152"/>
      <c r="ED19" s="1152"/>
      <c r="EE19" s="1152"/>
      <c r="EF19" s="1152"/>
      <c r="EG19" s="1152"/>
      <c r="EH19" s="1152"/>
      <c r="EI19" s="1152"/>
      <c r="EJ19" s="1152"/>
      <c r="EK19" s="1152"/>
      <c r="EL19" s="1152"/>
      <c r="EM19" s="1152"/>
      <c r="EN19" s="1152"/>
      <c r="EO19" s="1152"/>
      <c r="EP19" s="1152"/>
      <c r="EQ19" s="1152"/>
      <c r="ER19" s="1152"/>
      <c r="ES19" s="1152"/>
      <c r="ET19" s="1152"/>
      <c r="EU19" s="1152"/>
      <c r="EV19" s="1152"/>
      <c r="EW19" s="1152"/>
      <c r="EX19" s="1152"/>
      <c r="EY19" s="1152"/>
      <c r="EZ19" s="1152"/>
      <c r="FA19" s="1152"/>
      <c r="FB19" s="1152"/>
      <c r="FC19" s="1152"/>
      <c r="FD19" s="1152"/>
      <c r="FE19" s="1152"/>
      <c r="FF19" s="1152"/>
    </row>
    <row r="20" spans="1:162" s="1149" customFormat="1" ht="15">
      <c r="A20" s="1823"/>
      <c r="B20" s="1824" t="s">
        <v>792</v>
      </c>
      <c r="C20" s="1825"/>
      <c r="D20" s="1754"/>
      <c r="E20" s="1826"/>
      <c r="F20" s="1765"/>
      <c r="G20" s="1152"/>
      <c r="H20" s="1152"/>
      <c r="I20" s="1152"/>
      <c r="J20" s="1152"/>
      <c r="K20" s="1152"/>
      <c r="L20" s="1152"/>
      <c r="M20" s="1152"/>
      <c r="N20" s="1152"/>
      <c r="O20" s="1152"/>
      <c r="P20" s="1152"/>
      <c r="Q20" s="1152"/>
      <c r="R20" s="1152"/>
      <c r="S20" s="1152"/>
      <c r="T20" s="1152"/>
      <c r="U20" s="1152"/>
      <c r="V20" s="1152"/>
      <c r="W20" s="1152"/>
      <c r="X20" s="1152"/>
      <c r="Y20" s="1152"/>
      <c r="Z20" s="1152"/>
      <c r="AA20" s="1152"/>
      <c r="AB20" s="1152"/>
      <c r="AC20" s="1152"/>
      <c r="AD20" s="1152"/>
      <c r="AE20" s="1152"/>
      <c r="AF20" s="1152"/>
      <c r="AG20" s="1152"/>
      <c r="AH20" s="1152"/>
      <c r="AI20" s="1152"/>
      <c r="AJ20" s="1152"/>
      <c r="AK20" s="1152"/>
      <c r="AL20" s="1152"/>
      <c r="AM20" s="1152"/>
      <c r="AN20" s="1152"/>
      <c r="AO20" s="1152"/>
      <c r="AP20" s="1152"/>
      <c r="AQ20" s="1152"/>
      <c r="AR20" s="1152"/>
      <c r="AS20" s="1152"/>
      <c r="AT20" s="1152"/>
      <c r="AU20" s="1152"/>
      <c r="AV20" s="1152"/>
      <c r="AW20" s="1152"/>
      <c r="AX20" s="1152"/>
      <c r="AY20" s="1152"/>
      <c r="AZ20" s="1152"/>
      <c r="BA20" s="1152"/>
      <c r="BB20" s="1152"/>
      <c r="BC20" s="1152"/>
      <c r="BD20" s="1152"/>
      <c r="BE20" s="1152"/>
      <c r="BF20" s="1152"/>
      <c r="BG20" s="1152"/>
      <c r="BH20" s="1152"/>
      <c r="BI20" s="1152"/>
      <c r="BJ20" s="1152"/>
      <c r="BK20" s="1152"/>
      <c r="BL20" s="1152"/>
      <c r="BM20" s="1152"/>
      <c r="BN20" s="1152"/>
      <c r="BO20" s="1152"/>
      <c r="BP20" s="1152"/>
      <c r="BQ20" s="1152"/>
      <c r="BR20" s="1152"/>
      <c r="BS20" s="1152"/>
      <c r="BT20" s="1152"/>
      <c r="BU20" s="1152"/>
      <c r="BV20" s="1152"/>
      <c r="BW20" s="1152"/>
      <c r="BX20" s="1152"/>
      <c r="BY20" s="1152"/>
      <c r="BZ20" s="1152"/>
      <c r="CA20" s="1152"/>
      <c r="CB20" s="1152"/>
      <c r="CC20" s="1152"/>
      <c r="CD20" s="1152"/>
      <c r="CE20" s="1152"/>
      <c r="CF20" s="1152"/>
      <c r="CG20" s="1152"/>
      <c r="CH20" s="1152"/>
      <c r="CI20" s="1152"/>
      <c r="CJ20" s="1152"/>
      <c r="CK20" s="1152"/>
      <c r="CL20" s="1152"/>
      <c r="CM20" s="1152"/>
      <c r="CN20" s="1152"/>
      <c r="CO20" s="1152"/>
      <c r="CP20" s="1152"/>
      <c r="CQ20" s="1152"/>
      <c r="CR20" s="1152"/>
      <c r="CS20" s="1152"/>
      <c r="CT20" s="1152"/>
      <c r="CU20" s="1152"/>
      <c r="CV20" s="1152"/>
      <c r="CW20" s="1152"/>
      <c r="CX20" s="1152"/>
      <c r="CY20" s="1152"/>
      <c r="CZ20" s="1152"/>
      <c r="DA20" s="1152"/>
      <c r="DB20" s="1152"/>
      <c r="DC20" s="1152"/>
      <c r="DD20" s="1152"/>
      <c r="DE20" s="1152"/>
      <c r="DF20" s="1152"/>
      <c r="DG20" s="1152"/>
      <c r="DH20" s="1152"/>
      <c r="DI20" s="1152"/>
      <c r="DJ20" s="1152"/>
      <c r="DK20" s="1152"/>
      <c r="DL20" s="1152"/>
      <c r="DM20" s="1152"/>
      <c r="DN20" s="1152"/>
      <c r="DO20" s="1152"/>
      <c r="DP20" s="1152"/>
      <c r="DQ20" s="1152"/>
      <c r="DR20" s="1152"/>
      <c r="DS20" s="1152"/>
      <c r="DT20" s="1152"/>
      <c r="DU20" s="1152"/>
      <c r="DV20" s="1152"/>
      <c r="DW20" s="1152"/>
      <c r="DX20" s="1152"/>
      <c r="DY20" s="1152"/>
      <c r="DZ20" s="1152"/>
      <c r="EA20" s="1152"/>
      <c r="EB20" s="1152"/>
      <c r="EC20" s="1152"/>
      <c r="ED20" s="1152"/>
      <c r="EE20" s="1152"/>
      <c r="EF20" s="1152"/>
      <c r="EG20" s="1152"/>
      <c r="EH20" s="1152"/>
      <c r="EI20" s="1152"/>
      <c r="EJ20" s="1152"/>
      <c r="EK20" s="1152"/>
      <c r="EL20" s="1152"/>
      <c r="EM20" s="1152"/>
      <c r="EN20" s="1152"/>
      <c r="EO20" s="1152"/>
      <c r="EP20" s="1152"/>
      <c r="EQ20" s="1152"/>
      <c r="ER20" s="1152"/>
      <c r="ES20" s="1152"/>
      <c r="ET20" s="1152"/>
      <c r="EU20" s="1152"/>
      <c r="EV20" s="1152"/>
      <c r="EW20" s="1152"/>
      <c r="EX20" s="1152"/>
      <c r="EY20" s="1152"/>
      <c r="EZ20" s="1152"/>
      <c r="FA20" s="1152"/>
      <c r="FB20" s="1152"/>
      <c r="FC20" s="1152"/>
      <c r="FD20" s="1152"/>
      <c r="FE20" s="1152"/>
      <c r="FF20" s="1152"/>
    </row>
    <row r="21" spans="1:162" s="1149" customFormat="1" ht="15">
      <c r="A21" s="1876" t="s">
        <v>41</v>
      </c>
      <c r="B21" s="1877"/>
      <c r="C21" s="1877"/>
      <c r="D21" s="1877"/>
      <c r="E21" s="1877"/>
      <c r="F21" s="1878"/>
      <c r="G21" s="1152"/>
      <c r="H21" s="1152"/>
      <c r="I21" s="1152"/>
      <c r="J21" s="1152"/>
      <c r="K21" s="1152"/>
      <c r="L21" s="1152"/>
      <c r="M21" s="1152"/>
      <c r="N21" s="1152"/>
      <c r="O21" s="1152"/>
      <c r="P21" s="1152"/>
      <c r="Q21" s="1152"/>
      <c r="R21" s="1152"/>
      <c r="S21" s="1152"/>
      <c r="T21" s="1152"/>
      <c r="U21" s="1152"/>
      <c r="V21" s="1152"/>
      <c r="W21" s="1152"/>
      <c r="X21" s="1152"/>
      <c r="Y21" s="1152"/>
      <c r="Z21" s="1152"/>
      <c r="AA21" s="1152"/>
      <c r="AB21" s="1152"/>
      <c r="AC21" s="1152"/>
      <c r="AD21" s="1152"/>
      <c r="AE21" s="1152"/>
      <c r="AF21" s="1152"/>
      <c r="AG21" s="1152"/>
      <c r="AH21" s="1152"/>
      <c r="AI21" s="1152"/>
      <c r="AJ21" s="1152"/>
      <c r="AK21" s="1152"/>
      <c r="AL21" s="1152"/>
      <c r="AM21" s="1152"/>
      <c r="AN21" s="1152"/>
      <c r="AO21" s="1152"/>
      <c r="AP21" s="1152"/>
      <c r="AQ21" s="1152"/>
      <c r="AR21" s="1152"/>
      <c r="AS21" s="1152"/>
      <c r="AT21" s="1152"/>
      <c r="AU21" s="1152"/>
      <c r="AV21" s="1152"/>
      <c r="AW21" s="1152"/>
      <c r="AX21" s="1152"/>
      <c r="AY21" s="1152"/>
      <c r="AZ21" s="1152"/>
      <c r="BA21" s="1152"/>
      <c r="BB21" s="1152"/>
      <c r="BC21" s="1152"/>
      <c r="BD21" s="1152"/>
      <c r="BE21" s="1152"/>
      <c r="BF21" s="1152"/>
      <c r="BG21" s="1152"/>
      <c r="BH21" s="1152"/>
      <c r="BI21" s="1152"/>
      <c r="BJ21" s="1152"/>
      <c r="BK21" s="1152"/>
      <c r="BL21" s="1152"/>
      <c r="BM21" s="1152"/>
      <c r="BN21" s="1152"/>
      <c r="BO21" s="1152"/>
      <c r="BP21" s="1152"/>
      <c r="BQ21" s="1152"/>
      <c r="BR21" s="1152"/>
      <c r="BS21" s="1152"/>
      <c r="BT21" s="1152"/>
      <c r="BU21" s="1152"/>
      <c r="BV21" s="1152"/>
      <c r="BW21" s="1152"/>
      <c r="BX21" s="1152"/>
      <c r="BY21" s="1152"/>
      <c r="BZ21" s="1152"/>
      <c r="CA21" s="1152"/>
      <c r="CB21" s="1152"/>
      <c r="CC21" s="1152"/>
      <c r="CD21" s="1152"/>
      <c r="CE21" s="1152"/>
      <c r="CF21" s="1152"/>
      <c r="CG21" s="1152"/>
      <c r="CH21" s="1152"/>
      <c r="CI21" s="1152"/>
      <c r="CJ21" s="1152"/>
      <c r="CK21" s="1152"/>
      <c r="CL21" s="1152"/>
      <c r="CM21" s="1152"/>
      <c r="CN21" s="1152"/>
      <c r="CO21" s="1152"/>
      <c r="CP21" s="1152"/>
      <c r="CQ21" s="1152"/>
      <c r="CR21" s="1152"/>
      <c r="CS21" s="1152"/>
      <c r="CT21" s="1152"/>
      <c r="CU21" s="1152"/>
      <c r="CV21" s="1152"/>
      <c r="CW21" s="1152"/>
      <c r="CX21" s="1152"/>
      <c r="CY21" s="1152"/>
      <c r="CZ21" s="1152"/>
      <c r="DA21" s="1152"/>
      <c r="DB21" s="1152"/>
      <c r="DC21" s="1152"/>
      <c r="DD21" s="1152"/>
      <c r="DE21" s="1152"/>
      <c r="DF21" s="1152"/>
      <c r="DG21" s="1152"/>
      <c r="DH21" s="1152"/>
      <c r="DI21" s="1152"/>
      <c r="DJ21" s="1152"/>
      <c r="DK21" s="1152"/>
      <c r="DL21" s="1152"/>
      <c r="DM21" s="1152"/>
      <c r="DN21" s="1152"/>
      <c r="DO21" s="1152"/>
      <c r="DP21" s="1152"/>
      <c r="DQ21" s="1152"/>
      <c r="DR21" s="1152"/>
      <c r="DS21" s="1152"/>
      <c r="DT21" s="1152"/>
      <c r="DU21" s="1152"/>
      <c r="DV21" s="1152"/>
      <c r="DW21" s="1152"/>
      <c r="DX21" s="1152"/>
      <c r="DY21" s="1152"/>
      <c r="DZ21" s="1152"/>
      <c r="EA21" s="1152"/>
      <c r="EB21" s="1152"/>
      <c r="EC21" s="1152"/>
      <c r="ED21" s="1152"/>
      <c r="EE21" s="1152"/>
      <c r="EF21" s="1152"/>
      <c r="EG21" s="1152"/>
      <c r="EH21" s="1152"/>
      <c r="EI21" s="1152"/>
      <c r="EJ21" s="1152"/>
      <c r="EK21" s="1152"/>
      <c r="EL21" s="1152"/>
      <c r="EM21" s="1152"/>
      <c r="EN21" s="1152"/>
      <c r="EO21" s="1152"/>
      <c r="EP21" s="1152"/>
      <c r="EQ21" s="1152"/>
      <c r="ER21" s="1152"/>
      <c r="ES21" s="1152"/>
      <c r="ET21" s="1152"/>
      <c r="EU21" s="1152"/>
      <c r="EV21" s="1152"/>
      <c r="EW21" s="1152"/>
      <c r="EX21" s="1152"/>
      <c r="EY21" s="1152"/>
      <c r="EZ21" s="1152"/>
      <c r="FA21" s="1152"/>
      <c r="FB21" s="1152"/>
      <c r="FC21" s="1152"/>
      <c r="FD21" s="1152"/>
      <c r="FE21" s="1152"/>
      <c r="FF21" s="1152"/>
    </row>
    <row r="22" spans="1:162" s="1149" customFormat="1">
      <c r="A22" s="1789" t="s">
        <v>2</v>
      </c>
      <c r="B22" s="1778" t="s">
        <v>793</v>
      </c>
      <c r="C22" s="1790" t="s">
        <v>618</v>
      </c>
      <c r="D22" s="1779">
        <v>1</v>
      </c>
      <c r="E22" s="1780"/>
      <c r="F22" s="1794"/>
      <c r="G22" s="1152"/>
      <c r="H22" s="1152"/>
      <c r="I22" s="1152"/>
      <c r="J22" s="1152"/>
      <c r="K22" s="1152"/>
      <c r="L22" s="1152"/>
      <c r="M22" s="1152"/>
      <c r="N22" s="1152"/>
      <c r="O22" s="1152"/>
      <c r="P22" s="1152"/>
      <c r="Q22" s="1152"/>
      <c r="R22" s="1152"/>
      <c r="S22" s="1152"/>
      <c r="T22" s="1152"/>
      <c r="U22" s="1152"/>
      <c r="V22" s="1152"/>
      <c r="W22" s="1152"/>
      <c r="X22" s="1152"/>
      <c r="Y22" s="1152"/>
      <c r="Z22" s="1152"/>
      <c r="AA22" s="1152"/>
      <c r="AB22" s="1152"/>
      <c r="AC22" s="1152"/>
      <c r="AD22" s="1152"/>
      <c r="AE22" s="1152"/>
      <c r="AF22" s="1152"/>
      <c r="AG22" s="1152"/>
      <c r="AH22" s="1152"/>
      <c r="AI22" s="1152"/>
      <c r="AJ22" s="1152"/>
      <c r="AK22" s="1152"/>
      <c r="AL22" s="1152"/>
      <c r="AM22" s="1152"/>
      <c r="AN22" s="1152"/>
      <c r="AO22" s="1152"/>
      <c r="AP22" s="1152"/>
      <c r="AQ22" s="1152"/>
      <c r="AR22" s="1152"/>
      <c r="AS22" s="1152"/>
      <c r="AT22" s="1152"/>
      <c r="AU22" s="1152"/>
      <c r="AV22" s="1152"/>
      <c r="AW22" s="1152"/>
      <c r="AX22" s="1152"/>
      <c r="AY22" s="1152"/>
      <c r="AZ22" s="1152"/>
      <c r="BA22" s="1152"/>
      <c r="BB22" s="1152"/>
      <c r="BC22" s="1152"/>
      <c r="BD22" s="1152"/>
      <c r="BE22" s="1152"/>
      <c r="BF22" s="1152"/>
      <c r="BG22" s="1152"/>
      <c r="BH22" s="1152"/>
      <c r="BI22" s="1152"/>
      <c r="BJ22" s="1152"/>
      <c r="BK22" s="1152"/>
      <c r="BL22" s="1152"/>
      <c r="BM22" s="1152"/>
      <c r="BN22" s="1152"/>
      <c r="BO22" s="1152"/>
      <c r="BP22" s="1152"/>
      <c r="BQ22" s="1152"/>
      <c r="BR22" s="1152"/>
      <c r="BS22" s="1152"/>
      <c r="BT22" s="1152"/>
      <c r="BU22" s="1152"/>
      <c r="BV22" s="1152"/>
      <c r="BW22" s="1152"/>
      <c r="BX22" s="1152"/>
      <c r="BY22" s="1152"/>
      <c r="BZ22" s="1152"/>
      <c r="CA22" s="1152"/>
      <c r="CB22" s="1152"/>
      <c r="CC22" s="1152"/>
      <c r="CD22" s="1152"/>
      <c r="CE22" s="1152"/>
      <c r="CF22" s="1152"/>
      <c r="CG22" s="1152"/>
      <c r="CH22" s="1152"/>
      <c r="CI22" s="1152"/>
      <c r="CJ22" s="1152"/>
      <c r="CK22" s="1152"/>
      <c r="CL22" s="1152"/>
      <c r="CM22" s="1152"/>
      <c r="CN22" s="1152"/>
      <c r="CO22" s="1152"/>
      <c r="CP22" s="1152"/>
      <c r="CQ22" s="1152"/>
      <c r="CR22" s="1152"/>
      <c r="CS22" s="1152"/>
      <c r="CT22" s="1152"/>
      <c r="CU22" s="1152"/>
      <c r="CV22" s="1152"/>
      <c r="CW22" s="1152"/>
      <c r="CX22" s="1152"/>
      <c r="CY22" s="1152"/>
      <c r="CZ22" s="1152"/>
      <c r="DA22" s="1152"/>
      <c r="DB22" s="1152"/>
      <c r="DC22" s="1152"/>
      <c r="DD22" s="1152"/>
      <c r="DE22" s="1152"/>
      <c r="DF22" s="1152"/>
      <c r="DG22" s="1152"/>
      <c r="DH22" s="1152"/>
      <c r="DI22" s="1152"/>
      <c r="DJ22" s="1152"/>
      <c r="DK22" s="1152"/>
      <c r="DL22" s="1152"/>
      <c r="DM22" s="1152"/>
      <c r="DN22" s="1152"/>
      <c r="DO22" s="1152"/>
      <c r="DP22" s="1152"/>
      <c r="DQ22" s="1152"/>
      <c r="DR22" s="1152"/>
      <c r="DS22" s="1152"/>
      <c r="DT22" s="1152"/>
      <c r="DU22" s="1152"/>
      <c r="DV22" s="1152"/>
      <c r="DW22" s="1152"/>
      <c r="DX22" s="1152"/>
      <c r="DY22" s="1152"/>
      <c r="DZ22" s="1152"/>
      <c r="EA22" s="1152"/>
      <c r="EB22" s="1152"/>
      <c r="EC22" s="1152"/>
      <c r="ED22" s="1152"/>
      <c r="EE22" s="1152"/>
      <c r="EF22" s="1152"/>
      <c r="EG22" s="1152"/>
      <c r="EH22" s="1152"/>
      <c r="EI22" s="1152"/>
      <c r="EJ22" s="1152"/>
      <c r="EK22" s="1152"/>
      <c r="EL22" s="1152"/>
      <c r="EM22" s="1152"/>
      <c r="EN22" s="1152"/>
      <c r="EO22" s="1152"/>
      <c r="EP22" s="1152"/>
      <c r="EQ22" s="1152"/>
      <c r="ER22" s="1152"/>
      <c r="ES22" s="1152"/>
      <c r="ET22" s="1152"/>
      <c r="EU22" s="1152"/>
      <c r="EV22" s="1152"/>
      <c r="EW22" s="1152"/>
      <c r="EX22" s="1152"/>
      <c r="EY22" s="1152"/>
      <c r="EZ22" s="1152"/>
      <c r="FA22" s="1152"/>
      <c r="FB22" s="1152"/>
      <c r="FC22" s="1152"/>
      <c r="FD22" s="1152"/>
      <c r="FE22" s="1152"/>
      <c r="FF22" s="1152"/>
    </row>
    <row r="23" spans="1:162" s="1149" customFormat="1">
      <c r="A23" s="1791" t="s">
        <v>3</v>
      </c>
      <c r="B23" s="1781" t="s">
        <v>794</v>
      </c>
      <c r="C23" s="1792"/>
      <c r="D23" s="1793"/>
      <c r="E23" s="1794"/>
      <c r="F23" s="1794"/>
      <c r="G23" s="1152"/>
      <c r="H23" s="1152"/>
      <c r="I23" s="1152"/>
      <c r="J23" s="1152"/>
      <c r="K23" s="1152"/>
      <c r="L23" s="1152"/>
      <c r="M23" s="1152"/>
      <c r="N23" s="1152"/>
      <c r="O23" s="1152"/>
      <c r="P23" s="1152"/>
      <c r="Q23" s="1152"/>
      <c r="R23" s="1152"/>
      <c r="S23" s="1152"/>
      <c r="T23" s="1152"/>
      <c r="U23" s="1152"/>
      <c r="V23" s="1152"/>
      <c r="W23" s="1152"/>
      <c r="X23" s="1152"/>
      <c r="Y23" s="1152"/>
      <c r="Z23" s="1152"/>
      <c r="AA23" s="1152"/>
      <c r="AB23" s="1152"/>
      <c r="AC23" s="1152"/>
      <c r="AD23" s="1152"/>
      <c r="AE23" s="1152"/>
      <c r="AF23" s="1152"/>
      <c r="AG23" s="1152"/>
      <c r="AH23" s="1152"/>
      <c r="AI23" s="1152"/>
      <c r="AJ23" s="1152"/>
      <c r="AK23" s="1152"/>
      <c r="AL23" s="1152"/>
      <c r="AM23" s="1152"/>
      <c r="AN23" s="1152"/>
      <c r="AO23" s="1152"/>
      <c r="AP23" s="1152"/>
      <c r="AQ23" s="1152"/>
      <c r="AR23" s="1152"/>
      <c r="AS23" s="1152"/>
      <c r="AT23" s="1152"/>
      <c r="AU23" s="1152"/>
      <c r="AV23" s="1152"/>
      <c r="AW23" s="1152"/>
      <c r="AX23" s="1152"/>
      <c r="AY23" s="1152"/>
      <c r="AZ23" s="1152"/>
      <c r="BA23" s="1152"/>
      <c r="BB23" s="1152"/>
      <c r="BC23" s="1152"/>
      <c r="BD23" s="1152"/>
      <c r="BE23" s="1152"/>
      <c r="BF23" s="1152"/>
      <c r="BG23" s="1152"/>
      <c r="BH23" s="1152"/>
      <c r="BI23" s="1152"/>
      <c r="BJ23" s="1152"/>
      <c r="BK23" s="1152"/>
      <c r="BL23" s="1152"/>
      <c r="BM23" s="1152"/>
      <c r="BN23" s="1152"/>
      <c r="BO23" s="1152"/>
      <c r="BP23" s="1152"/>
      <c r="BQ23" s="1152"/>
      <c r="BR23" s="1152"/>
      <c r="BS23" s="1152"/>
      <c r="BT23" s="1152"/>
      <c r="BU23" s="1152"/>
      <c r="BV23" s="1152"/>
      <c r="BW23" s="1152"/>
      <c r="BX23" s="1152"/>
      <c r="BY23" s="1152"/>
      <c r="BZ23" s="1152"/>
      <c r="CA23" s="1152"/>
      <c r="CB23" s="1152"/>
      <c r="CC23" s="1152"/>
      <c r="CD23" s="1152"/>
      <c r="CE23" s="1152"/>
      <c r="CF23" s="1152"/>
      <c r="CG23" s="1152"/>
      <c r="CH23" s="1152"/>
      <c r="CI23" s="1152"/>
      <c r="CJ23" s="1152"/>
      <c r="CK23" s="1152"/>
      <c r="CL23" s="1152"/>
      <c r="CM23" s="1152"/>
      <c r="CN23" s="1152"/>
      <c r="CO23" s="1152"/>
      <c r="CP23" s="1152"/>
      <c r="CQ23" s="1152"/>
      <c r="CR23" s="1152"/>
      <c r="CS23" s="1152"/>
      <c r="CT23" s="1152"/>
      <c r="CU23" s="1152"/>
      <c r="CV23" s="1152"/>
      <c r="CW23" s="1152"/>
      <c r="CX23" s="1152"/>
      <c r="CY23" s="1152"/>
      <c r="CZ23" s="1152"/>
      <c r="DA23" s="1152"/>
      <c r="DB23" s="1152"/>
      <c r="DC23" s="1152"/>
      <c r="DD23" s="1152"/>
      <c r="DE23" s="1152"/>
      <c r="DF23" s="1152"/>
      <c r="DG23" s="1152"/>
      <c r="DH23" s="1152"/>
      <c r="DI23" s="1152"/>
      <c r="DJ23" s="1152"/>
      <c r="DK23" s="1152"/>
      <c r="DL23" s="1152"/>
      <c r="DM23" s="1152"/>
      <c r="DN23" s="1152"/>
      <c r="DO23" s="1152"/>
      <c r="DP23" s="1152"/>
      <c r="DQ23" s="1152"/>
      <c r="DR23" s="1152"/>
      <c r="DS23" s="1152"/>
      <c r="DT23" s="1152"/>
      <c r="DU23" s="1152"/>
      <c r="DV23" s="1152"/>
      <c r="DW23" s="1152"/>
      <c r="DX23" s="1152"/>
      <c r="DY23" s="1152"/>
      <c r="DZ23" s="1152"/>
      <c r="EA23" s="1152"/>
      <c r="EB23" s="1152"/>
      <c r="EC23" s="1152"/>
      <c r="ED23" s="1152"/>
      <c r="EE23" s="1152"/>
      <c r="EF23" s="1152"/>
      <c r="EG23" s="1152"/>
      <c r="EH23" s="1152"/>
      <c r="EI23" s="1152"/>
      <c r="EJ23" s="1152"/>
      <c r="EK23" s="1152"/>
      <c r="EL23" s="1152"/>
      <c r="EM23" s="1152"/>
      <c r="EN23" s="1152"/>
      <c r="EO23" s="1152"/>
      <c r="EP23" s="1152"/>
      <c r="EQ23" s="1152"/>
      <c r="ER23" s="1152"/>
      <c r="ES23" s="1152"/>
      <c r="ET23" s="1152"/>
      <c r="EU23" s="1152"/>
      <c r="EV23" s="1152"/>
      <c r="EW23" s="1152"/>
      <c r="EX23" s="1152"/>
      <c r="EY23" s="1152"/>
      <c r="EZ23" s="1152"/>
      <c r="FA23" s="1152"/>
      <c r="FB23" s="1152"/>
      <c r="FC23" s="1152"/>
      <c r="FD23" s="1152"/>
      <c r="FE23" s="1152"/>
      <c r="FF23" s="1152"/>
    </row>
    <row r="24" spans="1:162" s="1149" customFormat="1" ht="28.5">
      <c r="A24" s="1787" t="s">
        <v>39</v>
      </c>
      <c r="B24" s="1785" t="s">
        <v>40</v>
      </c>
      <c r="C24" s="1782" t="s">
        <v>616</v>
      </c>
      <c r="D24" s="1795">
        <v>93215</v>
      </c>
      <c r="E24" s="1794"/>
      <c r="F24" s="1794"/>
      <c r="G24" s="1152"/>
      <c r="H24" s="1152"/>
      <c r="I24" s="1152"/>
      <c r="J24" s="1152"/>
      <c r="K24" s="1152"/>
      <c r="L24" s="1152"/>
      <c r="M24" s="1152"/>
      <c r="N24" s="1152"/>
      <c r="O24" s="1152"/>
      <c r="P24" s="1152"/>
      <c r="Q24" s="1152"/>
      <c r="R24" s="1152"/>
      <c r="S24" s="1152"/>
      <c r="T24" s="1152"/>
      <c r="U24" s="1152"/>
      <c r="V24" s="1152"/>
      <c r="W24" s="1152"/>
      <c r="X24" s="1152"/>
      <c r="Y24" s="1152"/>
      <c r="Z24" s="1152"/>
      <c r="AA24" s="1152"/>
      <c r="AB24" s="1152"/>
      <c r="AC24" s="1152"/>
      <c r="AD24" s="1152"/>
      <c r="AE24" s="1152"/>
      <c r="AF24" s="1152"/>
      <c r="AG24" s="1152"/>
      <c r="AH24" s="1152"/>
      <c r="AI24" s="1152"/>
      <c r="AJ24" s="1152"/>
      <c r="AK24" s="1152"/>
      <c r="AL24" s="1152"/>
      <c r="AM24" s="1152"/>
      <c r="AN24" s="1152"/>
      <c r="AO24" s="1152"/>
      <c r="AP24" s="1152"/>
      <c r="AQ24" s="1152"/>
      <c r="AR24" s="1152"/>
      <c r="AS24" s="1152"/>
      <c r="AT24" s="1152"/>
      <c r="AU24" s="1152"/>
      <c r="AV24" s="1152"/>
      <c r="AW24" s="1152"/>
      <c r="AX24" s="1152"/>
      <c r="AY24" s="1152"/>
      <c r="AZ24" s="1152"/>
      <c r="BA24" s="1152"/>
      <c r="BB24" s="1152"/>
      <c r="BC24" s="1152"/>
      <c r="BD24" s="1152"/>
      <c r="BE24" s="1152"/>
      <c r="BF24" s="1152"/>
      <c r="BG24" s="1152"/>
      <c r="BH24" s="1152"/>
      <c r="BI24" s="1152"/>
      <c r="BJ24" s="1152"/>
      <c r="BK24" s="1152"/>
      <c r="BL24" s="1152"/>
      <c r="BM24" s="1152"/>
      <c r="BN24" s="1152"/>
      <c r="BO24" s="1152"/>
      <c r="BP24" s="1152"/>
      <c r="BQ24" s="1152"/>
      <c r="BR24" s="1152"/>
      <c r="BS24" s="1152"/>
      <c r="BT24" s="1152"/>
      <c r="BU24" s="1152"/>
      <c r="BV24" s="1152"/>
      <c r="BW24" s="1152"/>
      <c r="BX24" s="1152"/>
      <c r="BY24" s="1152"/>
      <c r="BZ24" s="1152"/>
      <c r="CA24" s="1152"/>
      <c r="CB24" s="1152"/>
      <c r="CC24" s="1152"/>
      <c r="CD24" s="1152"/>
      <c r="CE24" s="1152"/>
      <c r="CF24" s="1152"/>
      <c r="CG24" s="1152"/>
      <c r="CH24" s="1152"/>
      <c r="CI24" s="1152"/>
      <c r="CJ24" s="1152"/>
      <c r="CK24" s="1152"/>
      <c r="CL24" s="1152"/>
      <c r="CM24" s="1152"/>
      <c r="CN24" s="1152"/>
      <c r="CO24" s="1152"/>
      <c r="CP24" s="1152"/>
      <c r="CQ24" s="1152"/>
      <c r="CR24" s="1152"/>
      <c r="CS24" s="1152"/>
      <c r="CT24" s="1152"/>
      <c r="CU24" s="1152"/>
      <c r="CV24" s="1152"/>
      <c r="CW24" s="1152"/>
      <c r="CX24" s="1152"/>
      <c r="CY24" s="1152"/>
      <c r="CZ24" s="1152"/>
      <c r="DA24" s="1152"/>
      <c r="DB24" s="1152"/>
      <c r="DC24" s="1152"/>
      <c r="DD24" s="1152"/>
      <c r="DE24" s="1152"/>
      <c r="DF24" s="1152"/>
      <c r="DG24" s="1152"/>
      <c r="DH24" s="1152"/>
      <c r="DI24" s="1152"/>
      <c r="DJ24" s="1152"/>
      <c r="DK24" s="1152"/>
      <c r="DL24" s="1152"/>
      <c r="DM24" s="1152"/>
      <c r="DN24" s="1152"/>
      <c r="DO24" s="1152"/>
      <c r="DP24" s="1152"/>
      <c r="DQ24" s="1152"/>
      <c r="DR24" s="1152"/>
      <c r="DS24" s="1152"/>
      <c r="DT24" s="1152"/>
      <c r="DU24" s="1152"/>
      <c r="DV24" s="1152"/>
      <c r="DW24" s="1152"/>
      <c r="DX24" s="1152"/>
      <c r="DY24" s="1152"/>
      <c r="DZ24" s="1152"/>
      <c r="EA24" s="1152"/>
      <c r="EB24" s="1152"/>
      <c r="EC24" s="1152"/>
      <c r="ED24" s="1152"/>
      <c r="EE24" s="1152"/>
      <c r="EF24" s="1152"/>
      <c r="EG24" s="1152"/>
      <c r="EH24" s="1152"/>
      <c r="EI24" s="1152"/>
      <c r="EJ24" s="1152"/>
      <c r="EK24" s="1152"/>
      <c r="EL24" s="1152"/>
      <c r="EM24" s="1152"/>
      <c r="EN24" s="1152"/>
      <c r="EO24" s="1152"/>
      <c r="EP24" s="1152"/>
      <c r="EQ24" s="1152"/>
      <c r="ER24" s="1152"/>
      <c r="ES24" s="1152"/>
      <c r="ET24" s="1152"/>
      <c r="EU24" s="1152"/>
      <c r="EV24" s="1152"/>
      <c r="EW24" s="1152"/>
      <c r="EX24" s="1152"/>
      <c r="EY24" s="1152"/>
      <c r="EZ24" s="1152"/>
      <c r="FA24" s="1152"/>
      <c r="FB24" s="1152"/>
      <c r="FC24" s="1152"/>
      <c r="FD24" s="1152"/>
      <c r="FE24" s="1152"/>
      <c r="FF24" s="1152"/>
    </row>
    <row r="25" spans="1:162" s="1164" customFormat="1" ht="28.5">
      <c r="A25" s="1787" t="s">
        <v>127</v>
      </c>
      <c r="B25" s="1785" t="s">
        <v>128</v>
      </c>
      <c r="C25" s="1782" t="s">
        <v>616</v>
      </c>
      <c r="D25" s="1795">
        <v>122859</v>
      </c>
      <c r="E25" s="1784"/>
      <c r="F25" s="1794"/>
    </row>
    <row r="26" spans="1:162" s="1149" customFormat="1">
      <c r="A26" s="1791">
        <v>203</v>
      </c>
      <c r="B26" s="1781" t="s">
        <v>795</v>
      </c>
      <c r="C26" s="1792" t="s">
        <v>27</v>
      </c>
      <c r="D26" s="1793">
        <v>333</v>
      </c>
      <c r="E26" s="1794"/>
      <c r="F26" s="1794"/>
      <c r="G26" s="1152"/>
      <c r="H26" s="1152"/>
      <c r="I26" s="1152"/>
      <c r="J26" s="1152"/>
      <c r="K26" s="1152"/>
      <c r="L26" s="1152"/>
      <c r="M26" s="1152"/>
      <c r="N26" s="1152"/>
      <c r="O26" s="1152"/>
      <c r="P26" s="1152"/>
      <c r="Q26" s="1152"/>
      <c r="R26" s="1152"/>
      <c r="S26" s="1152"/>
      <c r="T26" s="1152"/>
      <c r="U26" s="1152"/>
      <c r="V26" s="1152"/>
      <c r="W26" s="1152"/>
      <c r="X26" s="1152"/>
      <c r="Y26" s="1152"/>
      <c r="Z26" s="1152"/>
      <c r="AA26" s="1152"/>
      <c r="AB26" s="1152"/>
      <c r="AC26" s="1152"/>
      <c r="AD26" s="1152"/>
      <c r="AE26" s="1152"/>
      <c r="AF26" s="1152"/>
      <c r="AG26" s="1152"/>
      <c r="AH26" s="1152"/>
      <c r="AI26" s="1152"/>
      <c r="AJ26" s="1152"/>
      <c r="AK26" s="1152"/>
      <c r="AL26" s="1152"/>
      <c r="AM26" s="1152"/>
      <c r="AN26" s="1152"/>
      <c r="AO26" s="1152"/>
      <c r="AP26" s="1152"/>
      <c r="AQ26" s="1152"/>
      <c r="AR26" s="1152"/>
      <c r="AS26" s="1152"/>
      <c r="AT26" s="1152"/>
      <c r="AU26" s="1152"/>
      <c r="AV26" s="1152"/>
      <c r="AW26" s="1152"/>
      <c r="AX26" s="1152"/>
      <c r="AY26" s="1152"/>
      <c r="AZ26" s="1152"/>
      <c r="BA26" s="1152"/>
      <c r="BB26" s="1152"/>
      <c r="BC26" s="1152"/>
      <c r="BD26" s="1152"/>
      <c r="BE26" s="1152"/>
      <c r="BF26" s="1152"/>
      <c r="BG26" s="1152"/>
      <c r="BH26" s="1152"/>
      <c r="BI26" s="1152"/>
      <c r="BJ26" s="1152"/>
      <c r="BK26" s="1152"/>
      <c r="BL26" s="1152"/>
      <c r="BM26" s="1152"/>
      <c r="BN26" s="1152"/>
      <c r="BO26" s="1152"/>
      <c r="BP26" s="1152"/>
      <c r="BQ26" s="1152"/>
      <c r="BR26" s="1152"/>
      <c r="BS26" s="1152"/>
      <c r="BT26" s="1152"/>
      <c r="BU26" s="1152"/>
      <c r="BV26" s="1152"/>
      <c r="BW26" s="1152"/>
      <c r="BX26" s="1152"/>
      <c r="BY26" s="1152"/>
      <c r="BZ26" s="1152"/>
      <c r="CA26" s="1152"/>
      <c r="CB26" s="1152"/>
      <c r="CC26" s="1152"/>
      <c r="CD26" s="1152"/>
      <c r="CE26" s="1152"/>
      <c r="CF26" s="1152"/>
      <c r="CG26" s="1152"/>
      <c r="CH26" s="1152"/>
      <c r="CI26" s="1152"/>
      <c r="CJ26" s="1152"/>
      <c r="CK26" s="1152"/>
      <c r="CL26" s="1152"/>
      <c r="CM26" s="1152"/>
      <c r="CN26" s="1152"/>
      <c r="CO26" s="1152"/>
      <c r="CP26" s="1152"/>
      <c r="CQ26" s="1152"/>
      <c r="CR26" s="1152"/>
      <c r="CS26" s="1152"/>
      <c r="CT26" s="1152"/>
      <c r="CU26" s="1152"/>
      <c r="CV26" s="1152"/>
      <c r="CW26" s="1152"/>
      <c r="CX26" s="1152"/>
      <c r="CY26" s="1152"/>
      <c r="CZ26" s="1152"/>
      <c r="DA26" s="1152"/>
      <c r="DB26" s="1152"/>
      <c r="DC26" s="1152"/>
      <c r="DD26" s="1152"/>
      <c r="DE26" s="1152"/>
      <c r="DF26" s="1152"/>
      <c r="DG26" s="1152"/>
      <c r="DH26" s="1152"/>
      <c r="DI26" s="1152"/>
      <c r="DJ26" s="1152"/>
      <c r="DK26" s="1152"/>
      <c r="DL26" s="1152"/>
      <c r="DM26" s="1152"/>
      <c r="DN26" s="1152"/>
      <c r="DO26" s="1152"/>
      <c r="DP26" s="1152"/>
      <c r="DQ26" s="1152"/>
      <c r="DR26" s="1152"/>
      <c r="DS26" s="1152"/>
      <c r="DT26" s="1152"/>
      <c r="DU26" s="1152"/>
      <c r="DV26" s="1152"/>
      <c r="DW26" s="1152"/>
      <c r="DX26" s="1152"/>
      <c r="DY26" s="1152"/>
      <c r="DZ26" s="1152"/>
      <c r="EA26" s="1152"/>
      <c r="EB26" s="1152"/>
      <c r="EC26" s="1152"/>
      <c r="ED26" s="1152"/>
      <c r="EE26" s="1152"/>
      <c r="EF26" s="1152"/>
      <c r="EG26" s="1152"/>
      <c r="EH26" s="1152"/>
      <c r="EI26" s="1152"/>
      <c r="EJ26" s="1152"/>
      <c r="EK26" s="1152"/>
      <c r="EL26" s="1152"/>
      <c r="EM26" s="1152"/>
      <c r="EN26" s="1152"/>
      <c r="EO26" s="1152"/>
      <c r="EP26" s="1152"/>
      <c r="EQ26" s="1152"/>
      <c r="ER26" s="1152"/>
      <c r="ES26" s="1152"/>
      <c r="ET26" s="1152"/>
      <c r="EU26" s="1152"/>
      <c r="EV26" s="1152"/>
      <c r="EW26" s="1152"/>
      <c r="EX26" s="1152"/>
      <c r="EY26" s="1152"/>
      <c r="EZ26" s="1152"/>
      <c r="FA26" s="1152"/>
      <c r="FB26" s="1152"/>
      <c r="FC26" s="1152"/>
      <c r="FD26" s="1152"/>
      <c r="FE26" s="1152"/>
      <c r="FF26" s="1152"/>
    </row>
    <row r="27" spans="1:162" s="1149" customFormat="1">
      <c r="A27" s="1791" t="s">
        <v>4</v>
      </c>
      <c r="B27" s="1781" t="s">
        <v>43</v>
      </c>
      <c r="C27" s="1796"/>
      <c r="D27" s="1797"/>
      <c r="E27" s="1794"/>
      <c r="F27" s="1794"/>
      <c r="G27" s="1152"/>
      <c r="H27" s="1152"/>
      <c r="I27" s="1152"/>
      <c r="J27" s="1152"/>
      <c r="K27" s="1152"/>
      <c r="L27" s="1152"/>
      <c r="M27" s="1152"/>
      <c r="N27" s="1152"/>
      <c r="O27" s="1152"/>
      <c r="P27" s="1152"/>
      <c r="Q27" s="1152"/>
      <c r="R27" s="1152"/>
      <c r="S27" s="1152"/>
      <c r="T27" s="1152"/>
      <c r="U27" s="1152"/>
      <c r="V27" s="1152"/>
      <c r="W27" s="1152"/>
      <c r="X27" s="1152"/>
      <c r="Y27" s="1152"/>
      <c r="Z27" s="1152"/>
      <c r="AA27" s="1152"/>
      <c r="AB27" s="1152"/>
      <c r="AC27" s="1152"/>
      <c r="AD27" s="1152"/>
      <c r="AE27" s="1152"/>
      <c r="AF27" s="1152"/>
      <c r="AG27" s="1152"/>
      <c r="AH27" s="1152"/>
      <c r="AI27" s="1152"/>
      <c r="AJ27" s="1152"/>
      <c r="AK27" s="1152"/>
      <c r="AL27" s="1152"/>
      <c r="AM27" s="1152"/>
      <c r="AN27" s="1152"/>
      <c r="AO27" s="1152"/>
      <c r="AP27" s="1152"/>
      <c r="AQ27" s="1152"/>
      <c r="AR27" s="1152"/>
      <c r="AS27" s="1152"/>
      <c r="AT27" s="1152"/>
      <c r="AU27" s="1152"/>
      <c r="AV27" s="1152"/>
      <c r="AW27" s="1152"/>
      <c r="AX27" s="1152"/>
      <c r="AY27" s="1152"/>
      <c r="AZ27" s="1152"/>
      <c r="BA27" s="1152"/>
      <c r="BB27" s="1152"/>
      <c r="BC27" s="1152"/>
      <c r="BD27" s="1152"/>
      <c r="BE27" s="1152"/>
      <c r="BF27" s="1152"/>
      <c r="BG27" s="1152"/>
      <c r="BH27" s="1152"/>
      <c r="BI27" s="1152"/>
      <c r="BJ27" s="1152"/>
      <c r="BK27" s="1152"/>
      <c r="BL27" s="1152"/>
      <c r="BM27" s="1152"/>
      <c r="BN27" s="1152"/>
      <c r="BO27" s="1152"/>
      <c r="BP27" s="1152"/>
      <c r="BQ27" s="1152"/>
      <c r="BR27" s="1152"/>
      <c r="BS27" s="1152"/>
      <c r="BT27" s="1152"/>
      <c r="BU27" s="1152"/>
      <c r="BV27" s="1152"/>
      <c r="BW27" s="1152"/>
      <c r="BX27" s="1152"/>
      <c r="BY27" s="1152"/>
      <c r="BZ27" s="1152"/>
      <c r="CA27" s="1152"/>
      <c r="CB27" s="1152"/>
      <c r="CC27" s="1152"/>
      <c r="CD27" s="1152"/>
      <c r="CE27" s="1152"/>
      <c r="CF27" s="1152"/>
      <c r="CG27" s="1152"/>
      <c r="CH27" s="1152"/>
      <c r="CI27" s="1152"/>
      <c r="CJ27" s="1152"/>
      <c r="CK27" s="1152"/>
      <c r="CL27" s="1152"/>
      <c r="CM27" s="1152"/>
      <c r="CN27" s="1152"/>
      <c r="CO27" s="1152"/>
      <c r="CP27" s="1152"/>
      <c r="CQ27" s="1152"/>
      <c r="CR27" s="1152"/>
      <c r="CS27" s="1152"/>
      <c r="CT27" s="1152"/>
      <c r="CU27" s="1152"/>
      <c r="CV27" s="1152"/>
      <c r="CW27" s="1152"/>
      <c r="CX27" s="1152"/>
      <c r="CY27" s="1152"/>
      <c r="CZ27" s="1152"/>
      <c r="DA27" s="1152"/>
      <c r="DB27" s="1152"/>
      <c r="DC27" s="1152"/>
      <c r="DD27" s="1152"/>
      <c r="DE27" s="1152"/>
      <c r="DF27" s="1152"/>
      <c r="DG27" s="1152"/>
      <c r="DH27" s="1152"/>
      <c r="DI27" s="1152"/>
      <c r="DJ27" s="1152"/>
      <c r="DK27" s="1152"/>
      <c r="DL27" s="1152"/>
      <c r="DM27" s="1152"/>
      <c r="DN27" s="1152"/>
      <c r="DO27" s="1152"/>
      <c r="DP27" s="1152"/>
      <c r="DQ27" s="1152"/>
      <c r="DR27" s="1152"/>
      <c r="DS27" s="1152"/>
      <c r="DT27" s="1152"/>
      <c r="DU27" s="1152"/>
      <c r="DV27" s="1152"/>
      <c r="DW27" s="1152"/>
      <c r="DX27" s="1152"/>
      <c r="DY27" s="1152"/>
      <c r="DZ27" s="1152"/>
      <c r="EA27" s="1152"/>
      <c r="EB27" s="1152"/>
      <c r="EC27" s="1152"/>
      <c r="ED27" s="1152"/>
      <c r="EE27" s="1152"/>
      <c r="EF27" s="1152"/>
      <c r="EG27" s="1152"/>
      <c r="EH27" s="1152"/>
      <c r="EI27" s="1152"/>
      <c r="EJ27" s="1152"/>
      <c r="EK27" s="1152"/>
      <c r="EL27" s="1152"/>
      <c r="EM27" s="1152"/>
      <c r="EN27" s="1152"/>
      <c r="EO27" s="1152"/>
      <c r="EP27" s="1152"/>
      <c r="EQ27" s="1152"/>
      <c r="ER27" s="1152"/>
      <c r="ES27" s="1152"/>
      <c r="ET27" s="1152"/>
      <c r="EU27" s="1152"/>
      <c r="EV27" s="1152"/>
      <c r="EW27" s="1152"/>
      <c r="EX27" s="1152"/>
      <c r="EY27" s="1152"/>
      <c r="EZ27" s="1152"/>
      <c r="FA27" s="1152"/>
      <c r="FB27" s="1152"/>
      <c r="FC27" s="1152"/>
      <c r="FD27" s="1152"/>
      <c r="FE27" s="1152"/>
      <c r="FF27" s="1152"/>
    </row>
    <row r="28" spans="1:162" s="1149" customFormat="1">
      <c r="A28" s="1791" t="s">
        <v>44</v>
      </c>
      <c r="B28" s="1781" t="s">
        <v>46</v>
      </c>
      <c r="C28" s="1782" t="s">
        <v>618</v>
      </c>
      <c r="D28" s="1798">
        <v>1</v>
      </c>
      <c r="E28" s="1794"/>
      <c r="F28" s="1794"/>
      <c r="G28" s="1152"/>
      <c r="H28" s="1152"/>
      <c r="I28" s="1152"/>
      <c r="J28" s="1152"/>
      <c r="K28" s="1152"/>
      <c r="L28" s="1152"/>
      <c r="M28" s="1152"/>
      <c r="N28" s="1152"/>
      <c r="O28" s="1152"/>
      <c r="P28" s="1152"/>
      <c r="Q28" s="1152"/>
      <c r="R28" s="1152"/>
      <c r="S28" s="1152"/>
      <c r="T28" s="1152"/>
      <c r="U28" s="1152"/>
      <c r="V28" s="1152"/>
      <c r="W28" s="1152"/>
      <c r="X28" s="1152"/>
      <c r="Y28" s="1152"/>
      <c r="Z28" s="1152"/>
      <c r="AA28" s="1152"/>
      <c r="AB28" s="1152"/>
      <c r="AC28" s="1152"/>
      <c r="AD28" s="1152"/>
      <c r="AE28" s="1152"/>
      <c r="AF28" s="1152"/>
      <c r="AG28" s="1152"/>
      <c r="AH28" s="1152"/>
      <c r="AI28" s="1152"/>
      <c r="AJ28" s="1152"/>
      <c r="AK28" s="1152"/>
      <c r="AL28" s="1152"/>
      <c r="AM28" s="1152"/>
      <c r="AN28" s="1152"/>
      <c r="AO28" s="1152"/>
      <c r="AP28" s="1152"/>
      <c r="AQ28" s="1152"/>
      <c r="AR28" s="1152"/>
      <c r="AS28" s="1152"/>
      <c r="AT28" s="1152"/>
      <c r="AU28" s="1152"/>
      <c r="AV28" s="1152"/>
      <c r="AW28" s="1152"/>
      <c r="AX28" s="1152"/>
      <c r="AY28" s="1152"/>
      <c r="AZ28" s="1152"/>
      <c r="BA28" s="1152"/>
      <c r="BB28" s="1152"/>
      <c r="BC28" s="1152"/>
      <c r="BD28" s="1152"/>
      <c r="BE28" s="1152"/>
      <c r="BF28" s="1152"/>
      <c r="BG28" s="1152"/>
      <c r="BH28" s="1152"/>
      <c r="BI28" s="1152"/>
      <c r="BJ28" s="1152"/>
      <c r="BK28" s="1152"/>
      <c r="BL28" s="1152"/>
      <c r="BM28" s="1152"/>
      <c r="BN28" s="1152"/>
      <c r="BO28" s="1152"/>
      <c r="BP28" s="1152"/>
      <c r="BQ28" s="1152"/>
      <c r="BR28" s="1152"/>
      <c r="BS28" s="1152"/>
      <c r="BT28" s="1152"/>
      <c r="BU28" s="1152"/>
      <c r="BV28" s="1152"/>
      <c r="BW28" s="1152"/>
      <c r="BX28" s="1152"/>
      <c r="BY28" s="1152"/>
      <c r="BZ28" s="1152"/>
      <c r="CA28" s="1152"/>
      <c r="CB28" s="1152"/>
      <c r="CC28" s="1152"/>
      <c r="CD28" s="1152"/>
      <c r="CE28" s="1152"/>
      <c r="CF28" s="1152"/>
      <c r="CG28" s="1152"/>
      <c r="CH28" s="1152"/>
      <c r="CI28" s="1152"/>
      <c r="CJ28" s="1152"/>
      <c r="CK28" s="1152"/>
      <c r="CL28" s="1152"/>
      <c r="CM28" s="1152"/>
      <c r="CN28" s="1152"/>
      <c r="CO28" s="1152"/>
      <c r="CP28" s="1152"/>
      <c r="CQ28" s="1152"/>
      <c r="CR28" s="1152"/>
      <c r="CS28" s="1152"/>
      <c r="CT28" s="1152"/>
      <c r="CU28" s="1152"/>
      <c r="CV28" s="1152"/>
      <c r="CW28" s="1152"/>
      <c r="CX28" s="1152"/>
      <c r="CY28" s="1152"/>
      <c r="CZ28" s="1152"/>
      <c r="DA28" s="1152"/>
      <c r="DB28" s="1152"/>
      <c r="DC28" s="1152"/>
      <c r="DD28" s="1152"/>
      <c r="DE28" s="1152"/>
      <c r="DF28" s="1152"/>
      <c r="DG28" s="1152"/>
      <c r="DH28" s="1152"/>
      <c r="DI28" s="1152"/>
      <c r="DJ28" s="1152"/>
      <c r="DK28" s="1152"/>
      <c r="DL28" s="1152"/>
      <c r="DM28" s="1152"/>
      <c r="DN28" s="1152"/>
      <c r="DO28" s="1152"/>
      <c r="DP28" s="1152"/>
      <c r="DQ28" s="1152"/>
      <c r="DR28" s="1152"/>
      <c r="DS28" s="1152"/>
      <c r="DT28" s="1152"/>
      <c r="DU28" s="1152"/>
      <c r="DV28" s="1152"/>
      <c r="DW28" s="1152"/>
      <c r="DX28" s="1152"/>
      <c r="DY28" s="1152"/>
      <c r="DZ28" s="1152"/>
      <c r="EA28" s="1152"/>
      <c r="EB28" s="1152"/>
      <c r="EC28" s="1152"/>
      <c r="ED28" s="1152"/>
      <c r="EE28" s="1152"/>
      <c r="EF28" s="1152"/>
      <c r="EG28" s="1152"/>
      <c r="EH28" s="1152"/>
      <c r="EI28" s="1152"/>
      <c r="EJ28" s="1152"/>
      <c r="EK28" s="1152"/>
      <c r="EL28" s="1152"/>
      <c r="EM28" s="1152"/>
      <c r="EN28" s="1152"/>
      <c r="EO28" s="1152"/>
      <c r="EP28" s="1152"/>
      <c r="EQ28" s="1152"/>
      <c r="ER28" s="1152"/>
      <c r="ES28" s="1152"/>
      <c r="ET28" s="1152"/>
      <c r="EU28" s="1152"/>
      <c r="EV28" s="1152"/>
      <c r="EW28" s="1152"/>
      <c r="EX28" s="1152"/>
      <c r="EY28" s="1152"/>
      <c r="EZ28" s="1152"/>
      <c r="FA28" s="1152"/>
      <c r="FB28" s="1152"/>
      <c r="FC28" s="1152"/>
      <c r="FD28" s="1152"/>
      <c r="FE28" s="1152"/>
      <c r="FF28" s="1152"/>
    </row>
    <row r="29" spans="1:162" s="1152" customFormat="1">
      <c r="A29" s="1791" t="s">
        <v>45</v>
      </c>
      <c r="B29" s="1781" t="s">
        <v>47</v>
      </c>
      <c r="C29" s="1782" t="s">
        <v>618</v>
      </c>
      <c r="D29" s="1798">
        <v>1</v>
      </c>
      <c r="E29" s="1794"/>
      <c r="F29" s="1794"/>
    </row>
    <row r="30" spans="1:162" s="1152" customFormat="1">
      <c r="A30" s="1791" t="s">
        <v>48</v>
      </c>
      <c r="B30" s="1781" t="s">
        <v>729</v>
      </c>
      <c r="C30" s="1782" t="s">
        <v>205</v>
      </c>
      <c r="D30" s="1793">
        <v>1209</v>
      </c>
      <c r="E30" s="1794"/>
      <c r="F30" s="1794"/>
    </row>
    <row r="31" spans="1:162" s="1152" customFormat="1">
      <c r="A31" s="1791" t="s">
        <v>203</v>
      </c>
      <c r="B31" s="1781" t="s">
        <v>49</v>
      </c>
      <c r="C31" s="1782" t="s">
        <v>618</v>
      </c>
      <c r="D31" s="1798">
        <v>1</v>
      </c>
      <c r="E31" s="1794"/>
      <c r="F31" s="1794"/>
    </row>
    <row r="32" spans="1:162" s="1152" customFormat="1">
      <c r="A32" s="1791">
        <v>206</v>
      </c>
      <c r="B32" s="1781" t="s">
        <v>796</v>
      </c>
      <c r="C32" s="1792" t="s">
        <v>616</v>
      </c>
      <c r="D32" s="1795">
        <v>5063</v>
      </c>
      <c r="E32" s="1794"/>
      <c r="F32" s="1794"/>
    </row>
    <row r="33" spans="1:162" s="1152" customFormat="1">
      <c r="A33" s="1791" t="s">
        <v>50</v>
      </c>
      <c r="B33" s="1781" t="s">
        <v>797</v>
      </c>
      <c r="C33" s="1792" t="s">
        <v>1</v>
      </c>
      <c r="D33" s="1795">
        <v>1430</v>
      </c>
      <c r="E33" s="1794"/>
      <c r="F33" s="1794"/>
    </row>
    <row r="34" spans="1:162" s="1152" customFormat="1" ht="15">
      <c r="A34" s="1791" t="s">
        <v>52</v>
      </c>
      <c r="B34" s="1781" t="s">
        <v>798</v>
      </c>
      <c r="C34" s="1799"/>
      <c r="D34" s="1797"/>
      <c r="E34" s="1794"/>
      <c r="F34" s="1794"/>
    </row>
    <row r="35" spans="1:162" s="1152" customFormat="1">
      <c r="A35" s="1791" t="s">
        <v>54</v>
      </c>
      <c r="B35" s="1781" t="s">
        <v>710</v>
      </c>
      <c r="C35" s="1792" t="s">
        <v>1</v>
      </c>
      <c r="D35" s="1795">
        <v>11997</v>
      </c>
      <c r="E35" s="1794"/>
      <c r="F35" s="1794"/>
    </row>
    <row r="36" spans="1:162" s="1152" customFormat="1">
      <c r="A36" s="1791">
        <v>211</v>
      </c>
      <c r="B36" s="1781" t="s">
        <v>854</v>
      </c>
      <c r="C36" s="1792"/>
      <c r="D36" s="1795"/>
      <c r="E36" s="1794"/>
      <c r="F36" s="1794"/>
    </row>
    <row r="37" spans="1:162" s="1152" customFormat="1">
      <c r="A37" s="1791" t="s">
        <v>852</v>
      </c>
      <c r="B37" s="1781" t="s">
        <v>855</v>
      </c>
      <c r="C37" s="1792" t="s">
        <v>616</v>
      </c>
      <c r="D37" s="1795">
        <v>2250</v>
      </c>
      <c r="E37" s="1794"/>
      <c r="F37" s="1794"/>
    </row>
    <row r="38" spans="1:162" s="1152" customFormat="1">
      <c r="A38" s="1800" t="s">
        <v>853</v>
      </c>
      <c r="B38" s="1801" t="s">
        <v>856</v>
      </c>
      <c r="C38" s="1806" t="s">
        <v>616</v>
      </c>
      <c r="D38" s="1807">
        <v>6750</v>
      </c>
      <c r="E38" s="1803"/>
      <c r="F38" s="1803"/>
    </row>
    <row r="39" spans="1:162" s="1149" customFormat="1" ht="15">
      <c r="A39" s="1823"/>
      <c r="B39" s="1824" t="s">
        <v>799</v>
      </c>
      <c r="C39" s="1825"/>
      <c r="D39" s="1754"/>
      <c r="E39" s="1826"/>
      <c r="F39" s="1765"/>
      <c r="G39" s="1152"/>
      <c r="H39" s="1152"/>
      <c r="I39" s="1152"/>
      <c r="J39" s="1152"/>
      <c r="K39" s="1152"/>
      <c r="L39" s="1152"/>
      <c r="M39" s="1152"/>
      <c r="N39" s="1152"/>
      <c r="O39" s="1152"/>
      <c r="P39" s="1152"/>
      <c r="Q39" s="1152"/>
      <c r="R39" s="1152"/>
      <c r="S39" s="1152"/>
      <c r="T39" s="1152"/>
      <c r="U39" s="1152"/>
      <c r="V39" s="1152"/>
      <c r="W39" s="1152"/>
      <c r="X39" s="1152"/>
      <c r="Y39" s="1152"/>
      <c r="Z39" s="1152"/>
      <c r="AA39" s="1152"/>
      <c r="AB39" s="1152"/>
      <c r="AC39" s="1152"/>
      <c r="AD39" s="1152"/>
      <c r="AE39" s="1152"/>
      <c r="AF39" s="1152"/>
      <c r="AG39" s="1152"/>
      <c r="AH39" s="1152"/>
      <c r="AI39" s="1152"/>
      <c r="AJ39" s="1152"/>
      <c r="AK39" s="1152"/>
      <c r="AL39" s="1152"/>
      <c r="AM39" s="1152"/>
      <c r="AN39" s="1152"/>
      <c r="AO39" s="1152"/>
      <c r="AP39" s="1152"/>
      <c r="AQ39" s="1152"/>
      <c r="AR39" s="1152"/>
      <c r="AS39" s="1152"/>
      <c r="AT39" s="1152"/>
      <c r="AU39" s="1152"/>
      <c r="AV39" s="1152"/>
      <c r="AW39" s="1152"/>
      <c r="AX39" s="1152"/>
      <c r="AY39" s="1152"/>
      <c r="AZ39" s="1152"/>
      <c r="BA39" s="1152"/>
      <c r="BB39" s="1152"/>
      <c r="BC39" s="1152"/>
      <c r="BD39" s="1152"/>
      <c r="BE39" s="1152"/>
      <c r="BF39" s="1152"/>
      <c r="BG39" s="1152"/>
      <c r="BH39" s="1152"/>
      <c r="BI39" s="1152"/>
      <c r="BJ39" s="1152"/>
      <c r="BK39" s="1152"/>
      <c r="BL39" s="1152"/>
      <c r="BM39" s="1152"/>
      <c r="BN39" s="1152"/>
      <c r="BO39" s="1152"/>
      <c r="BP39" s="1152"/>
      <c r="BQ39" s="1152"/>
      <c r="BR39" s="1152"/>
      <c r="BS39" s="1152"/>
      <c r="BT39" s="1152"/>
      <c r="BU39" s="1152"/>
      <c r="BV39" s="1152"/>
      <c r="BW39" s="1152"/>
      <c r="BX39" s="1152"/>
      <c r="BY39" s="1152"/>
      <c r="BZ39" s="1152"/>
      <c r="CA39" s="1152"/>
      <c r="CB39" s="1152"/>
      <c r="CC39" s="1152"/>
      <c r="CD39" s="1152"/>
      <c r="CE39" s="1152"/>
      <c r="CF39" s="1152"/>
      <c r="CG39" s="1152"/>
      <c r="CH39" s="1152"/>
      <c r="CI39" s="1152"/>
      <c r="CJ39" s="1152"/>
      <c r="CK39" s="1152"/>
      <c r="CL39" s="1152"/>
      <c r="CM39" s="1152"/>
      <c r="CN39" s="1152"/>
      <c r="CO39" s="1152"/>
      <c r="CP39" s="1152"/>
      <c r="CQ39" s="1152"/>
      <c r="CR39" s="1152"/>
      <c r="CS39" s="1152"/>
      <c r="CT39" s="1152"/>
      <c r="CU39" s="1152"/>
      <c r="CV39" s="1152"/>
      <c r="CW39" s="1152"/>
      <c r="CX39" s="1152"/>
      <c r="CY39" s="1152"/>
      <c r="CZ39" s="1152"/>
      <c r="DA39" s="1152"/>
      <c r="DB39" s="1152"/>
      <c r="DC39" s="1152"/>
      <c r="DD39" s="1152"/>
      <c r="DE39" s="1152"/>
      <c r="DF39" s="1152"/>
      <c r="DG39" s="1152"/>
      <c r="DH39" s="1152"/>
      <c r="DI39" s="1152"/>
      <c r="DJ39" s="1152"/>
      <c r="DK39" s="1152"/>
      <c r="DL39" s="1152"/>
      <c r="DM39" s="1152"/>
      <c r="DN39" s="1152"/>
      <c r="DO39" s="1152"/>
      <c r="DP39" s="1152"/>
      <c r="DQ39" s="1152"/>
      <c r="DR39" s="1152"/>
      <c r="DS39" s="1152"/>
      <c r="DT39" s="1152"/>
      <c r="DU39" s="1152"/>
      <c r="DV39" s="1152"/>
      <c r="DW39" s="1152"/>
      <c r="DX39" s="1152"/>
      <c r="DY39" s="1152"/>
      <c r="DZ39" s="1152"/>
      <c r="EA39" s="1152"/>
      <c r="EB39" s="1152"/>
      <c r="EC39" s="1152"/>
      <c r="ED39" s="1152"/>
      <c r="EE39" s="1152"/>
      <c r="EF39" s="1152"/>
      <c r="EG39" s="1152"/>
      <c r="EH39" s="1152"/>
      <c r="EI39" s="1152"/>
      <c r="EJ39" s="1152"/>
      <c r="EK39" s="1152"/>
      <c r="EL39" s="1152"/>
      <c r="EM39" s="1152"/>
      <c r="EN39" s="1152"/>
      <c r="EO39" s="1152"/>
      <c r="EP39" s="1152"/>
      <c r="EQ39" s="1152"/>
      <c r="ER39" s="1152"/>
      <c r="ES39" s="1152"/>
      <c r="ET39" s="1152"/>
      <c r="EU39" s="1152"/>
      <c r="EV39" s="1152"/>
      <c r="EW39" s="1152"/>
      <c r="EX39" s="1152"/>
      <c r="EY39" s="1152"/>
      <c r="EZ39" s="1152"/>
      <c r="FA39" s="1152"/>
      <c r="FB39" s="1152"/>
      <c r="FC39" s="1152"/>
      <c r="FD39" s="1152"/>
      <c r="FE39" s="1152"/>
      <c r="FF39" s="1152"/>
    </row>
    <row r="40" spans="1:162" s="1744" customFormat="1" ht="15">
      <c r="A40" s="1876" t="s">
        <v>5</v>
      </c>
      <c r="B40" s="1877"/>
      <c r="C40" s="1877"/>
      <c r="D40" s="1877"/>
      <c r="E40" s="1877"/>
      <c r="F40" s="1878"/>
    </row>
    <row r="41" spans="1:162" s="1152" customFormat="1">
      <c r="A41" s="1789" t="s">
        <v>6</v>
      </c>
      <c r="B41" s="1778" t="s">
        <v>800</v>
      </c>
      <c r="C41" s="1770"/>
      <c r="D41" s="1771"/>
      <c r="E41" s="1780"/>
      <c r="F41" s="1780"/>
    </row>
    <row r="42" spans="1:162" s="1152" customFormat="1">
      <c r="A42" s="1791" t="s">
        <v>61</v>
      </c>
      <c r="B42" s="1781" t="s">
        <v>62</v>
      </c>
      <c r="C42" s="1783" t="s">
        <v>775</v>
      </c>
      <c r="D42" s="1783">
        <v>72188</v>
      </c>
      <c r="E42" s="1794"/>
      <c r="F42" s="1794"/>
    </row>
    <row r="43" spans="1:162" s="1152" customFormat="1">
      <c r="A43" s="1791" t="s">
        <v>130</v>
      </c>
      <c r="B43" s="1781" t="s">
        <v>638</v>
      </c>
      <c r="C43" s="1795" t="s">
        <v>775</v>
      </c>
      <c r="D43" s="1795">
        <v>29911</v>
      </c>
      <c r="E43" s="1794"/>
      <c r="F43" s="1794"/>
    </row>
    <row r="44" spans="1:162" s="1152" customFormat="1">
      <c r="A44" s="1791" t="s">
        <v>7</v>
      </c>
      <c r="B44" s="1781" t="s">
        <v>802</v>
      </c>
      <c r="C44" s="1792" t="s">
        <v>775</v>
      </c>
      <c r="D44" s="1795">
        <v>1474</v>
      </c>
      <c r="E44" s="1794"/>
      <c r="F44" s="1794"/>
    </row>
    <row r="45" spans="1:162" s="1152" customFormat="1">
      <c r="A45" s="1791" t="s">
        <v>8</v>
      </c>
      <c r="B45" s="1781" t="s">
        <v>803</v>
      </c>
      <c r="C45" s="1792" t="s">
        <v>775</v>
      </c>
      <c r="D45" s="1795">
        <v>118686</v>
      </c>
      <c r="E45" s="1794"/>
      <c r="F45" s="1794"/>
    </row>
    <row r="46" spans="1:162" s="1745" customFormat="1" ht="28.5">
      <c r="A46" s="1785">
        <v>305</v>
      </c>
      <c r="B46" s="1785" t="s">
        <v>804</v>
      </c>
      <c r="C46" s="1804" t="s">
        <v>775</v>
      </c>
      <c r="D46" s="1795">
        <v>118207</v>
      </c>
      <c r="E46" s="1805"/>
      <c r="F46" s="1794"/>
    </row>
    <row r="47" spans="1:162" s="1164" customFormat="1">
      <c r="A47" s="1791">
        <v>309</v>
      </c>
      <c r="B47" s="1781" t="s">
        <v>805</v>
      </c>
      <c r="C47" s="1804" t="s">
        <v>775</v>
      </c>
      <c r="D47" s="1795">
        <v>97645</v>
      </c>
      <c r="E47" s="1784"/>
      <c r="F47" s="1794"/>
    </row>
    <row r="48" spans="1:162" s="1164" customFormat="1">
      <c r="A48" s="1787">
        <v>312</v>
      </c>
      <c r="B48" s="1785" t="s">
        <v>806</v>
      </c>
      <c r="C48" s="1804" t="s">
        <v>616</v>
      </c>
      <c r="D48" s="1795">
        <v>19756</v>
      </c>
      <c r="E48" s="1784"/>
      <c r="F48" s="1794"/>
    </row>
    <row r="49" spans="1:162" s="1164" customFormat="1">
      <c r="A49" s="1787">
        <v>313</v>
      </c>
      <c r="B49" s="1785" t="s">
        <v>807</v>
      </c>
      <c r="C49" s="1804" t="s">
        <v>616</v>
      </c>
      <c r="D49" s="1795">
        <v>19756</v>
      </c>
      <c r="E49" s="1784"/>
      <c r="F49" s="1794"/>
    </row>
    <row r="50" spans="1:162" s="1164" customFormat="1">
      <c r="A50" s="1788">
        <v>316</v>
      </c>
      <c r="B50" s="1786" t="s">
        <v>808</v>
      </c>
      <c r="C50" s="1806" t="s">
        <v>618</v>
      </c>
      <c r="D50" s="1807">
        <v>1</v>
      </c>
      <c r="E50" s="1777"/>
      <c r="F50" s="1803"/>
    </row>
    <row r="51" spans="1:162" s="1149" customFormat="1" ht="15">
      <c r="A51" s="1823"/>
      <c r="B51" s="1824" t="s">
        <v>801</v>
      </c>
      <c r="C51" s="1825"/>
      <c r="D51" s="1754"/>
      <c r="E51" s="1826"/>
      <c r="F51" s="1765"/>
      <c r="G51" s="1152"/>
      <c r="H51" s="1152"/>
      <c r="I51" s="1152"/>
      <c r="J51" s="1152"/>
      <c r="K51" s="1152"/>
      <c r="L51" s="1152"/>
      <c r="M51" s="1152"/>
      <c r="N51" s="1152"/>
      <c r="O51" s="1152"/>
      <c r="P51" s="1152"/>
      <c r="Q51" s="1152"/>
      <c r="R51" s="1152"/>
      <c r="S51" s="1152"/>
      <c r="T51" s="1152"/>
      <c r="U51" s="1152"/>
      <c r="V51" s="1152"/>
      <c r="W51" s="1152"/>
      <c r="X51" s="1152"/>
      <c r="Y51" s="1152"/>
      <c r="Z51" s="1152"/>
      <c r="AA51" s="1152"/>
      <c r="AB51" s="1152"/>
      <c r="AC51" s="1152"/>
      <c r="AD51" s="1152"/>
      <c r="AE51" s="1152"/>
      <c r="AF51" s="1152"/>
      <c r="AG51" s="1152"/>
      <c r="AH51" s="1152"/>
      <c r="AI51" s="1152"/>
      <c r="AJ51" s="1152"/>
      <c r="AK51" s="1152"/>
      <c r="AL51" s="1152"/>
      <c r="AM51" s="1152"/>
      <c r="AN51" s="1152"/>
      <c r="AO51" s="1152"/>
      <c r="AP51" s="1152"/>
      <c r="AQ51" s="1152"/>
      <c r="AR51" s="1152"/>
      <c r="AS51" s="1152"/>
      <c r="AT51" s="1152"/>
      <c r="AU51" s="1152"/>
      <c r="AV51" s="1152"/>
      <c r="AW51" s="1152"/>
      <c r="AX51" s="1152"/>
      <c r="AY51" s="1152"/>
      <c r="AZ51" s="1152"/>
      <c r="BA51" s="1152"/>
      <c r="BB51" s="1152"/>
      <c r="BC51" s="1152"/>
      <c r="BD51" s="1152"/>
      <c r="BE51" s="1152"/>
      <c r="BF51" s="1152"/>
      <c r="BG51" s="1152"/>
      <c r="BH51" s="1152"/>
      <c r="BI51" s="1152"/>
      <c r="BJ51" s="1152"/>
      <c r="BK51" s="1152"/>
      <c r="BL51" s="1152"/>
      <c r="BM51" s="1152"/>
      <c r="BN51" s="1152"/>
      <c r="BO51" s="1152"/>
      <c r="BP51" s="1152"/>
      <c r="BQ51" s="1152"/>
      <c r="BR51" s="1152"/>
      <c r="BS51" s="1152"/>
      <c r="BT51" s="1152"/>
      <c r="BU51" s="1152"/>
      <c r="BV51" s="1152"/>
      <c r="BW51" s="1152"/>
      <c r="BX51" s="1152"/>
      <c r="BY51" s="1152"/>
      <c r="BZ51" s="1152"/>
      <c r="CA51" s="1152"/>
      <c r="CB51" s="1152"/>
      <c r="CC51" s="1152"/>
      <c r="CD51" s="1152"/>
      <c r="CE51" s="1152"/>
      <c r="CF51" s="1152"/>
      <c r="CG51" s="1152"/>
      <c r="CH51" s="1152"/>
      <c r="CI51" s="1152"/>
      <c r="CJ51" s="1152"/>
      <c r="CK51" s="1152"/>
      <c r="CL51" s="1152"/>
      <c r="CM51" s="1152"/>
      <c r="CN51" s="1152"/>
      <c r="CO51" s="1152"/>
      <c r="CP51" s="1152"/>
      <c r="CQ51" s="1152"/>
      <c r="CR51" s="1152"/>
      <c r="CS51" s="1152"/>
      <c r="CT51" s="1152"/>
      <c r="CU51" s="1152"/>
      <c r="CV51" s="1152"/>
      <c r="CW51" s="1152"/>
      <c r="CX51" s="1152"/>
      <c r="CY51" s="1152"/>
      <c r="CZ51" s="1152"/>
      <c r="DA51" s="1152"/>
      <c r="DB51" s="1152"/>
      <c r="DC51" s="1152"/>
      <c r="DD51" s="1152"/>
      <c r="DE51" s="1152"/>
      <c r="DF51" s="1152"/>
      <c r="DG51" s="1152"/>
      <c r="DH51" s="1152"/>
      <c r="DI51" s="1152"/>
      <c r="DJ51" s="1152"/>
      <c r="DK51" s="1152"/>
      <c r="DL51" s="1152"/>
      <c r="DM51" s="1152"/>
      <c r="DN51" s="1152"/>
      <c r="DO51" s="1152"/>
      <c r="DP51" s="1152"/>
      <c r="DQ51" s="1152"/>
      <c r="DR51" s="1152"/>
      <c r="DS51" s="1152"/>
      <c r="DT51" s="1152"/>
      <c r="DU51" s="1152"/>
      <c r="DV51" s="1152"/>
      <c r="DW51" s="1152"/>
      <c r="DX51" s="1152"/>
      <c r="DY51" s="1152"/>
      <c r="DZ51" s="1152"/>
      <c r="EA51" s="1152"/>
      <c r="EB51" s="1152"/>
      <c r="EC51" s="1152"/>
      <c r="ED51" s="1152"/>
      <c r="EE51" s="1152"/>
      <c r="EF51" s="1152"/>
      <c r="EG51" s="1152"/>
      <c r="EH51" s="1152"/>
      <c r="EI51" s="1152"/>
      <c r="EJ51" s="1152"/>
      <c r="EK51" s="1152"/>
      <c r="EL51" s="1152"/>
      <c r="EM51" s="1152"/>
      <c r="EN51" s="1152"/>
      <c r="EO51" s="1152"/>
      <c r="EP51" s="1152"/>
      <c r="EQ51" s="1152"/>
      <c r="ER51" s="1152"/>
      <c r="ES51" s="1152"/>
      <c r="ET51" s="1152"/>
      <c r="EU51" s="1152"/>
      <c r="EV51" s="1152"/>
      <c r="EW51" s="1152"/>
      <c r="EX51" s="1152"/>
      <c r="EY51" s="1152"/>
      <c r="EZ51" s="1152"/>
      <c r="FA51" s="1152"/>
      <c r="FB51" s="1152"/>
      <c r="FC51" s="1152"/>
      <c r="FD51" s="1152"/>
      <c r="FE51" s="1152"/>
      <c r="FF51" s="1152"/>
    </row>
    <row r="52" spans="1:162" s="1744" customFormat="1" ht="15">
      <c r="A52" s="1876" t="s">
        <v>9</v>
      </c>
      <c r="B52" s="1877"/>
      <c r="C52" s="1877"/>
      <c r="D52" s="1877"/>
      <c r="E52" s="1877"/>
      <c r="F52" s="1878"/>
    </row>
    <row r="53" spans="1:162" s="1152" customFormat="1" ht="28.5">
      <c r="A53" s="1789" t="s">
        <v>10</v>
      </c>
      <c r="B53" s="1778" t="s">
        <v>809</v>
      </c>
      <c r="C53" s="1770"/>
      <c r="D53" s="1771"/>
      <c r="E53" s="1773"/>
      <c r="F53" s="1773"/>
    </row>
    <row r="54" spans="1:162" s="1152" customFormat="1">
      <c r="A54" s="1791" t="s">
        <v>66</v>
      </c>
      <c r="B54" s="1781" t="s">
        <v>67</v>
      </c>
      <c r="C54" s="1804" t="s">
        <v>775</v>
      </c>
      <c r="D54" s="1795">
        <v>52401</v>
      </c>
      <c r="E54" s="1784"/>
      <c r="F54" s="1784"/>
    </row>
    <row r="55" spans="1:162" s="1152" customFormat="1">
      <c r="A55" s="1791">
        <v>405</v>
      </c>
      <c r="B55" s="1781" t="s">
        <v>810</v>
      </c>
      <c r="C55" s="1804" t="s">
        <v>14</v>
      </c>
      <c r="D55" s="1808">
        <v>1491511</v>
      </c>
      <c r="E55" s="1794"/>
      <c r="F55" s="1784"/>
    </row>
    <row r="56" spans="1:162" s="1152" customFormat="1">
      <c r="A56" s="1791">
        <v>407</v>
      </c>
      <c r="B56" s="1781" t="s">
        <v>811</v>
      </c>
      <c r="C56" s="1809"/>
      <c r="D56" s="1808"/>
      <c r="E56" s="1794"/>
      <c r="F56" s="1784"/>
    </row>
    <row r="57" spans="1:162" s="1152" customFormat="1">
      <c r="A57" s="1791" t="s">
        <v>557</v>
      </c>
      <c r="B57" s="1781" t="s">
        <v>812</v>
      </c>
      <c r="C57" s="1809"/>
      <c r="D57" s="1808"/>
      <c r="E57" s="1794"/>
      <c r="F57" s="1784"/>
    </row>
    <row r="58" spans="1:162" s="1152" customFormat="1">
      <c r="A58" s="1791" t="s">
        <v>561</v>
      </c>
      <c r="B58" s="1781" t="s">
        <v>771</v>
      </c>
      <c r="C58" s="1792" t="s">
        <v>616</v>
      </c>
      <c r="D58" s="1808">
        <v>81736</v>
      </c>
      <c r="E58" s="1794"/>
      <c r="F58" s="1784"/>
    </row>
    <row r="59" spans="1:162" s="1152" customFormat="1">
      <c r="A59" s="1791" t="s">
        <v>562</v>
      </c>
      <c r="B59" s="1781" t="s">
        <v>772</v>
      </c>
      <c r="C59" s="1792" t="s">
        <v>616</v>
      </c>
      <c r="D59" s="1808">
        <v>46754</v>
      </c>
      <c r="E59" s="1794"/>
      <c r="F59" s="1784"/>
    </row>
    <row r="60" spans="1:162" s="1152" customFormat="1">
      <c r="A60" s="1791" t="s">
        <v>572</v>
      </c>
      <c r="B60" s="1781" t="s">
        <v>813</v>
      </c>
      <c r="C60" s="1792"/>
      <c r="D60" s="1793"/>
      <c r="E60" s="1794"/>
      <c r="F60" s="1784"/>
    </row>
    <row r="61" spans="1:162" s="1152" customFormat="1">
      <c r="A61" s="1791" t="s">
        <v>563</v>
      </c>
      <c r="B61" s="1781" t="s">
        <v>652</v>
      </c>
      <c r="C61" s="1792" t="s">
        <v>616</v>
      </c>
      <c r="D61" s="1793">
        <v>81736</v>
      </c>
      <c r="E61" s="1794"/>
      <c r="F61" s="1784"/>
    </row>
    <row r="62" spans="1:162" s="1152" customFormat="1">
      <c r="A62" s="1791" t="s">
        <v>564</v>
      </c>
      <c r="B62" s="1781" t="s">
        <v>653</v>
      </c>
      <c r="C62" s="1792" t="s">
        <v>616</v>
      </c>
      <c r="D62" s="1793">
        <v>46754</v>
      </c>
      <c r="E62" s="1794"/>
      <c r="F62" s="1784"/>
    </row>
    <row r="63" spans="1:162" s="1152" customFormat="1">
      <c r="A63" s="1791">
        <v>408</v>
      </c>
      <c r="B63" s="1781" t="s">
        <v>814</v>
      </c>
      <c r="C63" s="1792"/>
      <c r="D63" s="1793"/>
      <c r="E63" s="1794"/>
      <c r="F63" s="1784"/>
    </row>
    <row r="64" spans="1:162" s="1152" customFormat="1">
      <c r="A64" s="1791" t="s">
        <v>566</v>
      </c>
      <c r="B64" s="1781" t="s">
        <v>815</v>
      </c>
      <c r="C64" s="1792"/>
      <c r="D64" s="1793"/>
      <c r="E64" s="1794"/>
      <c r="F64" s="1784"/>
    </row>
    <row r="65" spans="1:162" s="1152" customFormat="1">
      <c r="A65" s="1791" t="s">
        <v>573</v>
      </c>
      <c r="B65" s="1781" t="s">
        <v>769</v>
      </c>
      <c r="C65" s="1792" t="s">
        <v>1</v>
      </c>
      <c r="D65" s="1793">
        <v>1811</v>
      </c>
      <c r="E65" s="1794"/>
      <c r="F65" s="1784"/>
    </row>
    <row r="66" spans="1:162" s="1152" customFormat="1">
      <c r="A66" s="1791" t="s">
        <v>574</v>
      </c>
      <c r="B66" s="1781" t="s">
        <v>770</v>
      </c>
      <c r="C66" s="1792" t="s">
        <v>1</v>
      </c>
      <c r="D66" s="1793">
        <v>19456</v>
      </c>
      <c r="E66" s="1794"/>
      <c r="F66" s="1784"/>
    </row>
    <row r="67" spans="1:162" s="1152" customFormat="1">
      <c r="A67" s="1791" t="s">
        <v>576</v>
      </c>
      <c r="B67" s="1781" t="s">
        <v>547</v>
      </c>
      <c r="C67" s="1792" t="s">
        <v>1</v>
      </c>
      <c r="D67" s="1793">
        <v>21926</v>
      </c>
      <c r="E67" s="1794"/>
      <c r="F67" s="1784"/>
    </row>
    <row r="68" spans="1:162" s="1152" customFormat="1">
      <c r="A68" s="1791" t="s">
        <v>579</v>
      </c>
      <c r="B68" s="1781" t="s">
        <v>816</v>
      </c>
      <c r="C68" s="1796"/>
      <c r="D68" s="1797"/>
      <c r="E68" s="1794"/>
      <c r="F68" s="1784"/>
    </row>
    <row r="69" spans="1:162" s="1152" customFormat="1">
      <c r="A69" s="1791" t="s">
        <v>577</v>
      </c>
      <c r="B69" s="1781" t="s">
        <v>769</v>
      </c>
      <c r="C69" s="1792" t="s">
        <v>1</v>
      </c>
      <c r="D69" s="1797">
        <v>1811</v>
      </c>
      <c r="E69" s="1794"/>
      <c r="F69" s="1784"/>
    </row>
    <row r="70" spans="1:162" s="1152" customFormat="1">
      <c r="A70" s="1791" t="s">
        <v>578</v>
      </c>
      <c r="B70" s="1781" t="s">
        <v>770</v>
      </c>
      <c r="C70" s="1792" t="s">
        <v>1</v>
      </c>
      <c r="D70" s="1797">
        <v>19456</v>
      </c>
      <c r="E70" s="1794"/>
      <c r="F70" s="1784"/>
    </row>
    <row r="71" spans="1:162" s="1152" customFormat="1">
      <c r="A71" s="1791" t="s">
        <v>580</v>
      </c>
      <c r="B71" s="1781" t="s">
        <v>547</v>
      </c>
      <c r="C71" s="1792" t="s">
        <v>1</v>
      </c>
      <c r="D71" s="1797">
        <v>21926</v>
      </c>
      <c r="E71" s="1794"/>
      <c r="F71" s="1784"/>
    </row>
    <row r="72" spans="1:162" s="1152" customFormat="1" ht="28.5">
      <c r="A72" s="1781">
        <v>409</v>
      </c>
      <c r="B72" s="1781" t="s">
        <v>817</v>
      </c>
      <c r="C72" s="1792"/>
      <c r="D72" s="1797"/>
      <c r="E72" s="1794"/>
      <c r="F72" s="1784"/>
    </row>
    <row r="73" spans="1:162" s="1152" customFormat="1" ht="28.5">
      <c r="A73" s="1781" t="s">
        <v>643</v>
      </c>
      <c r="B73" s="1781" t="s">
        <v>818</v>
      </c>
      <c r="C73" s="1792"/>
      <c r="D73" s="1797"/>
      <c r="E73" s="1794"/>
      <c r="F73" s="1784"/>
    </row>
    <row r="74" spans="1:162" s="1152" customFormat="1" ht="28.5">
      <c r="A74" s="1781" t="s">
        <v>644</v>
      </c>
      <c r="B74" s="1781" t="s">
        <v>642</v>
      </c>
      <c r="C74" s="1792" t="s">
        <v>616</v>
      </c>
      <c r="D74" s="1797">
        <v>8174</v>
      </c>
      <c r="E74" s="1794"/>
      <c r="F74" s="1784"/>
    </row>
    <row r="75" spans="1:162" s="1152" customFormat="1" ht="28.5">
      <c r="A75" s="1781" t="s">
        <v>645</v>
      </c>
      <c r="B75" s="1781" t="s">
        <v>649</v>
      </c>
      <c r="C75" s="1792" t="s">
        <v>616</v>
      </c>
      <c r="D75" s="1797">
        <v>9351</v>
      </c>
      <c r="E75" s="1794"/>
      <c r="F75" s="1784"/>
    </row>
    <row r="76" spans="1:162" s="1152" customFormat="1" ht="28.5">
      <c r="A76" s="1781" t="s">
        <v>646</v>
      </c>
      <c r="B76" s="1781" t="s">
        <v>819</v>
      </c>
      <c r="C76" s="1792"/>
      <c r="D76" s="1797"/>
      <c r="E76" s="1794"/>
      <c r="F76" s="1784"/>
    </row>
    <row r="77" spans="1:162" s="1152" customFormat="1" ht="28.5">
      <c r="A77" s="1781" t="s">
        <v>647</v>
      </c>
      <c r="B77" s="1781" t="s">
        <v>650</v>
      </c>
      <c r="C77" s="1792" t="s">
        <v>616</v>
      </c>
      <c r="D77" s="1797">
        <v>8174</v>
      </c>
      <c r="E77" s="1794"/>
      <c r="F77" s="1784"/>
    </row>
    <row r="78" spans="1:162" s="1152" customFormat="1" ht="28.5">
      <c r="A78" s="1801" t="s">
        <v>648</v>
      </c>
      <c r="B78" s="1801" t="s">
        <v>651</v>
      </c>
      <c r="C78" s="1806" t="s">
        <v>616</v>
      </c>
      <c r="D78" s="1802">
        <v>9351</v>
      </c>
      <c r="E78" s="1803"/>
      <c r="F78" s="1777"/>
    </row>
    <row r="79" spans="1:162" s="1149" customFormat="1" ht="15">
      <c r="A79" s="1823"/>
      <c r="B79" s="1824" t="s">
        <v>820</v>
      </c>
      <c r="C79" s="1825"/>
      <c r="D79" s="1754"/>
      <c r="E79" s="1826"/>
      <c r="F79" s="1765"/>
      <c r="G79" s="1152"/>
      <c r="H79" s="1152"/>
      <c r="I79" s="1152"/>
      <c r="J79" s="1152"/>
      <c r="K79" s="1152"/>
      <c r="L79" s="1152"/>
      <c r="M79" s="1152"/>
      <c r="N79" s="1152"/>
      <c r="O79" s="1152"/>
      <c r="P79" s="1152"/>
      <c r="Q79" s="1152"/>
      <c r="R79" s="1152"/>
      <c r="S79" s="1152"/>
      <c r="T79" s="1152"/>
      <c r="U79" s="1152"/>
      <c r="V79" s="1152"/>
      <c r="W79" s="1152"/>
      <c r="X79" s="1152"/>
      <c r="Y79" s="1152"/>
      <c r="Z79" s="1152"/>
      <c r="AA79" s="1152"/>
      <c r="AB79" s="1152"/>
      <c r="AC79" s="1152"/>
      <c r="AD79" s="1152"/>
      <c r="AE79" s="1152"/>
      <c r="AF79" s="1152"/>
      <c r="AG79" s="1152"/>
      <c r="AH79" s="1152"/>
      <c r="AI79" s="1152"/>
      <c r="AJ79" s="1152"/>
      <c r="AK79" s="1152"/>
      <c r="AL79" s="1152"/>
      <c r="AM79" s="1152"/>
      <c r="AN79" s="1152"/>
      <c r="AO79" s="1152"/>
      <c r="AP79" s="1152"/>
      <c r="AQ79" s="1152"/>
      <c r="AR79" s="1152"/>
      <c r="AS79" s="1152"/>
      <c r="AT79" s="1152"/>
      <c r="AU79" s="1152"/>
      <c r="AV79" s="1152"/>
      <c r="AW79" s="1152"/>
      <c r="AX79" s="1152"/>
      <c r="AY79" s="1152"/>
      <c r="AZ79" s="1152"/>
      <c r="BA79" s="1152"/>
      <c r="BB79" s="1152"/>
      <c r="BC79" s="1152"/>
      <c r="BD79" s="1152"/>
      <c r="BE79" s="1152"/>
      <c r="BF79" s="1152"/>
      <c r="BG79" s="1152"/>
      <c r="BH79" s="1152"/>
      <c r="BI79" s="1152"/>
      <c r="BJ79" s="1152"/>
      <c r="BK79" s="1152"/>
      <c r="BL79" s="1152"/>
      <c r="BM79" s="1152"/>
      <c r="BN79" s="1152"/>
      <c r="BO79" s="1152"/>
      <c r="BP79" s="1152"/>
      <c r="BQ79" s="1152"/>
      <c r="BR79" s="1152"/>
      <c r="BS79" s="1152"/>
      <c r="BT79" s="1152"/>
      <c r="BU79" s="1152"/>
      <c r="BV79" s="1152"/>
      <c r="BW79" s="1152"/>
      <c r="BX79" s="1152"/>
      <c r="BY79" s="1152"/>
      <c r="BZ79" s="1152"/>
      <c r="CA79" s="1152"/>
      <c r="CB79" s="1152"/>
      <c r="CC79" s="1152"/>
      <c r="CD79" s="1152"/>
      <c r="CE79" s="1152"/>
      <c r="CF79" s="1152"/>
      <c r="CG79" s="1152"/>
      <c r="CH79" s="1152"/>
      <c r="CI79" s="1152"/>
      <c r="CJ79" s="1152"/>
      <c r="CK79" s="1152"/>
      <c r="CL79" s="1152"/>
      <c r="CM79" s="1152"/>
      <c r="CN79" s="1152"/>
      <c r="CO79" s="1152"/>
      <c r="CP79" s="1152"/>
      <c r="CQ79" s="1152"/>
      <c r="CR79" s="1152"/>
      <c r="CS79" s="1152"/>
      <c r="CT79" s="1152"/>
      <c r="CU79" s="1152"/>
      <c r="CV79" s="1152"/>
      <c r="CW79" s="1152"/>
      <c r="CX79" s="1152"/>
      <c r="CY79" s="1152"/>
      <c r="CZ79" s="1152"/>
      <c r="DA79" s="1152"/>
      <c r="DB79" s="1152"/>
      <c r="DC79" s="1152"/>
      <c r="DD79" s="1152"/>
      <c r="DE79" s="1152"/>
      <c r="DF79" s="1152"/>
      <c r="DG79" s="1152"/>
      <c r="DH79" s="1152"/>
      <c r="DI79" s="1152"/>
      <c r="DJ79" s="1152"/>
      <c r="DK79" s="1152"/>
      <c r="DL79" s="1152"/>
      <c r="DM79" s="1152"/>
      <c r="DN79" s="1152"/>
      <c r="DO79" s="1152"/>
      <c r="DP79" s="1152"/>
      <c r="DQ79" s="1152"/>
      <c r="DR79" s="1152"/>
      <c r="DS79" s="1152"/>
      <c r="DT79" s="1152"/>
      <c r="DU79" s="1152"/>
      <c r="DV79" s="1152"/>
      <c r="DW79" s="1152"/>
      <c r="DX79" s="1152"/>
      <c r="DY79" s="1152"/>
      <c r="DZ79" s="1152"/>
      <c r="EA79" s="1152"/>
      <c r="EB79" s="1152"/>
      <c r="EC79" s="1152"/>
      <c r="ED79" s="1152"/>
      <c r="EE79" s="1152"/>
      <c r="EF79" s="1152"/>
      <c r="EG79" s="1152"/>
      <c r="EH79" s="1152"/>
      <c r="EI79" s="1152"/>
      <c r="EJ79" s="1152"/>
      <c r="EK79" s="1152"/>
      <c r="EL79" s="1152"/>
      <c r="EM79" s="1152"/>
      <c r="EN79" s="1152"/>
      <c r="EO79" s="1152"/>
      <c r="EP79" s="1152"/>
      <c r="EQ79" s="1152"/>
      <c r="ER79" s="1152"/>
      <c r="ES79" s="1152"/>
      <c r="ET79" s="1152"/>
      <c r="EU79" s="1152"/>
      <c r="EV79" s="1152"/>
      <c r="EW79" s="1152"/>
      <c r="EX79" s="1152"/>
      <c r="EY79" s="1152"/>
      <c r="EZ79" s="1152"/>
      <c r="FA79" s="1152"/>
      <c r="FB79" s="1152"/>
      <c r="FC79" s="1152"/>
      <c r="FD79" s="1152"/>
      <c r="FE79" s="1152"/>
      <c r="FF79" s="1152"/>
    </row>
    <row r="80" spans="1:162" s="1744" customFormat="1" ht="15">
      <c r="A80" s="1876" t="s">
        <v>73</v>
      </c>
      <c r="B80" s="1877"/>
      <c r="C80" s="1877"/>
      <c r="D80" s="1877"/>
      <c r="E80" s="1877"/>
      <c r="F80" s="1878"/>
    </row>
    <row r="81" spans="1:162" s="1152" customFormat="1">
      <c r="A81" s="1810">
        <v>501</v>
      </c>
      <c r="B81" s="1811" t="s">
        <v>821</v>
      </c>
      <c r="C81" s="1812" t="s">
        <v>775</v>
      </c>
      <c r="D81" s="1813">
        <v>65656</v>
      </c>
      <c r="E81" s="1780"/>
      <c r="F81" s="1780"/>
    </row>
    <row r="82" spans="1:162" s="1152" customFormat="1">
      <c r="A82" s="1787">
        <v>502</v>
      </c>
      <c r="B82" s="1785" t="s">
        <v>822</v>
      </c>
      <c r="C82" s="1804" t="s">
        <v>775</v>
      </c>
      <c r="D82" s="1795">
        <v>46114</v>
      </c>
      <c r="E82" s="1794"/>
      <c r="F82" s="1794"/>
    </row>
    <row r="83" spans="1:162" s="1152" customFormat="1">
      <c r="A83" s="1791" t="s">
        <v>12</v>
      </c>
      <c r="B83" s="1781" t="s">
        <v>823</v>
      </c>
      <c r="C83" s="1804" t="s">
        <v>775</v>
      </c>
      <c r="D83" s="1795">
        <v>130</v>
      </c>
      <c r="E83" s="1794"/>
      <c r="F83" s="1794"/>
    </row>
    <row r="84" spans="1:162" s="1152" customFormat="1">
      <c r="A84" s="1791" t="s">
        <v>13</v>
      </c>
      <c r="B84" s="1781" t="s">
        <v>824</v>
      </c>
      <c r="C84" s="1792" t="s">
        <v>616</v>
      </c>
      <c r="D84" s="1793">
        <v>2350</v>
      </c>
      <c r="E84" s="1794"/>
      <c r="F84" s="1794"/>
    </row>
    <row r="85" spans="1:162" s="1152" customFormat="1">
      <c r="A85" s="1791">
        <v>505</v>
      </c>
      <c r="B85" s="1781" t="s">
        <v>825</v>
      </c>
      <c r="C85" s="1796"/>
      <c r="D85" s="1797"/>
      <c r="E85" s="1794"/>
      <c r="F85" s="1794"/>
    </row>
    <row r="86" spans="1:162" s="1152" customFormat="1">
      <c r="A86" s="1791" t="s">
        <v>15</v>
      </c>
      <c r="B86" s="1781" t="s">
        <v>654</v>
      </c>
      <c r="C86" s="1792" t="s">
        <v>14</v>
      </c>
      <c r="D86" s="1797">
        <v>44000</v>
      </c>
      <c r="E86" s="1794"/>
      <c r="F86" s="1794"/>
    </row>
    <row r="87" spans="1:162" s="1152" customFormat="1">
      <c r="A87" s="1791">
        <v>506</v>
      </c>
      <c r="B87" s="1781" t="s">
        <v>826</v>
      </c>
      <c r="C87" s="1792" t="s">
        <v>775</v>
      </c>
      <c r="D87" s="1793">
        <v>380</v>
      </c>
      <c r="E87" s="1794"/>
      <c r="F87" s="1794"/>
    </row>
    <row r="88" spans="1:162" s="1152" customFormat="1">
      <c r="A88" s="1791">
        <v>507</v>
      </c>
      <c r="B88" s="1781" t="s">
        <v>827</v>
      </c>
      <c r="C88" s="1792" t="s">
        <v>775</v>
      </c>
      <c r="D88" s="1793">
        <v>400</v>
      </c>
      <c r="E88" s="1794"/>
      <c r="F88" s="1794"/>
    </row>
    <row r="89" spans="1:162" s="1152" customFormat="1" ht="28.5">
      <c r="A89" s="1791">
        <v>509</v>
      </c>
      <c r="B89" s="1781" t="s">
        <v>828</v>
      </c>
      <c r="C89" s="1796"/>
      <c r="D89" s="1797"/>
      <c r="E89" s="1794"/>
      <c r="F89" s="1794"/>
    </row>
    <row r="90" spans="1:162" s="1152" customFormat="1">
      <c r="A90" s="1791" t="s">
        <v>140</v>
      </c>
      <c r="B90" s="1781" t="s">
        <v>640</v>
      </c>
      <c r="C90" s="1792" t="s">
        <v>616</v>
      </c>
      <c r="D90" s="1797">
        <v>981</v>
      </c>
      <c r="E90" s="1794"/>
      <c r="F90" s="1794"/>
    </row>
    <row r="91" spans="1:162" s="1152" customFormat="1">
      <c r="A91" s="1791" t="s">
        <v>141</v>
      </c>
      <c r="B91" s="1781" t="s">
        <v>639</v>
      </c>
      <c r="C91" s="1792" t="s">
        <v>616</v>
      </c>
      <c r="D91" s="1797">
        <v>240</v>
      </c>
      <c r="E91" s="1794"/>
      <c r="F91" s="1794"/>
    </row>
    <row r="92" spans="1:162" s="1743" customFormat="1" ht="28.5">
      <c r="A92" s="1791" t="s">
        <v>637</v>
      </c>
      <c r="B92" s="1781" t="s">
        <v>829</v>
      </c>
      <c r="C92" s="1792"/>
      <c r="D92" s="1793"/>
      <c r="E92" s="1794"/>
      <c r="F92" s="1794"/>
      <c r="G92" s="1742"/>
      <c r="H92" s="1742"/>
      <c r="I92" s="1742"/>
      <c r="J92" s="1742"/>
      <c r="K92" s="1742"/>
      <c r="L92" s="1742"/>
      <c r="M92" s="1742"/>
      <c r="N92" s="1742"/>
      <c r="O92" s="1742"/>
      <c r="P92" s="1742"/>
      <c r="Q92" s="1742"/>
      <c r="R92" s="1742"/>
      <c r="S92" s="1742"/>
      <c r="T92" s="1742"/>
      <c r="U92" s="1742"/>
      <c r="V92" s="1742"/>
      <c r="W92" s="1742"/>
      <c r="X92" s="1742"/>
      <c r="Y92" s="1742"/>
      <c r="Z92" s="1742"/>
      <c r="AA92" s="1742"/>
      <c r="AB92" s="1742"/>
      <c r="AC92" s="1742"/>
      <c r="AD92" s="1742"/>
      <c r="AE92" s="1742"/>
      <c r="AF92" s="1742"/>
      <c r="AG92" s="1742"/>
      <c r="AH92" s="1742"/>
      <c r="AI92" s="1742"/>
      <c r="AJ92" s="1742"/>
      <c r="AK92" s="1742"/>
      <c r="AL92" s="1742"/>
      <c r="AM92" s="1742"/>
      <c r="AN92" s="1742"/>
      <c r="AO92" s="1742"/>
      <c r="AP92" s="1742"/>
      <c r="AQ92" s="1742"/>
      <c r="AR92" s="1742"/>
      <c r="AS92" s="1742"/>
      <c r="AT92" s="1742"/>
      <c r="AU92" s="1742"/>
      <c r="AV92" s="1742"/>
      <c r="AW92" s="1742"/>
      <c r="AX92" s="1742"/>
      <c r="AY92" s="1742"/>
      <c r="AZ92" s="1742"/>
      <c r="BA92" s="1742"/>
      <c r="BB92" s="1742"/>
      <c r="BC92" s="1742"/>
      <c r="BD92" s="1742"/>
      <c r="BE92" s="1742"/>
      <c r="BF92" s="1742"/>
      <c r="BG92" s="1742"/>
      <c r="BH92" s="1742"/>
      <c r="BI92" s="1742"/>
      <c r="BJ92" s="1742"/>
      <c r="BK92" s="1742"/>
      <c r="BL92" s="1742"/>
      <c r="BM92" s="1742"/>
      <c r="BN92" s="1742"/>
      <c r="BO92" s="1742"/>
      <c r="BP92" s="1742"/>
      <c r="BQ92" s="1742"/>
      <c r="BR92" s="1742"/>
      <c r="BS92" s="1742"/>
      <c r="BT92" s="1742"/>
      <c r="BU92" s="1742"/>
      <c r="BV92" s="1742"/>
      <c r="BW92" s="1742"/>
      <c r="BX92" s="1742"/>
      <c r="BY92" s="1742"/>
      <c r="BZ92" s="1742"/>
      <c r="CA92" s="1742"/>
      <c r="CB92" s="1742"/>
      <c r="CC92" s="1742"/>
      <c r="CD92" s="1742"/>
      <c r="CE92" s="1742"/>
      <c r="CF92" s="1742"/>
      <c r="CG92" s="1742"/>
      <c r="CH92" s="1742"/>
      <c r="CI92" s="1742"/>
      <c r="CJ92" s="1742"/>
      <c r="CK92" s="1742"/>
      <c r="CL92" s="1742"/>
      <c r="CM92" s="1742"/>
      <c r="CN92" s="1742"/>
      <c r="CO92" s="1742"/>
      <c r="CP92" s="1742"/>
      <c r="CQ92" s="1742"/>
      <c r="CR92" s="1742"/>
      <c r="CS92" s="1742"/>
      <c r="CT92" s="1742"/>
      <c r="CU92" s="1742"/>
      <c r="CV92" s="1742"/>
      <c r="CW92" s="1742"/>
      <c r="CX92" s="1742"/>
      <c r="CY92" s="1742"/>
      <c r="CZ92" s="1742"/>
      <c r="DA92" s="1742"/>
      <c r="DB92" s="1742"/>
      <c r="DC92" s="1742"/>
      <c r="DD92" s="1742"/>
      <c r="DE92" s="1742"/>
      <c r="DF92" s="1742"/>
      <c r="DG92" s="1742"/>
      <c r="DH92" s="1742"/>
      <c r="DI92" s="1742"/>
      <c r="DJ92" s="1742"/>
      <c r="DK92" s="1742"/>
      <c r="DL92" s="1742"/>
      <c r="DM92" s="1742"/>
      <c r="DN92" s="1742"/>
      <c r="DO92" s="1742"/>
      <c r="DP92" s="1742"/>
      <c r="DQ92" s="1742"/>
      <c r="DR92" s="1742"/>
      <c r="DS92" s="1742"/>
      <c r="DT92" s="1742"/>
      <c r="DU92" s="1742"/>
      <c r="DV92" s="1742"/>
      <c r="DW92" s="1742"/>
      <c r="DX92" s="1742"/>
      <c r="DY92" s="1742"/>
      <c r="DZ92" s="1742"/>
      <c r="EA92" s="1742"/>
      <c r="EB92" s="1742"/>
      <c r="EC92" s="1742"/>
      <c r="ED92" s="1742"/>
      <c r="EE92" s="1742"/>
      <c r="EF92" s="1742"/>
      <c r="EG92" s="1742"/>
      <c r="EH92" s="1742"/>
      <c r="EI92" s="1742"/>
      <c r="EJ92" s="1742"/>
      <c r="EK92" s="1742"/>
      <c r="EL92" s="1742"/>
      <c r="EM92" s="1742"/>
      <c r="EN92" s="1742"/>
      <c r="EO92" s="1742"/>
      <c r="EP92" s="1742"/>
      <c r="EQ92" s="1742"/>
      <c r="ER92" s="1742"/>
      <c r="ES92" s="1742"/>
      <c r="ET92" s="1742"/>
      <c r="EU92" s="1742"/>
      <c r="EV92" s="1742"/>
      <c r="EW92" s="1742"/>
      <c r="EX92" s="1742"/>
      <c r="EY92" s="1742"/>
      <c r="EZ92" s="1742"/>
      <c r="FA92" s="1742"/>
      <c r="FB92" s="1742"/>
      <c r="FC92" s="1742"/>
      <c r="FD92" s="1742"/>
      <c r="FE92" s="1742"/>
      <c r="FF92" s="1742"/>
    </row>
    <row r="93" spans="1:162" s="1743" customFormat="1" ht="28.5">
      <c r="A93" s="1791" t="s">
        <v>93</v>
      </c>
      <c r="B93" s="1781" t="s">
        <v>541</v>
      </c>
      <c r="C93" s="1792" t="s">
        <v>1</v>
      </c>
      <c r="D93" s="1793">
        <v>9618</v>
      </c>
      <c r="E93" s="1794"/>
      <c r="F93" s="1794"/>
      <c r="G93" s="1742"/>
      <c r="H93" s="1742"/>
      <c r="I93" s="1742"/>
      <c r="J93" s="1742"/>
      <c r="K93" s="1742"/>
      <c r="L93" s="1742"/>
      <c r="M93" s="1742"/>
      <c r="N93" s="1742"/>
      <c r="O93" s="1742"/>
      <c r="P93" s="1742"/>
      <c r="Q93" s="1742"/>
      <c r="R93" s="1742"/>
      <c r="S93" s="1742"/>
      <c r="T93" s="1742"/>
      <c r="U93" s="1742"/>
      <c r="V93" s="1742"/>
      <c r="W93" s="1742"/>
      <c r="X93" s="1742"/>
      <c r="Y93" s="1742"/>
      <c r="Z93" s="1742"/>
      <c r="AA93" s="1742"/>
      <c r="AB93" s="1742"/>
      <c r="AC93" s="1742"/>
      <c r="AD93" s="1742"/>
      <c r="AE93" s="1742"/>
      <c r="AF93" s="1742"/>
      <c r="AG93" s="1742"/>
      <c r="AH93" s="1742"/>
      <c r="AI93" s="1742"/>
      <c r="AJ93" s="1742"/>
      <c r="AK93" s="1742"/>
      <c r="AL93" s="1742"/>
      <c r="AM93" s="1742"/>
      <c r="AN93" s="1742"/>
      <c r="AO93" s="1742"/>
      <c r="AP93" s="1742"/>
      <c r="AQ93" s="1742"/>
      <c r="AR93" s="1742"/>
      <c r="AS93" s="1742"/>
      <c r="AT93" s="1742"/>
      <c r="AU93" s="1742"/>
      <c r="AV93" s="1742"/>
      <c r="AW93" s="1742"/>
      <c r="AX93" s="1742"/>
      <c r="AY93" s="1742"/>
      <c r="AZ93" s="1742"/>
      <c r="BA93" s="1742"/>
      <c r="BB93" s="1742"/>
      <c r="BC93" s="1742"/>
      <c r="BD93" s="1742"/>
      <c r="BE93" s="1742"/>
      <c r="BF93" s="1742"/>
      <c r="BG93" s="1742"/>
      <c r="BH93" s="1742"/>
      <c r="BI93" s="1742"/>
      <c r="BJ93" s="1742"/>
      <c r="BK93" s="1742"/>
      <c r="BL93" s="1742"/>
      <c r="BM93" s="1742"/>
      <c r="BN93" s="1742"/>
      <c r="BO93" s="1742"/>
      <c r="BP93" s="1742"/>
      <c r="BQ93" s="1742"/>
      <c r="BR93" s="1742"/>
      <c r="BS93" s="1742"/>
      <c r="BT93" s="1742"/>
      <c r="BU93" s="1742"/>
      <c r="BV93" s="1742"/>
      <c r="BW93" s="1742"/>
      <c r="BX93" s="1742"/>
      <c r="BY93" s="1742"/>
      <c r="BZ93" s="1742"/>
      <c r="CA93" s="1742"/>
      <c r="CB93" s="1742"/>
      <c r="CC93" s="1742"/>
      <c r="CD93" s="1742"/>
      <c r="CE93" s="1742"/>
      <c r="CF93" s="1742"/>
      <c r="CG93" s="1742"/>
      <c r="CH93" s="1742"/>
      <c r="CI93" s="1742"/>
      <c r="CJ93" s="1742"/>
      <c r="CK93" s="1742"/>
      <c r="CL93" s="1742"/>
      <c r="CM93" s="1742"/>
      <c r="CN93" s="1742"/>
      <c r="CO93" s="1742"/>
      <c r="CP93" s="1742"/>
      <c r="CQ93" s="1742"/>
      <c r="CR93" s="1742"/>
      <c r="CS93" s="1742"/>
      <c r="CT93" s="1742"/>
      <c r="CU93" s="1742"/>
      <c r="CV93" s="1742"/>
      <c r="CW93" s="1742"/>
      <c r="CX93" s="1742"/>
      <c r="CY93" s="1742"/>
      <c r="CZ93" s="1742"/>
      <c r="DA93" s="1742"/>
      <c r="DB93" s="1742"/>
      <c r="DC93" s="1742"/>
      <c r="DD93" s="1742"/>
      <c r="DE93" s="1742"/>
      <c r="DF93" s="1742"/>
      <c r="DG93" s="1742"/>
      <c r="DH93" s="1742"/>
      <c r="DI93" s="1742"/>
      <c r="DJ93" s="1742"/>
      <c r="DK93" s="1742"/>
      <c r="DL93" s="1742"/>
      <c r="DM93" s="1742"/>
      <c r="DN93" s="1742"/>
      <c r="DO93" s="1742"/>
      <c r="DP93" s="1742"/>
      <c r="DQ93" s="1742"/>
      <c r="DR93" s="1742"/>
      <c r="DS93" s="1742"/>
      <c r="DT93" s="1742"/>
      <c r="DU93" s="1742"/>
      <c r="DV93" s="1742"/>
      <c r="DW93" s="1742"/>
      <c r="DX93" s="1742"/>
      <c r="DY93" s="1742"/>
      <c r="DZ93" s="1742"/>
      <c r="EA93" s="1742"/>
      <c r="EB93" s="1742"/>
      <c r="EC93" s="1742"/>
      <c r="ED93" s="1742"/>
      <c r="EE93" s="1742"/>
      <c r="EF93" s="1742"/>
      <c r="EG93" s="1742"/>
      <c r="EH93" s="1742"/>
      <c r="EI93" s="1742"/>
      <c r="EJ93" s="1742"/>
      <c r="EK93" s="1742"/>
      <c r="EL93" s="1742"/>
      <c r="EM93" s="1742"/>
      <c r="EN93" s="1742"/>
      <c r="EO93" s="1742"/>
      <c r="EP93" s="1742"/>
      <c r="EQ93" s="1742"/>
      <c r="ER93" s="1742"/>
      <c r="ES93" s="1742"/>
      <c r="ET93" s="1742"/>
      <c r="EU93" s="1742"/>
      <c r="EV93" s="1742"/>
      <c r="EW93" s="1742"/>
      <c r="EX93" s="1742"/>
      <c r="EY93" s="1742"/>
      <c r="EZ93" s="1742"/>
      <c r="FA93" s="1742"/>
      <c r="FB93" s="1742"/>
      <c r="FC93" s="1742"/>
      <c r="FD93" s="1742"/>
      <c r="FE93" s="1742"/>
      <c r="FF93" s="1742"/>
    </row>
    <row r="94" spans="1:162" s="1743" customFormat="1" ht="28.5">
      <c r="A94" s="1791" t="s">
        <v>778</v>
      </c>
      <c r="B94" s="1781" t="s">
        <v>542</v>
      </c>
      <c r="C94" s="1792" t="s">
        <v>1</v>
      </c>
      <c r="D94" s="1793">
        <v>788</v>
      </c>
      <c r="E94" s="1794"/>
      <c r="F94" s="1794"/>
      <c r="G94" s="1742"/>
      <c r="H94" s="1742"/>
      <c r="I94" s="1742"/>
      <c r="J94" s="1742"/>
      <c r="K94" s="1742"/>
      <c r="L94" s="1742"/>
      <c r="M94" s="1742"/>
      <c r="N94" s="1742"/>
      <c r="O94" s="1742"/>
      <c r="P94" s="1742"/>
      <c r="Q94" s="1742"/>
      <c r="R94" s="1742"/>
      <c r="S94" s="1742"/>
      <c r="T94" s="1742"/>
      <c r="U94" s="1742"/>
      <c r="V94" s="1742"/>
      <c r="W94" s="1742"/>
      <c r="X94" s="1742"/>
      <c r="Y94" s="1742"/>
      <c r="Z94" s="1742"/>
      <c r="AA94" s="1742"/>
      <c r="AB94" s="1742"/>
      <c r="AC94" s="1742"/>
      <c r="AD94" s="1742"/>
      <c r="AE94" s="1742"/>
      <c r="AF94" s="1742"/>
      <c r="AG94" s="1742"/>
      <c r="AH94" s="1742"/>
      <c r="AI94" s="1742"/>
      <c r="AJ94" s="1742"/>
      <c r="AK94" s="1742"/>
      <c r="AL94" s="1742"/>
      <c r="AM94" s="1742"/>
      <c r="AN94" s="1742"/>
      <c r="AO94" s="1742"/>
      <c r="AP94" s="1742"/>
      <c r="AQ94" s="1742"/>
      <c r="AR94" s="1742"/>
      <c r="AS94" s="1742"/>
      <c r="AT94" s="1742"/>
      <c r="AU94" s="1742"/>
      <c r="AV94" s="1742"/>
      <c r="AW94" s="1742"/>
      <c r="AX94" s="1742"/>
      <c r="AY94" s="1742"/>
      <c r="AZ94" s="1742"/>
      <c r="BA94" s="1742"/>
      <c r="BB94" s="1742"/>
      <c r="BC94" s="1742"/>
      <c r="BD94" s="1742"/>
      <c r="BE94" s="1742"/>
      <c r="BF94" s="1742"/>
      <c r="BG94" s="1742"/>
      <c r="BH94" s="1742"/>
      <c r="BI94" s="1742"/>
      <c r="BJ94" s="1742"/>
      <c r="BK94" s="1742"/>
      <c r="BL94" s="1742"/>
      <c r="BM94" s="1742"/>
      <c r="BN94" s="1742"/>
      <c r="BO94" s="1742"/>
      <c r="BP94" s="1742"/>
      <c r="BQ94" s="1742"/>
      <c r="BR94" s="1742"/>
      <c r="BS94" s="1742"/>
      <c r="BT94" s="1742"/>
      <c r="BU94" s="1742"/>
      <c r="BV94" s="1742"/>
      <c r="BW94" s="1742"/>
      <c r="BX94" s="1742"/>
      <c r="BY94" s="1742"/>
      <c r="BZ94" s="1742"/>
      <c r="CA94" s="1742"/>
      <c r="CB94" s="1742"/>
      <c r="CC94" s="1742"/>
      <c r="CD94" s="1742"/>
      <c r="CE94" s="1742"/>
      <c r="CF94" s="1742"/>
      <c r="CG94" s="1742"/>
      <c r="CH94" s="1742"/>
      <c r="CI94" s="1742"/>
      <c r="CJ94" s="1742"/>
      <c r="CK94" s="1742"/>
      <c r="CL94" s="1742"/>
      <c r="CM94" s="1742"/>
      <c r="CN94" s="1742"/>
      <c r="CO94" s="1742"/>
      <c r="CP94" s="1742"/>
      <c r="CQ94" s="1742"/>
      <c r="CR94" s="1742"/>
      <c r="CS94" s="1742"/>
      <c r="CT94" s="1742"/>
      <c r="CU94" s="1742"/>
      <c r="CV94" s="1742"/>
      <c r="CW94" s="1742"/>
      <c r="CX94" s="1742"/>
      <c r="CY94" s="1742"/>
      <c r="CZ94" s="1742"/>
      <c r="DA94" s="1742"/>
      <c r="DB94" s="1742"/>
      <c r="DC94" s="1742"/>
      <c r="DD94" s="1742"/>
      <c r="DE94" s="1742"/>
      <c r="DF94" s="1742"/>
      <c r="DG94" s="1742"/>
      <c r="DH94" s="1742"/>
      <c r="DI94" s="1742"/>
      <c r="DJ94" s="1742"/>
      <c r="DK94" s="1742"/>
      <c r="DL94" s="1742"/>
      <c r="DM94" s="1742"/>
      <c r="DN94" s="1742"/>
      <c r="DO94" s="1742"/>
      <c r="DP94" s="1742"/>
      <c r="DQ94" s="1742"/>
      <c r="DR94" s="1742"/>
      <c r="DS94" s="1742"/>
      <c r="DT94" s="1742"/>
      <c r="DU94" s="1742"/>
      <c r="DV94" s="1742"/>
      <c r="DW94" s="1742"/>
      <c r="DX94" s="1742"/>
      <c r="DY94" s="1742"/>
      <c r="DZ94" s="1742"/>
      <c r="EA94" s="1742"/>
      <c r="EB94" s="1742"/>
      <c r="EC94" s="1742"/>
      <c r="ED94" s="1742"/>
      <c r="EE94" s="1742"/>
      <c r="EF94" s="1742"/>
      <c r="EG94" s="1742"/>
      <c r="EH94" s="1742"/>
      <c r="EI94" s="1742"/>
      <c r="EJ94" s="1742"/>
      <c r="EK94" s="1742"/>
      <c r="EL94" s="1742"/>
      <c r="EM94" s="1742"/>
      <c r="EN94" s="1742"/>
      <c r="EO94" s="1742"/>
      <c r="EP94" s="1742"/>
      <c r="EQ94" s="1742"/>
      <c r="ER94" s="1742"/>
      <c r="ES94" s="1742"/>
      <c r="ET94" s="1742"/>
      <c r="EU94" s="1742"/>
      <c r="EV94" s="1742"/>
      <c r="EW94" s="1742"/>
      <c r="EX94" s="1742"/>
      <c r="EY94" s="1742"/>
      <c r="EZ94" s="1742"/>
      <c r="FA94" s="1742"/>
      <c r="FB94" s="1742"/>
      <c r="FC94" s="1742"/>
      <c r="FD94" s="1742"/>
      <c r="FE94" s="1742"/>
      <c r="FF94" s="1742"/>
    </row>
    <row r="95" spans="1:162" s="1743" customFormat="1" ht="28.5">
      <c r="A95" s="1791" t="s">
        <v>206</v>
      </c>
      <c r="B95" s="1781" t="s">
        <v>543</v>
      </c>
      <c r="C95" s="1792" t="s">
        <v>1</v>
      </c>
      <c r="D95" s="1793">
        <v>630</v>
      </c>
      <c r="E95" s="1794"/>
      <c r="F95" s="1794"/>
      <c r="G95" s="1742"/>
      <c r="H95" s="1742"/>
      <c r="I95" s="1742"/>
      <c r="J95" s="1742"/>
      <c r="K95" s="1742"/>
      <c r="L95" s="1742"/>
      <c r="M95" s="1742"/>
      <c r="N95" s="1742"/>
      <c r="O95" s="1742"/>
      <c r="P95" s="1742"/>
      <c r="Q95" s="1742"/>
      <c r="R95" s="1742"/>
      <c r="S95" s="1742"/>
      <c r="T95" s="1742"/>
      <c r="U95" s="1742"/>
      <c r="V95" s="1742"/>
      <c r="W95" s="1742"/>
      <c r="X95" s="1742"/>
      <c r="Y95" s="1742"/>
      <c r="Z95" s="1742"/>
      <c r="AA95" s="1742"/>
      <c r="AB95" s="1742"/>
      <c r="AC95" s="1742"/>
      <c r="AD95" s="1742"/>
      <c r="AE95" s="1742"/>
      <c r="AF95" s="1742"/>
      <c r="AG95" s="1742"/>
      <c r="AH95" s="1742"/>
      <c r="AI95" s="1742"/>
      <c r="AJ95" s="1742"/>
      <c r="AK95" s="1742"/>
      <c r="AL95" s="1742"/>
      <c r="AM95" s="1742"/>
      <c r="AN95" s="1742"/>
      <c r="AO95" s="1742"/>
      <c r="AP95" s="1742"/>
      <c r="AQ95" s="1742"/>
      <c r="AR95" s="1742"/>
      <c r="AS95" s="1742"/>
      <c r="AT95" s="1742"/>
      <c r="AU95" s="1742"/>
      <c r="AV95" s="1742"/>
      <c r="AW95" s="1742"/>
      <c r="AX95" s="1742"/>
      <c r="AY95" s="1742"/>
      <c r="AZ95" s="1742"/>
      <c r="BA95" s="1742"/>
      <c r="BB95" s="1742"/>
      <c r="BC95" s="1742"/>
      <c r="BD95" s="1742"/>
      <c r="BE95" s="1742"/>
      <c r="BF95" s="1742"/>
      <c r="BG95" s="1742"/>
      <c r="BH95" s="1742"/>
      <c r="BI95" s="1742"/>
      <c r="BJ95" s="1742"/>
      <c r="BK95" s="1742"/>
      <c r="BL95" s="1742"/>
      <c r="BM95" s="1742"/>
      <c r="BN95" s="1742"/>
      <c r="BO95" s="1742"/>
      <c r="BP95" s="1742"/>
      <c r="BQ95" s="1742"/>
      <c r="BR95" s="1742"/>
      <c r="BS95" s="1742"/>
      <c r="BT95" s="1742"/>
      <c r="BU95" s="1742"/>
      <c r="BV95" s="1742"/>
      <c r="BW95" s="1742"/>
      <c r="BX95" s="1742"/>
      <c r="BY95" s="1742"/>
      <c r="BZ95" s="1742"/>
      <c r="CA95" s="1742"/>
      <c r="CB95" s="1742"/>
      <c r="CC95" s="1742"/>
      <c r="CD95" s="1742"/>
      <c r="CE95" s="1742"/>
      <c r="CF95" s="1742"/>
      <c r="CG95" s="1742"/>
      <c r="CH95" s="1742"/>
      <c r="CI95" s="1742"/>
      <c r="CJ95" s="1742"/>
      <c r="CK95" s="1742"/>
      <c r="CL95" s="1742"/>
      <c r="CM95" s="1742"/>
      <c r="CN95" s="1742"/>
      <c r="CO95" s="1742"/>
      <c r="CP95" s="1742"/>
      <c r="CQ95" s="1742"/>
      <c r="CR95" s="1742"/>
      <c r="CS95" s="1742"/>
      <c r="CT95" s="1742"/>
      <c r="CU95" s="1742"/>
      <c r="CV95" s="1742"/>
      <c r="CW95" s="1742"/>
      <c r="CX95" s="1742"/>
      <c r="CY95" s="1742"/>
      <c r="CZ95" s="1742"/>
      <c r="DA95" s="1742"/>
      <c r="DB95" s="1742"/>
      <c r="DC95" s="1742"/>
      <c r="DD95" s="1742"/>
      <c r="DE95" s="1742"/>
      <c r="DF95" s="1742"/>
      <c r="DG95" s="1742"/>
      <c r="DH95" s="1742"/>
      <c r="DI95" s="1742"/>
      <c r="DJ95" s="1742"/>
      <c r="DK95" s="1742"/>
      <c r="DL95" s="1742"/>
      <c r="DM95" s="1742"/>
      <c r="DN95" s="1742"/>
      <c r="DO95" s="1742"/>
      <c r="DP95" s="1742"/>
      <c r="DQ95" s="1742"/>
      <c r="DR95" s="1742"/>
      <c r="DS95" s="1742"/>
      <c r="DT95" s="1742"/>
      <c r="DU95" s="1742"/>
      <c r="DV95" s="1742"/>
      <c r="DW95" s="1742"/>
      <c r="DX95" s="1742"/>
      <c r="DY95" s="1742"/>
      <c r="DZ95" s="1742"/>
      <c r="EA95" s="1742"/>
      <c r="EB95" s="1742"/>
      <c r="EC95" s="1742"/>
      <c r="ED95" s="1742"/>
      <c r="EE95" s="1742"/>
      <c r="EF95" s="1742"/>
      <c r="EG95" s="1742"/>
      <c r="EH95" s="1742"/>
      <c r="EI95" s="1742"/>
      <c r="EJ95" s="1742"/>
      <c r="EK95" s="1742"/>
      <c r="EL95" s="1742"/>
      <c r="EM95" s="1742"/>
      <c r="EN95" s="1742"/>
      <c r="EO95" s="1742"/>
      <c r="EP95" s="1742"/>
      <c r="EQ95" s="1742"/>
      <c r="ER95" s="1742"/>
      <c r="ES95" s="1742"/>
      <c r="ET95" s="1742"/>
      <c r="EU95" s="1742"/>
      <c r="EV95" s="1742"/>
      <c r="EW95" s="1742"/>
      <c r="EX95" s="1742"/>
      <c r="EY95" s="1742"/>
      <c r="EZ95" s="1742"/>
      <c r="FA95" s="1742"/>
      <c r="FB95" s="1742"/>
      <c r="FC95" s="1742"/>
      <c r="FD95" s="1742"/>
      <c r="FE95" s="1742"/>
      <c r="FF95" s="1742"/>
    </row>
    <row r="96" spans="1:162" s="1743" customFormat="1" ht="28.5">
      <c r="A96" s="1791" t="s">
        <v>779</v>
      </c>
      <c r="B96" s="1781" t="s">
        <v>544</v>
      </c>
      <c r="C96" s="1792" t="s">
        <v>1</v>
      </c>
      <c r="D96" s="1793">
        <v>2464</v>
      </c>
      <c r="E96" s="1794"/>
      <c r="F96" s="1794"/>
      <c r="G96" s="1742"/>
      <c r="H96" s="1742"/>
      <c r="I96" s="1742"/>
      <c r="J96" s="1742"/>
      <c r="K96" s="1742"/>
      <c r="L96" s="1742"/>
      <c r="M96" s="1742"/>
      <c r="N96" s="1742"/>
      <c r="O96" s="1742"/>
      <c r="P96" s="1742"/>
      <c r="Q96" s="1742"/>
      <c r="R96" s="1742"/>
      <c r="S96" s="1742"/>
      <c r="T96" s="1742"/>
      <c r="U96" s="1742"/>
      <c r="V96" s="1742"/>
      <c r="W96" s="1742"/>
      <c r="X96" s="1742"/>
      <c r="Y96" s="1742"/>
      <c r="Z96" s="1742"/>
      <c r="AA96" s="1742"/>
      <c r="AB96" s="1742"/>
      <c r="AC96" s="1742"/>
      <c r="AD96" s="1742"/>
      <c r="AE96" s="1742"/>
      <c r="AF96" s="1742"/>
      <c r="AG96" s="1742"/>
      <c r="AH96" s="1742"/>
      <c r="AI96" s="1742"/>
      <c r="AJ96" s="1742"/>
      <c r="AK96" s="1742"/>
      <c r="AL96" s="1742"/>
      <c r="AM96" s="1742"/>
      <c r="AN96" s="1742"/>
      <c r="AO96" s="1742"/>
      <c r="AP96" s="1742"/>
      <c r="AQ96" s="1742"/>
      <c r="AR96" s="1742"/>
      <c r="AS96" s="1742"/>
      <c r="AT96" s="1742"/>
      <c r="AU96" s="1742"/>
      <c r="AV96" s="1742"/>
      <c r="AW96" s="1742"/>
      <c r="AX96" s="1742"/>
      <c r="AY96" s="1742"/>
      <c r="AZ96" s="1742"/>
      <c r="BA96" s="1742"/>
      <c r="BB96" s="1742"/>
      <c r="BC96" s="1742"/>
      <c r="BD96" s="1742"/>
      <c r="BE96" s="1742"/>
      <c r="BF96" s="1742"/>
      <c r="BG96" s="1742"/>
      <c r="BH96" s="1742"/>
      <c r="BI96" s="1742"/>
      <c r="BJ96" s="1742"/>
      <c r="BK96" s="1742"/>
      <c r="BL96" s="1742"/>
      <c r="BM96" s="1742"/>
      <c r="BN96" s="1742"/>
      <c r="BO96" s="1742"/>
      <c r="BP96" s="1742"/>
      <c r="BQ96" s="1742"/>
      <c r="BR96" s="1742"/>
      <c r="BS96" s="1742"/>
      <c r="BT96" s="1742"/>
      <c r="BU96" s="1742"/>
      <c r="BV96" s="1742"/>
      <c r="BW96" s="1742"/>
      <c r="BX96" s="1742"/>
      <c r="BY96" s="1742"/>
      <c r="BZ96" s="1742"/>
      <c r="CA96" s="1742"/>
      <c r="CB96" s="1742"/>
      <c r="CC96" s="1742"/>
      <c r="CD96" s="1742"/>
      <c r="CE96" s="1742"/>
      <c r="CF96" s="1742"/>
      <c r="CG96" s="1742"/>
      <c r="CH96" s="1742"/>
      <c r="CI96" s="1742"/>
      <c r="CJ96" s="1742"/>
      <c r="CK96" s="1742"/>
      <c r="CL96" s="1742"/>
      <c r="CM96" s="1742"/>
      <c r="CN96" s="1742"/>
      <c r="CO96" s="1742"/>
      <c r="CP96" s="1742"/>
      <c r="CQ96" s="1742"/>
      <c r="CR96" s="1742"/>
      <c r="CS96" s="1742"/>
      <c r="CT96" s="1742"/>
      <c r="CU96" s="1742"/>
      <c r="CV96" s="1742"/>
      <c r="CW96" s="1742"/>
      <c r="CX96" s="1742"/>
      <c r="CY96" s="1742"/>
      <c r="CZ96" s="1742"/>
      <c r="DA96" s="1742"/>
      <c r="DB96" s="1742"/>
      <c r="DC96" s="1742"/>
      <c r="DD96" s="1742"/>
      <c r="DE96" s="1742"/>
      <c r="DF96" s="1742"/>
      <c r="DG96" s="1742"/>
      <c r="DH96" s="1742"/>
      <c r="DI96" s="1742"/>
      <c r="DJ96" s="1742"/>
      <c r="DK96" s="1742"/>
      <c r="DL96" s="1742"/>
      <c r="DM96" s="1742"/>
      <c r="DN96" s="1742"/>
      <c r="DO96" s="1742"/>
      <c r="DP96" s="1742"/>
      <c r="DQ96" s="1742"/>
      <c r="DR96" s="1742"/>
      <c r="DS96" s="1742"/>
      <c r="DT96" s="1742"/>
      <c r="DU96" s="1742"/>
      <c r="DV96" s="1742"/>
      <c r="DW96" s="1742"/>
      <c r="DX96" s="1742"/>
      <c r="DY96" s="1742"/>
      <c r="DZ96" s="1742"/>
      <c r="EA96" s="1742"/>
      <c r="EB96" s="1742"/>
      <c r="EC96" s="1742"/>
      <c r="ED96" s="1742"/>
      <c r="EE96" s="1742"/>
      <c r="EF96" s="1742"/>
      <c r="EG96" s="1742"/>
      <c r="EH96" s="1742"/>
      <c r="EI96" s="1742"/>
      <c r="EJ96" s="1742"/>
      <c r="EK96" s="1742"/>
      <c r="EL96" s="1742"/>
      <c r="EM96" s="1742"/>
      <c r="EN96" s="1742"/>
      <c r="EO96" s="1742"/>
      <c r="EP96" s="1742"/>
      <c r="EQ96" s="1742"/>
      <c r="ER96" s="1742"/>
      <c r="ES96" s="1742"/>
      <c r="ET96" s="1742"/>
      <c r="EU96" s="1742"/>
      <c r="EV96" s="1742"/>
      <c r="EW96" s="1742"/>
      <c r="EX96" s="1742"/>
      <c r="EY96" s="1742"/>
      <c r="EZ96" s="1742"/>
      <c r="FA96" s="1742"/>
      <c r="FB96" s="1742"/>
      <c r="FC96" s="1742"/>
      <c r="FD96" s="1742"/>
      <c r="FE96" s="1742"/>
      <c r="FF96" s="1742"/>
    </row>
    <row r="97" spans="1:162" s="1743" customFormat="1">
      <c r="A97" s="1791" t="s">
        <v>780</v>
      </c>
      <c r="B97" s="1781" t="s">
        <v>830</v>
      </c>
      <c r="C97" s="1792"/>
      <c r="D97" s="1793"/>
      <c r="E97" s="1794"/>
      <c r="F97" s="1794"/>
      <c r="G97" s="1742"/>
      <c r="H97" s="1742"/>
      <c r="I97" s="1742"/>
      <c r="J97" s="1742"/>
      <c r="K97" s="1742"/>
      <c r="L97" s="1742"/>
      <c r="M97" s="1742"/>
      <c r="N97" s="1742"/>
      <c r="O97" s="1742"/>
      <c r="P97" s="1742"/>
      <c r="Q97" s="1742"/>
      <c r="R97" s="1742"/>
      <c r="S97" s="1742"/>
      <c r="T97" s="1742"/>
      <c r="U97" s="1742"/>
      <c r="V97" s="1742"/>
      <c r="W97" s="1742"/>
      <c r="X97" s="1742"/>
      <c r="Y97" s="1742"/>
      <c r="Z97" s="1742"/>
      <c r="AA97" s="1742"/>
      <c r="AB97" s="1742"/>
      <c r="AC97" s="1742"/>
      <c r="AD97" s="1742"/>
      <c r="AE97" s="1742"/>
      <c r="AF97" s="1742"/>
      <c r="AG97" s="1742"/>
      <c r="AH97" s="1742"/>
      <c r="AI97" s="1742"/>
      <c r="AJ97" s="1742"/>
      <c r="AK97" s="1742"/>
      <c r="AL97" s="1742"/>
      <c r="AM97" s="1742"/>
      <c r="AN97" s="1742"/>
      <c r="AO97" s="1742"/>
      <c r="AP97" s="1742"/>
      <c r="AQ97" s="1742"/>
      <c r="AR97" s="1742"/>
      <c r="AS97" s="1742"/>
      <c r="AT97" s="1742"/>
      <c r="AU97" s="1742"/>
      <c r="AV97" s="1742"/>
      <c r="AW97" s="1742"/>
      <c r="AX97" s="1742"/>
      <c r="AY97" s="1742"/>
      <c r="AZ97" s="1742"/>
      <c r="BA97" s="1742"/>
      <c r="BB97" s="1742"/>
      <c r="BC97" s="1742"/>
      <c r="BD97" s="1742"/>
      <c r="BE97" s="1742"/>
      <c r="BF97" s="1742"/>
      <c r="BG97" s="1742"/>
      <c r="BH97" s="1742"/>
      <c r="BI97" s="1742"/>
      <c r="BJ97" s="1742"/>
      <c r="BK97" s="1742"/>
      <c r="BL97" s="1742"/>
      <c r="BM97" s="1742"/>
      <c r="BN97" s="1742"/>
      <c r="BO97" s="1742"/>
      <c r="BP97" s="1742"/>
      <c r="BQ97" s="1742"/>
      <c r="BR97" s="1742"/>
      <c r="BS97" s="1742"/>
      <c r="BT97" s="1742"/>
      <c r="BU97" s="1742"/>
      <c r="BV97" s="1742"/>
      <c r="BW97" s="1742"/>
      <c r="BX97" s="1742"/>
      <c r="BY97" s="1742"/>
      <c r="BZ97" s="1742"/>
      <c r="CA97" s="1742"/>
      <c r="CB97" s="1742"/>
      <c r="CC97" s="1742"/>
      <c r="CD97" s="1742"/>
      <c r="CE97" s="1742"/>
      <c r="CF97" s="1742"/>
      <c r="CG97" s="1742"/>
      <c r="CH97" s="1742"/>
      <c r="CI97" s="1742"/>
      <c r="CJ97" s="1742"/>
      <c r="CK97" s="1742"/>
      <c r="CL97" s="1742"/>
      <c r="CM97" s="1742"/>
      <c r="CN97" s="1742"/>
      <c r="CO97" s="1742"/>
      <c r="CP97" s="1742"/>
      <c r="CQ97" s="1742"/>
      <c r="CR97" s="1742"/>
      <c r="CS97" s="1742"/>
      <c r="CT97" s="1742"/>
      <c r="CU97" s="1742"/>
      <c r="CV97" s="1742"/>
      <c r="CW97" s="1742"/>
      <c r="CX97" s="1742"/>
      <c r="CY97" s="1742"/>
      <c r="CZ97" s="1742"/>
      <c r="DA97" s="1742"/>
      <c r="DB97" s="1742"/>
      <c r="DC97" s="1742"/>
      <c r="DD97" s="1742"/>
      <c r="DE97" s="1742"/>
      <c r="DF97" s="1742"/>
      <c r="DG97" s="1742"/>
      <c r="DH97" s="1742"/>
      <c r="DI97" s="1742"/>
      <c r="DJ97" s="1742"/>
      <c r="DK97" s="1742"/>
      <c r="DL97" s="1742"/>
      <c r="DM97" s="1742"/>
      <c r="DN97" s="1742"/>
      <c r="DO97" s="1742"/>
      <c r="DP97" s="1742"/>
      <c r="DQ97" s="1742"/>
      <c r="DR97" s="1742"/>
      <c r="DS97" s="1742"/>
      <c r="DT97" s="1742"/>
      <c r="DU97" s="1742"/>
      <c r="DV97" s="1742"/>
      <c r="DW97" s="1742"/>
      <c r="DX97" s="1742"/>
      <c r="DY97" s="1742"/>
      <c r="DZ97" s="1742"/>
      <c r="EA97" s="1742"/>
      <c r="EB97" s="1742"/>
      <c r="EC97" s="1742"/>
      <c r="ED97" s="1742"/>
      <c r="EE97" s="1742"/>
      <c r="EF97" s="1742"/>
      <c r="EG97" s="1742"/>
      <c r="EH97" s="1742"/>
      <c r="EI97" s="1742"/>
      <c r="EJ97" s="1742"/>
      <c r="EK97" s="1742"/>
      <c r="EL97" s="1742"/>
      <c r="EM97" s="1742"/>
      <c r="EN97" s="1742"/>
      <c r="EO97" s="1742"/>
      <c r="EP97" s="1742"/>
      <c r="EQ97" s="1742"/>
      <c r="ER97" s="1742"/>
      <c r="ES97" s="1742"/>
      <c r="ET97" s="1742"/>
      <c r="EU97" s="1742"/>
      <c r="EV97" s="1742"/>
      <c r="EW97" s="1742"/>
      <c r="EX97" s="1742"/>
      <c r="EY97" s="1742"/>
      <c r="EZ97" s="1742"/>
      <c r="FA97" s="1742"/>
      <c r="FB97" s="1742"/>
      <c r="FC97" s="1742"/>
      <c r="FD97" s="1742"/>
      <c r="FE97" s="1742"/>
      <c r="FF97" s="1742"/>
    </row>
    <row r="98" spans="1:162" s="1743" customFormat="1">
      <c r="A98" s="1791" t="s">
        <v>781</v>
      </c>
      <c r="B98" s="1781" t="s">
        <v>207</v>
      </c>
      <c r="C98" s="1792" t="s">
        <v>1</v>
      </c>
      <c r="D98" s="1793">
        <v>39</v>
      </c>
      <c r="E98" s="1794"/>
      <c r="F98" s="1794"/>
      <c r="G98" s="1742"/>
      <c r="H98" s="1742"/>
      <c r="I98" s="1742"/>
      <c r="J98" s="1742"/>
      <c r="K98" s="1742"/>
      <c r="L98" s="1742"/>
      <c r="M98" s="1742"/>
      <c r="N98" s="1742"/>
      <c r="O98" s="1742"/>
      <c r="P98" s="1742"/>
      <c r="Q98" s="1742"/>
      <c r="R98" s="1742"/>
      <c r="S98" s="1742"/>
      <c r="T98" s="1742"/>
      <c r="U98" s="1742"/>
      <c r="V98" s="1742"/>
      <c r="W98" s="1742"/>
      <c r="X98" s="1742"/>
      <c r="Y98" s="1742"/>
      <c r="Z98" s="1742"/>
      <c r="AA98" s="1742"/>
      <c r="AB98" s="1742"/>
      <c r="AC98" s="1742"/>
      <c r="AD98" s="1742"/>
      <c r="AE98" s="1742"/>
      <c r="AF98" s="1742"/>
      <c r="AG98" s="1742"/>
      <c r="AH98" s="1742"/>
      <c r="AI98" s="1742"/>
      <c r="AJ98" s="1742"/>
      <c r="AK98" s="1742"/>
      <c r="AL98" s="1742"/>
      <c r="AM98" s="1742"/>
      <c r="AN98" s="1742"/>
      <c r="AO98" s="1742"/>
      <c r="AP98" s="1742"/>
      <c r="AQ98" s="1742"/>
      <c r="AR98" s="1742"/>
      <c r="AS98" s="1742"/>
      <c r="AT98" s="1742"/>
      <c r="AU98" s="1742"/>
      <c r="AV98" s="1742"/>
      <c r="AW98" s="1742"/>
      <c r="AX98" s="1742"/>
      <c r="AY98" s="1742"/>
      <c r="AZ98" s="1742"/>
      <c r="BA98" s="1742"/>
      <c r="BB98" s="1742"/>
      <c r="BC98" s="1742"/>
      <c r="BD98" s="1742"/>
      <c r="BE98" s="1742"/>
      <c r="BF98" s="1742"/>
      <c r="BG98" s="1742"/>
      <c r="BH98" s="1742"/>
      <c r="BI98" s="1742"/>
      <c r="BJ98" s="1742"/>
      <c r="BK98" s="1742"/>
      <c r="BL98" s="1742"/>
      <c r="BM98" s="1742"/>
      <c r="BN98" s="1742"/>
      <c r="BO98" s="1742"/>
      <c r="BP98" s="1742"/>
      <c r="BQ98" s="1742"/>
      <c r="BR98" s="1742"/>
      <c r="BS98" s="1742"/>
      <c r="BT98" s="1742"/>
      <c r="BU98" s="1742"/>
      <c r="BV98" s="1742"/>
      <c r="BW98" s="1742"/>
      <c r="BX98" s="1742"/>
      <c r="BY98" s="1742"/>
      <c r="BZ98" s="1742"/>
      <c r="CA98" s="1742"/>
      <c r="CB98" s="1742"/>
      <c r="CC98" s="1742"/>
      <c r="CD98" s="1742"/>
      <c r="CE98" s="1742"/>
      <c r="CF98" s="1742"/>
      <c r="CG98" s="1742"/>
      <c r="CH98" s="1742"/>
      <c r="CI98" s="1742"/>
      <c r="CJ98" s="1742"/>
      <c r="CK98" s="1742"/>
      <c r="CL98" s="1742"/>
      <c r="CM98" s="1742"/>
      <c r="CN98" s="1742"/>
      <c r="CO98" s="1742"/>
      <c r="CP98" s="1742"/>
      <c r="CQ98" s="1742"/>
      <c r="CR98" s="1742"/>
      <c r="CS98" s="1742"/>
      <c r="CT98" s="1742"/>
      <c r="CU98" s="1742"/>
      <c r="CV98" s="1742"/>
      <c r="CW98" s="1742"/>
      <c r="CX98" s="1742"/>
      <c r="CY98" s="1742"/>
      <c r="CZ98" s="1742"/>
      <c r="DA98" s="1742"/>
      <c r="DB98" s="1742"/>
      <c r="DC98" s="1742"/>
      <c r="DD98" s="1742"/>
      <c r="DE98" s="1742"/>
      <c r="DF98" s="1742"/>
      <c r="DG98" s="1742"/>
      <c r="DH98" s="1742"/>
      <c r="DI98" s="1742"/>
      <c r="DJ98" s="1742"/>
      <c r="DK98" s="1742"/>
      <c r="DL98" s="1742"/>
      <c r="DM98" s="1742"/>
      <c r="DN98" s="1742"/>
      <c r="DO98" s="1742"/>
      <c r="DP98" s="1742"/>
      <c r="DQ98" s="1742"/>
      <c r="DR98" s="1742"/>
      <c r="DS98" s="1742"/>
      <c r="DT98" s="1742"/>
      <c r="DU98" s="1742"/>
      <c r="DV98" s="1742"/>
      <c r="DW98" s="1742"/>
      <c r="DX98" s="1742"/>
      <c r="DY98" s="1742"/>
      <c r="DZ98" s="1742"/>
      <c r="EA98" s="1742"/>
      <c r="EB98" s="1742"/>
      <c r="EC98" s="1742"/>
      <c r="ED98" s="1742"/>
      <c r="EE98" s="1742"/>
      <c r="EF98" s="1742"/>
      <c r="EG98" s="1742"/>
      <c r="EH98" s="1742"/>
      <c r="EI98" s="1742"/>
      <c r="EJ98" s="1742"/>
      <c r="EK98" s="1742"/>
      <c r="EL98" s="1742"/>
      <c r="EM98" s="1742"/>
      <c r="EN98" s="1742"/>
      <c r="EO98" s="1742"/>
      <c r="EP98" s="1742"/>
      <c r="EQ98" s="1742"/>
      <c r="ER98" s="1742"/>
      <c r="ES98" s="1742"/>
      <c r="ET98" s="1742"/>
      <c r="EU98" s="1742"/>
      <c r="EV98" s="1742"/>
      <c r="EW98" s="1742"/>
      <c r="EX98" s="1742"/>
      <c r="EY98" s="1742"/>
      <c r="EZ98" s="1742"/>
      <c r="FA98" s="1742"/>
      <c r="FB98" s="1742"/>
      <c r="FC98" s="1742"/>
      <c r="FD98" s="1742"/>
      <c r="FE98" s="1742"/>
      <c r="FF98" s="1742"/>
    </row>
    <row r="99" spans="1:162" s="1743" customFormat="1" ht="28.5">
      <c r="A99" s="1791" t="s">
        <v>782</v>
      </c>
      <c r="B99" s="1781" t="s">
        <v>583</v>
      </c>
      <c r="C99" s="1792" t="s">
        <v>1</v>
      </c>
      <c r="D99" s="1793">
        <v>494</v>
      </c>
      <c r="E99" s="1794"/>
      <c r="F99" s="1794"/>
      <c r="G99" s="1742"/>
      <c r="H99" s="1742"/>
      <c r="I99" s="1742"/>
      <c r="J99" s="1742"/>
      <c r="K99" s="1742"/>
      <c r="L99" s="1742"/>
      <c r="M99" s="1742"/>
      <c r="N99" s="1742"/>
      <c r="O99" s="1742"/>
      <c r="P99" s="1742"/>
      <c r="Q99" s="1742"/>
      <c r="R99" s="1742"/>
      <c r="S99" s="1742"/>
      <c r="T99" s="1742"/>
      <c r="U99" s="1742"/>
      <c r="V99" s="1742"/>
      <c r="W99" s="1742"/>
      <c r="X99" s="1742"/>
      <c r="Y99" s="1742"/>
      <c r="Z99" s="1742"/>
      <c r="AA99" s="1742"/>
      <c r="AB99" s="1742"/>
      <c r="AC99" s="1742"/>
      <c r="AD99" s="1742"/>
      <c r="AE99" s="1742"/>
      <c r="AF99" s="1742"/>
      <c r="AG99" s="1742"/>
      <c r="AH99" s="1742"/>
      <c r="AI99" s="1742"/>
      <c r="AJ99" s="1742"/>
      <c r="AK99" s="1742"/>
      <c r="AL99" s="1742"/>
      <c r="AM99" s="1742"/>
      <c r="AN99" s="1742"/>
      <c r="AO99" s="1742"/>
      <c r="AP99" s="1742"/>
      <c r="AQ99" s="1742"/>
      <c r="AR99" s="1742"/>
      <c r="AS99" s="1742"/>
      <c r="AT99" s="1742"/>
      <c r="AU99" s="1742"/>
      <c r="AV99" s="1742"/>
      <c r="AW99" s="1742"/>
      <c r="AX99" s="1742"/>
      <c r="AY99" s="1742"/>
      <c r="AZ99" s="1742"/>
      <c r="BA99" s="1742"/>
      <c r="BB99" s="1742"/>
      <c r="BC99" s="1742"/>
      <c r="BD99" s="1742"/>
      <c r="BE99" s="1742"/>
      <c r="BF99" s="1742"/>
      <c r="BG99" s="1742"/>
      <c r="BH99" s="1742"/>
      <c r="BI99" s="1742"/>
      <c r="BJ99" s="1742"/>
      <c r="BK99" s="1742"/>
      <c r="BL99" s="1742"/>
      <c r="BM99" s="1742"/>
      <c r="BN99" s="1742"/>
      <c r="BO99" s="1742"/>
      <c r="BP99" s="1742"/>
      <c r="BQ99" s="1742"/>
      <c r="BR99" s="1742"/>
      <c r="BS99" s="1742"/>
      <c r="BT99" s="1742"/>
      <c r="BU99" s="1742"/>
      <c r="BV99" s="1742"/>
      <c r="BW99" s="1742"/>
      <c r="BX99" s="1742"/>
      <c r="BY99" s="1742"/>
      <c r="BZ99" s="1742"/>
      <c r="CA99" s="1742"/>
      <c r="CB99" s="1742"/>
      <c r="CC99" s="1742"/>
      <c r="CD99" s="1742"/>
      <c r="CE99" s="1742"/>
      <c r="CF99" s="1742"/>
      <c r="CG99" s="1742"/>
      <c r="CH99" s="1742"/>
      <c r="CI99" s="1742"/>
      <c r="CJ99" s="1742"/>
      <c r="CK99" s="1742"/>
      <c r="CL99" s="1742"/>
      <c r="CM99" s="1742"/>
      <c r="CN99" s="1742"/>
      <c r="CO99" s="1742"/>
      <c r="CP99" s="1742"/>
      <c r="CQ99" s="1742"/>
      <c r="CR99" s="1742"/>
      <c r="CS99" s="1742"/>
      <c r="CT99" s="1742"/>
      <c r="CU99" s="1742"/>
      <c r="CV99" s="1742"/>
      <c r="CW99" s="1742"/>
      <c r="CX99" s="1742"/>
      <c r="CY99" s="1742"/>
      <c r="CZ99" s="1742"/>
      <c r="DA99" s="1742"/>
      <c r="DB99" s="1742"/>
      <c r="DC99" s="1742"/>
      <c r="DD99" s="1742"/>
      <c r="DE99" s="1742"/>
      <c r="DF99" s="1742"/>
      <c r="DG99" s="1742"/>
      <c r="DH99" s="1742"/>
      <c r="DI99" s="1742"/>
      <c r="DJ99" s="1742"/>
      <c r="DK99" s="1742"/>
      <c r="DL99" s="1742"/>
      <c r="DM99" s="1742"/>
      <c r="DN99" s="1742"/>
      <c r="DO99" s="1742"/>
      <c r="DP99" s="1742"/>
      <c r="DQ99" s="1742"/>
      <c r="DR99" s="1742"/>
      <c r="DS99" s="1742"/>
      <c r="DT99" s="1742"/>
      <c r="DU99" s="1742"/>
      <c r="DV99" s="1742"/>
      <c r="DW99" s="1742"/>
      <c r="DX99" s="1742"/>
      <c r="DY99" s="1742"/>
      <c r="DZ99" s="1742"/>
      <c r="EA99" s="1742"/>
      <c r="EB99" s="1742"/>
      <c r="EC99" s="1742"/>
      <c r="ED99" s="1742"/>
      <c r="EE99" s="1742"/>
      <c r="EF99" s="1742"/>
      <c r="EG99" s="1742"/>
      <c r="EH99" s="1742"/>
      <c r="EI99" s="1742"/>
      <c r="EJ99" s="1742"/>
      <c r="EK99" s="1742"/>
      <c r="EL99" s="1742"/>
      <c r="EM99" s="1742"/>
      <c r="EN99" s="1742"/>
      <c r="EO99" s="1742"/>
      <c r="EP99" s="1742"/>
      <c r="EQ99" s="1742"/>
      <c r="ER99" s="1742"/>
      <c r="ES99" s="1742"/>
      <c r="ET99" s="1742"/>
      <c r="EU99" s="1742"/>
      <c r="EV99" s="1742"/>
      <c r="EW99" s="1742"/>
      <c r="EX99" s="1742"/>
      <c r="EY99" s="1742"/>
      <c r="EZ99" s="1742"/>
      <c r="FA99" s="1742"/>
      <c r="FB99" s="1742"/>
      <c r="FC99" s="1742"/>
      <c r="FD99" s="1742"/>
      <c r="FE99" s="1742"/>
      <c r="FF99" s="1742"/>
    </row>
    <row r="100" spans="1:162" s="1743" customFormat="1" ht="28.5">
      <c r="A100" s="1791" t="s">
        <v>783</v>
      </c>
      <c r="B100" s="1781" t="s">
        <v>588</v>
      </c>
      <c r="C100" s="1792" t="s">
        <v>1</v>
      </c>
      <c r="D100" s="1793">
        <v>1045</v>
      </c>
      <c r="E100" s="1794"/>
      <c r="F100" s="1794"/>
      <c r="G100" s="1742"/>
      <c r="H100" s="1742"/>
      <c r="I100" s="1742"/>
      <c r="J100" s="1742"/>
      <c r="K100" s="1742"/>
      <c r="L100" s="1742"/>
      <c r="M100" s="1742"/>
      <c r="N100" s="1742"/>
      <c r="O100" s="1742"/>
      <c r="P100" s="1742"/>
      <c r="Q100" s="1742"/>
      <c r="R100" s="1742"/>
      <c r="S100" s="1742"/>
      <c r="T100" s="1742"/>
      <c r="U100" s="1742"/>
      <c r="V100" s="1742"/>
      <c r="W100" s="1742"/>
      <c r="X100" s="1742"/>
      <c r="Y100" s="1742"/>
      <c r="Z100" s="1742"/>
      <c r="AA100" s="1742"/>
      <c r="AB100" s="1742"/>
      <c r="AC100" s="1742"/>
      <c r="AD100" s="1742"/>
      <c r="AE100" s="1742"/>
      <c r="AF100" s="1742"/>
      <c r="AG100" s="1742"/>
      <c r="AH100" s="1742"/>
      <c r="AI100" s="1742"/>
      <c r="AJ100" s="1742"/>
      <c r="AK100" s="1742"/>
      <c r="AL100" s="1742"/>
      <c r="AM100" s="1742"/>
      <c r="AN100" s="1742"/>
      <c r="AO100" s="1742"/>
      <c r="AP100" s="1742"/>
      <c r="AQ100" s="1742"/>
      <c r="AR100" s="1742"/>
      <c r="AS100" s="1742"/>
      <c r="AT100" s="1742"/>
      <c r="AU100" s="1742"/>
      <c r="AV100" s="1742"/>
      <c r="AW100" s="1742"/>
      <c r="AX100" s="1742"/>
      <c r="AY100" s="1742"/>
      <c r="AZ100" s="1742"/>
      <c r="BA100" s="1742"/>
      <c r="BB100" s="1742"/>
      <c r="BC100" s="1742"/>
      <c r="BD100" s="1742"/>
      <c r="BE100" s="1742"/>
      <c r="BF100" s="1742"/>
      <c r="BG100" s="1742"/>
      <c r="BH100" s="1742"/>
      <c r="BI100" s="1742"/>
      <c r="BJ100" s="1742"/>
      <c r="BK100" s="1742"/>
      <c r="BL100" s="1742"/>
      <c r="BM100" s="1742"/>
      <c r="BN100" s="1742"/>
      <c r="BO100" s="1742"/>
      <c r="BP100" s="1742"/>
      <c r="BQ100" s="1742"/>
      <c r="BR100" s="1742"/>
      <c r="BS100" s="1742"/>
      <c r="BT100" s="1742"/>
      <c r="BU100" s="1742"/>
      <c r="BV100" s="1742"/>
      <c r="BW100" s="1742"/>
      <c r="BX100" s="1742"/>
      <c r="BY100" s="1742"/>
      <c r="BZ100" s="1742"/>
      <c r="CA100" s="1742"/>
      <c r="CB100" s="1742"/>
      <c r="CC100" s="1742"/>
      <c r="CD100" s="1742"/>
      <c r="CE100" s="1742"/>
      <c r="CF100" s="1742"/>
      <c r="CG100" s="1742"/>
      <c r="CH100" s="1742"/>
      <c r="CI100" s="1742"/>
      <c r="CJ100" s="1742"/>
      <c r="CK100" s="1742"/>
      <c r="CL100" s="1742"/>
      <c r="CM100" s="1742"/>
      <c r="CN100" s="1742"/>
      <c r="CO100" s="1742"/>
      <c r="CP100" s="1742"/>
      <c r="CQ100" s="1742"/>
      <c r="CR100" s="1742"/>
      <c r="CS100" s="1742"/>
      <c r="CT100" s="1742"/>
      <c r="CU100" s="1742"/>
      <c r="CV100" s="1742"/>
      <c r="CW100" s="1742"/>
      <c r="CX100" s="1742"/>
      <c r="CY100" s="1742"/>
      <c r="CZ100" s="1742"/>
      <c r="DA100" s="1742"/>
      <c r="DB100" s="1742"/>
      <c r="DC100" s="1742"/>
      <c r="DD100" s="1742"/>
      <c r="DE100" s="1742"/>
      <c r="DF100" s="1742"/>
      <c r="DG100" s="1742"/>
      <c r="DH100" s="1742"/>
      <c r="DI100" s="1742"/>
      <c r="DJ100" s="1742"/>
      <c r="DK100" s="1742"/>
      <c r="DL100" s="1742"/>
      <c r="DM100" s="1742"/>
      <c r="DN100" s="1742"/>
      <c r="DO100" s="1742"/>
      <c r="DP100" s="1742"/>
      <c r="DQ100" s="1742"/>
      <c r="DR100" s="1742"/>
      <c r="DS100" s="1742"/>
      <c r="DT100" s="1742"/>
      <c r="DU100" s="1742"/>
      <c r="DV100" s="1742"/>
      <c r="DW100" s="1742"/>
      <c r="DX100" s="1742"/>
      <c r="DY100" s="1742"/>
      <c r="DZ100" s="1742"/>
      <c r="EA100" s="1742"/>
      <c r="EB100" s="1742"/>
      <c r="EC100" s="1742"/>
      <c r="ED100" s="1742"/>
      <c r="EE100" s="1742"/>
      <c r="EF100" s="1742"/>
      <c r="EG100" s="1742"/>
      <c r="EH100" s="1742"/>
      <c r="EI100" s="1742"/>
      <c r="EJ100" s="1742"/>
      <c r="EK100" s="1742"/>
      <c r="EL100" s="1742"/>
      <c r="EM100" s="1742"/>
      <c r="EN100" s="1742"/>
      <c r="EO100" s="1742"/>
      <c r="EP100" s="1742"/>
      <c r="EQ100" s="1742"/>
      <c r="ER100" s="1742"/>
      <c r="ES100" s="1742"/>
      <c r="ET100" s="1742"/>
      <c r="EU100" s="1742"/>
      <c r="EV100" s="1742"/>
      <c r="EW100" s="1742"/>
      <c r="EX100" s="1742"/>
      <c r="EY100" s="1742"/>
      <c r="EZ100" s="1742"/>
      <c r="FA100" s="1742"/>
      <c r="FB100" s="1742"/>
      <c r="FC100" s="1742"/>
      <c r="FD100" s="1742"/>
      <c r="FE100" s="1742"/>
      <c r="FF100" s="1742"/>
    </row>
    <row r="101" spans="1:162" s="1747" customFormat="1">
      <c r="A101" s="1791">
        <v>512</v>
      </c>
      <c r="B101" s="1781" t="s">
        <v>831</v>
      </c>
      <c r="C101" s="1792"/>
      <c r="D101" s="1793"/>
      <c r="E101" s="1794"/>
      <c r="F101" s="1794"/>
      <c r="G101" s="1746"/>
      <c r="H101" s="1746"/>
      <c r="I101" s="1746"/>
      <c r="J101" s="1746"/>
      <c r="K101" s="1746"/>
      <c r="L101" s="1746"/>
      <c r="M101" s="1746"/>
      <c r="N101" s="1746"/>
      <c r="O101" s="1746"/>
      <c r="P101" s="1746"/>
      <c r="Q101" s="1746"/>
      <c r="R101" s="1746"/>
      <c r="S101" s="1746"/>
      <c r="T101" s="1746"/>
      <c r="U101" s="1746"/>
      <c r="V101" s="1746"/>
      <c r="W101" s="1746"/>
      <c r="X101" s="1746"/>
      <c r="Y101" s="1746"/>
      <c r="Z101" s="1746"/>
      <c r="AA101" s="1746"/>
      <c r="AB101" s="1746"/>
      <c r="AC101" s="1746"/>
      <c r="AD101" s="1746"/>
      <c r="AE101" s="1746"/>
      <c r="AF101" s="1746"/>
      <c r="AG101" s="1746"/>
      <c r="AH101" s="1746"/>
      <c r="AI101" s="1746"/>
      <c r="AJ101" s="1746"/>
      <c r="AK101" s="1746"/>
      <c r="AL101" s="1746"/>
      <c r="AM101" s="1746"/>
      <c r="AN101" s="1746"/>
      <c r="AO101" s="1746"/>
      <c r="AP101" s="1746"/>
      <c r="AQ101" s="1746"/>
      <c r="AR101" s="1746"/>
      <c r="AS101" s="1746"/>
      <c r="AT101" s="1746"/>
      <c r="AU101" s="1746"/>
      <c r="AV101" s="1746"/>
      <c r="AW101" s="1746"/>
      <c r="AX101" s="1746"/>
      <c r="AY101" s="1746"/>
      <c r="AZ101" s="1746"/>
      <c r="BA101" s="1746"/>
      <c r="BB101" s="1746"/>
      <c r="BC101" s="1746"/>
      <c r="BD101" s="1746"/>
      <c r="BE101" s="1746"/>
      <c r="BF101" s="1746"/>
      <c r="BG101" s="1746"/>
      <c r="BH101" s="1746"/>
      <c r="BI101" s="1746"/>
      <c r="BJ101" s="1746"/>
      <c r="BK101" s="1746"/>
      <c r="BL101" s="1746"/>
      <c r="BM101" s="1746"/>
      <c r="BN101" s="1746"/>
      <c r="BO101" s="1746"/>
      <c r="BP101" s="1746"/>
      <c r="BQ101" s="1746"/>
      <c r="BR101" s="1746"/>
      <c r="BS101" s="1746"/>
      <c r="BT101" s="1746"/>
      <c r="BU101" s="1746"/>
      <c r="BV101" s="1746"/>
      <c r="BW101" s="1746"/>
      <c r="BX101" s="1746"/>
      <c r="BY101" s="1746"/>
      <c r="BZ101" s="1746"/>
      <c r="CA101" s="1746"/>
      <c r="CB101" s="1746"/>
      <c r="CC101" s="1746"/>
      <c r="CD101" s="1746"/>
      <c r="CE101" s="1746"/>
      <c r="CF101" s="1746"/>
      <c r="CG101" s="1746"/>
      <c r="CH101" s="1746"/>
      <c r="CI101" s="1746"/>
      <c r="CJ101" s="1746"/>
      <c r="CK101" s="1746"/>
      <c r="CL101" s="1746"/>
      <c r="CM101" s="1746"/>
      <c r="CN101" s="1746"/>
      <c r="CO101" s="1746"/>
      <c r="CP101" s="1746"/>
      <c r="CQ101" s="1746"/>
      <c r="CR101" s="1746"/>
      <c r="CS101" s="1746"/>
      <c r="CT101" s="1746"/>
      <c r="CU101" s="1746"/>
      <c r="CV101" s="1746"/>
      <c r="CW101" s="1746"/>
      <c r="CX101" s="1746"/>
      <c r="CY101" s="1746"/>
      <c r="CZ101" s="1746"/>
      <c r="DA101" s="1746"/>
      <c r="DB101" s="1746"/>
      <c r="DC101" s="1746"/>
      <c r="DD101" s="1746"/>
      <c r="DE101" s="1746"/>
      <c r="DF101" s="1746"/>
      <c r="DG101" s="1746"/>
      <c r="DH101" s="1746"/>
      <c r="DI101" s="1746"/>
      <c r="DJ101" s="1746"/>
      <c r="DK101" s="1746"/>
      <c r="DL101" s="1746"/>
      <c r="DM101" s="1746"/>
      <c r="DN101" s="1746"/>
      <c r="DO101" s="1746"/>
      <c r="DP101" s="1746"/>
      <c r="DQ101" s="1746"/>
      <c r="DR101" s="1746"/>
      <c r="DS101" s="1746"/>
      <c r="DT101" s="1746"/>
      <c r="DU101" s="1746"/>
      <c r="DV101" s="1746"/>
      <c r="DW101" s="1746"/>
      <c r="DX101" s="1746"/>
      <c r="DY101" s="1746"/>
      <c r="DZ101" s="1746"/>
      <c r="EA101" s="1746"/>
      <c r="EB101" s="1746"/>
      <c r="EC101" s="1746"/>
      <c r="ED101" s="1746"/>
      <c r="EE101" s="1746"/>
      <c r="EF101" s="1746"/>
      <c r="EG101" s="1746"/>
      <c r="EH101" s="1746"/>
      <c r="EI101" s="1746"/>
      <c r="EJ101" s="1746"/>
      <c r="EK101" s="1746"/>
      <c r="EL101" s="1746"/>
      <c r="EM101" s="1746"/>
      <c r="EN101" s="1746"/>
      <c r="EO101" s="1746"/>
      <c r="EP101" s="1746"/>
      <c r="EQ101" s="1746"/>
      <c r="ER101" s="1746"/>
      <c r="ES101" s="1746"/>
      <c r="ET101" s="1746"/>
      <c r="EU101" s="1746"/>
      <c r="EV101" s="1746"/>
      <c r="EW101" s="1746"/>
      <c r="EX101" s="1746"/>
      <c r="EY101" s="1746"/>
      <c r="EZ101" s="1746"/>
      <c r="FA101" s="1746"/>
      <c r="FB101" s="1746"/>
      <c r="FC101" s="1746"/>
      <c r="FD101" s="1746"/>
      <c r="FE101" s="1746"/>
      <c r="FF101" s="1746"/>
    </row>
    <row r="102" spans="1:162" s="1743" customFormat="1">
      <c r="A102" s="1791" t="s">
        <v>589</v>
      </c>
      <c r="B102" s="1781" t="s">
        <v>516</v>
      </c>
      <c r="C102" s="1792" t="s">
        <v>1</v>
      </c>
      <c r="D102" s="1793">
        <v>25</v>
      </c>
      <c r="E102" s="1784"/>
      <c r="F102" s="1794"/>
      <c r="G102" s="1742"/>
      <c r="H102" s="1742"/>
      <c r="I102" s="1742"/>
      <c r="J102" s="1742"/>
      <c r="K102" s="1742"/>
      <c r="L102" s="1742"/>
      <c r="M102" s="1742"/>
      <c r="N102" s="1742"/>
      <c r="O102" s="1742"/>
      <c r="P102" s="1742"/>
      <c r="Q102" s="1742"/>
      <c r="R102" s="1742"/>
      <c r="S102" s="1742"/>
      <c r="T102" s="1742"/>
      <c r="U102" s="1742"/>
      <c r="V102" s="1742"/>
      <c r="W102" s="1742"/>
      <c r="X102" s="1742"/>
      <c r="Y102" s="1742"/>
      <c r="Z102" s="1742"/>
      <c r="AA102" s="1742"/>
      <c r="AB102" s="1742"/>
      <c r="AC102" s="1742"/>
      <c r="AD102" s="1742"/>
      <c r="AE102" s="1742"/>
      <c r="AF102" s="1742"/>
      <c r="AG102" s="1742"/>
      <c r="AH102" s="1742"/>
      <c r="AI102" s="1742"/>
      <c r="AJ102" s="1742"/>
      <c r="AK102" s="1742"/>
      <c r="AL102" s="1742"/>
      <c r="AM102" s="1742"/>
      <c r="AN102" s="1742"/>
      <c r="AO102" s="1742"/>
      <c r="AP102" s="1742"/>
      <c r="AQ102" s="1742"/>
      <c r="AR102" s="1742"/>
      <c r="AS102" s="1742"/>
      <c r="AT102" s="1742"/>
      <c r="AU102" s="1742"/>
      <c r="AV102" s="1742"/>
      <c r="AW102" s="1742"/>
      <c r="AX102" s="1742"/>
      <c r="AY102" s="1742"/>
      <c r="AZ102" s="1742"/>
      <c r="BA102" s="1742"/>
      <c r="BB102" s="1742"/>
      <c r="BC102" s="1742"/>
      <c r="BD102" s="1742"/>
      <c r="BE102" s="1742"/>
      <c r="BF102" s="1742"/>
      <c r="BG102" s="1742"/>
      <c r="BH102" s="1742"/>
      <c r="BI102" s="1742"/>
      <c r="BJ102" s="1742"/>
      <c r="BK102" s="1742"/>
      <c r="BL102" s="1742"/>
      <c r="BM102" s="1742"/>
      <c r="BN102" s="1742"/>
      <c r="BO102" s="1742"/>
      <c r="BP102" s="1742"/>
      <c r="BQ102" s="1742"/>
      <c r="BR102" s="1742"/>
      <c r="BS102" s="1742"/>
      <c r="BT102" s="1742"/>
      <c r="BU102" s="1742"/>
      <c r="BV102" s="1742"/>
      <c r="BW102" s="1742"/>
      <c r="BX102" s="1742"/>
      <c r="BY102" s="1742"/>
      <c r="BZ102" s="1742"/>
      <c r="CA102" s="1742"/>
      <c r="CB102" s="1742"/>
      <c r="CC102" s="1742"/>
      <c r="CD102" s="1742"/>
      <c r="CE102" s="1742"/>
      <c r="CF102" s="1742"/>
      <c r="CG102" s="1742"/>
      <c r="CH102" s="1742"/>
      <c r="CI102" s="1742"/>
      <c r="CJ102" s="1742"/>
      <c r="CK102" s="1742"/>
      <c r="CL102" s="1742"/>
      <c r="CM102" s="1742"/>
      <c r="CN102" s="1742"/>
      <c r="CO102" s="1742"/>
      <c r="CP102" s="1742"/>
      <c r="CQ102" s="1742"/>
      <c r="CR102" s="1742"/>
      <c r="CS102" s="1742"/>
      <c r="CT102" s="1742"/>
      <c r="CU102" s="1742"/>
      <c r="CV102" s="1742"/>
      <c r="CW102" s="1742"/>
      <c r="CX102" s="1742"/>
      <c r="CY102" s="1742"/>
      <c r="CZ102" s="1742"/>
      <c r="DA102" s="1742"/>
      <c r="DB102" s="1742"/>
      <c r="DC102" s="1742"/>
      <c r="DD102" s="1742"/>
      <c r="DE102" s="1742"/>
      <c r="DF102" s="1742"/>
      <c r="DG102" s="1742"/>
      <c r="DH102" s="1742"/>
      <c r="DI102" s="1742"/>
      <c r="DJ102" s="1742"/>
      <c r="DK102" s="1742"/>
      <c r="DL102" s="1742"/>
      <c r="DM102" s="1742"/>
      <c r="DN102" s="1742"/>
      <c r="DO102" s="1742"/>
      <c r="DP102" s="1742"/>
      <c r="DQ102" s="1742"/>
      <c r="DR102" s="1742"/>
      <c r="DS102" s="1742"/>
      <c r="DT102" s="1742"/>
      <c r="DU102" s="1742"/>
      <c r="DV102" s="1742"/>
      <c r="DW102" s="1742"/>
      <c r="DX102" s="1742"/>
      <c r="DY102" s="1742"/>
      <c r="DZ102" s="1742"/>
      <c r="EA102" s="1742"/>
      <c r="EB102" s="1742"/>
      <c r="EC102" s="1742"/>
      <c r="ED102" s="1742"/>
      <c r="EE102" s="1742"/>
      <c r="EF102" s="1742"/>
      <c r="EG102" s="1742"/>
      <c r="EH102" s="1742"/>
      <c r="EI102" s="1742"/>
      <c r="EJ102" s="1742"/>
      <c r="EK102" s="1742"/>
      <c r="EL102" s="1742"/>
      <c r="EM102" s="1742"/>
      <c r="EN102" s="1742"/>
      <c r="EO102" s="1742"/>
      <c r="EP102" s="1742"/>
      <c r="EQ102" s="1742"/>
      <c r="ER102" s="1742"/>
      <c r="ES102" s="1742"/>
      <c r="ET102" s="1742"/>
      <c r="EU102" s="1742"/>
      <c r="EV102" s="1742"/>
      <c r="EW102" s="1742"/>
      <c r="EX102" s="1742"/>
      <c r="EY102" s="1742"/>
      <c r="EZ102" s="1742"/>
      <c r="FA102" s="1742"/>
      <c r="FB102" s="1742"/>
      <c r="FC102" s="1742"/>
      <c r="FD102" s="1742"/>
      <c r="FE102" s="1742"/>
      <c r="FF102" s="1742"/>
    </row>
    <row r="103" spans="1:162" s="1747" customFormat="1">
      <c r="A103" s="1791" t="s">
        <v>219</v>
      </c>
      <c r="B103" s="1781" t="s">
        <v>832</v>
      </c>
      <c r="C103" s="1792" t="s">
        <v>27</v>
      </c>
      <c r="D103" s="1793">
        <v>3</v>
      </c>
      <c r="E103" s="1794"/>
      <c r="F103" s="1794"/>
      <c r="G103" s="1746"/>
      <c r="H103" s="1746"/>
      <c r="I103" s="1746"/>
      <c r="J103" s="1746"/>
      <c r="K103" s="1746"/>
      <c r="L103" s="1746"/>
      <c r="M103" s="1746"/>
      <c r="N103" s="1746"/>
      <c r="O103" s="1746"/>
      <c r="P103" s="1746"/>
      <c r="Q103" s="1746"/>
      <c r="R103" s="1746"/>
      <c r="S103" s="1746"/>
      <c r="T103" s="1746"/>
      <c r="U103" s="1746"/>
      <c r="V103" s="1746"/>
      <c r="W103" s="1746"/>
      <c r="X103" s="1746"/>
      <c r="Y103" s="1746"/>
      <c r="Z103" s="1746"/>
      <c r="AA103" s="1746"/>
      <c r="AB103" s="1746"/>
      <c r="AC103" s="1746"/>
      <c r="AD103" s="1746"/>
      <c r="AE103" s="1746"/>
      <c r="AF103" s="1746"/>
      <c r="AG103" s="1746"/>
      <c r="AH103" s="1746"/>
      <c r="AI103" s="1746"/>
      <c r="AJ103" s="1746"/>
      <c r="AK103" s="1746"/>
      <c r="AL103" s="1746"/>
      <c r="AM103" s="1746"/>
      <c r="AN103" s="1746"/>
      <c r="AO103" s="1746"/>
      <c r="AP103" s="1746"/>
      <c r="AQ103" s="1746"/>
      <c r="AR103" s="1746"/>
      <c r="AS103" s="1746"/>
      <c r="AT103" s="1746"/>
      <c r="AU103" s="1746"/>
      <c r="AV103" s="1746"/>
      <c r="AW103" s="1746"/>
      <c r="AX103" s="1746"/>
      <c r="AY103" s="1746"/>
      <c r="AZ103" s="1746"/>
      <c r="BA103" s="1746"/>
      <c r="BB103" s="1746"/>
      <c r="BC103" s="1746"/>
      <c r="BD103" s="1746"/>
      <c r="BE103" s="1746"/>
      <c r="BF103" s="1746"/>
      <c r="BG103" s="1746"/>
      <c r="BH103" s="1746"/>
      <c r="BI103" s="1746"/>
      <c r="BJ103" s="1746"/>
      <c r="BK103" s="1746"/>
      <c r="BL103" s="1746"/>
      <c r="BM103" s="1746"/>
      <c r="BN103" s="1746"/>
      <c r="BO103" s="1746"/>
      <c r="BP103" s="1746"/>
      <c r="BQ103" s="1746"/>
      <c r="BR103" s="1746"/>
      <c r="BS103" s="1746"/>
      <c r="BT103" s="1746"/>
      <c r="BU103" s="1746"/>
      <c r="BV103" s="1746"/>
      <c r="BW103" s="1746"/>
      <c r="BX103" s="1746"/>
      <c r="BY103" s="1746"/>
      <c r="BZ103" s="1746"/>
      <c r="CA103" s="1746"/>
      <c r="CB103" s="1746"/>
      <c r="CC103" s="1746"/>
      <c r="CD103" s="1746"/>
      <c r="CE103" s="1746"/>
      <c r="CF103" s="1746"/>
      <c r="CG103" s="1746"/>
      <c r="CH103" s="1746"/>
      <c r="CI103" s="1746"/>
      <c r="CJ103" s="1746"/>
      <c r="CK103" s="1746"/>
      <c r="CL103" s="1746"/>
      <c r="CM103" s="1746"/>
      <c r="CN103" s="1746"/>
      <c r="CO103" s="1746"/>
      <c r="CP103" s="1746"/>
      <c r="CQ103" s="1746"/>
      <c r="CR103" s="1746"/>
      <c r="CS103" s="1746"/>
      <c r="CT103" s="1746"/>
      <c r="CU103" s="1746"/>
      <c r="CV103" s="1746"/>
      <c r="CW103" s="1746"/>
      <c r="CX103" s="1746"/>
      <c r="CY103" s="1746"/>
      <c r="CZ103" s="1746"/>
      <c r="DA103" s="1746"/>
      <c r="DB103" s="1746"/>
      <c r="DC103" s="1746"/>
      <c r="DD103" s="1746"/>
      <c r="DE103" s="1746"/>
      <c r="DF103" s="1746"/>
      <c r="DG103" s="1746"/>
      <c r="DH103" s="1746"/>
      <c r="DI103" s="1746"/>
      <c r="DJ103" s="1746"/>
      <c r="DK103" s="1746"/>
      <c r="DL103" s="1746"/>
      <c r="DM103" s="1746"/>
      <c r="DN103" s="1746"/>
      <c r="DO103" s="1746"/>
      <c r="DP103" s="1746"/>
      <c r="DQ103" s="1746"/>
      <c r="DR103" s="1746"/>
      <c r="DS103" s="1746"/>
      <c r="DT103" s="1746"/>
      <c r="DU103" s="1746"/>
      <c r="DV103" s="1746"/>
      <c r="DW103" s="1746"/>
      <c r="DX103" s="1746"/>
      <c r="DY103" s="1746"/>
      <c r="DZ103" s="1746"/>
      <c r="EA103" s="1746"/>
      <c r="EB103" s="1746"/>
      <c r="EC103" s="1746"/>
      <c r="ED103" s="1746"/>
      <c r="EE103" s="1746"/>
      <c r="EF103" s="1746"/>
      <c r="EG103" s="1746"/>
      <c r="EH103" s="1746"/>
      <c r="EI103" s="1746"/>
      <c r="EJ103" s="1746"/>
      <c r="EK103" s="1746"/>
      <c r="EL103" s="1746"/>
      <c r="EM103" s="1746"/>
      <c r="EN103" s="1746"/>
      <c r="EO103" s="1746"/>
      <c r="EP103" s="1746"/>
      <c r="EQ103" s="1746"/>
      <c r="ER103" s="1746"/>
      <c r="ES103" s="1746"/>
      <c r="ET103" s="1746"/>
      <c r="EU103" s="1746"/>
      <c r="EV103" s="1746"/>
      <c r="EW103" s="1746"/>
      <c r="EX103" s="1746"/>
      <c r="EY103" s="1746"/>
      <c r="EZ103" s="1746"/>
      <c r="FA103" s="1746"/>
      <c r="FB103" s="1746"/>
      <c r="FC103" s="1746"/>
      <c r="FD103" s="1746"/>
      <c r="FE103" s="1746"/>
      <c r="FF103" s="1746"/>
    </row>
    <row r="104" spans="1:162" s="1743" customFormat="1">
      <c r="A104" s="1791">
        <v>513</v>
      </c>
      <c r="B104" s="1781" t="s">
        <v>833</v>
      </c>
      <c r="C104" s="1792"/>
      <c r="D104" s="1793"/>
      <c r="E104" s="1794"/>
      <c r="F104" s="1794"/>
      <c r="G104" s="1742"/>
      <c r="H104" s="1742"/>
      <c r="I104" s="1742"/>
      <c r="J104" s="1742"/>
      <c r="K104" s="1742"/>
      <c r="L104" s="1742"/>
      <c r="M104" s="1742"/>
      <c r="N104" s="1742"/>
      <c r="O104" s="1742"/>
      <c r="P104" s="1742"/>
      <c r="Q104" s="1742"/>
      <c r="R104" s="1742"/>
      <c r="S104" s="1742"/>
      <c r="T104" s="1742"/>
      <c r="U104" s="1742"/>
      <c r="V104" s="1742"/>
      <c r="W104" s="1742"/>
      <c r="X104" s="1742"/>
      <c r="Y104" s="1742"/>
      <c r="Z104" s="1742"/>
      <c r="AA104" s="1742"/>
      <c r="AB104" s="1742"/>
      <c r="AC104" s="1742"/>
      <c r="AD104" s="1742"/>
      <c r="AE104" s="1742"/>
      <c r="AF104" s="1742"/>
      <c r="AG104" s="1742"/>
      <c r="AH104" s="1742"/>
      <c r="AI104" s="1742"/>
      <c r="AJ104" s="1742"/>
      <c r="AK104" s="1742"/>
      <c r="AL104" s="1742"/>
      <c r="AM104" s="1742"/>
      <c r="AN104" s="1742"/>
      <c r="AO104" s="1742"/>
      <c r="AP104" s="1742"/>
      <c r="AQ104" s="1742"/>
      <c r="AR104" s="1742"/>
      <c r="AS104" s="1742"/>
      <c r="AT104" s="1742"/>
      <c r="AU104" s="1742"/>
      <c r="AV104" s="1742"/>
      <c r="AW104" s="1742"/>
      <c r="AX104" s="1742"/>
      <c r="AY104" s="1742"/>
      <c r="AZ104" s="1742"/>
      <c r="BA104" s="1742"/>
      <c r="BB104" s="1742"/>
      <c r="BC104" s="1742"/>
      <c r="BD104" s="1742"/>
      <c r="BE104" s="1742"/>
      <c r="BF104" s="1742"/>
      <c r="BG104" s="1742"/>
      <c r="BH104" s="1742"/>
      <c r="BI104" s="1742"/>
      <c r="BJ104" s="1742"/>
      <c r="BK104" s="1742"/>
      <c r="BL104" s="1742"/>
      <c r="BM104" s="1742"/>
      <c r="BN104" s="1742"/>
      <c r="BO104" s="1742"/>
      <c r="BP104" s="1742"/>
      <c r="BQ104" s="1742"/>
      <c r="BR104" s="1742"/>
      <c r="BS104" s="1742"/>
      <c r="BT104" s="1742"/>
      <c r="BU104" s="1742"/>
      <c r="BV104" s="1742"/>
      <c r="BW104" s="1742"/>
      <c r="BX104" s="1742"/>
      <c r="BY104" s="1742"/>
      <c r="BZ104" s="1742"/>
      <c r="CA104" s="1742"/>
      <c r="CB104" s="1742"/>
      <c r="CC104" s="1742"/>
      <c r="CD104" s="1742"/>
      <c r="CE104" s="1742"/>
      <c r="CF104" s="1742"/>
      <c r="CG104" s="1742"/>
      <c r="CH104" s="1742"/>
      <c r="CI104" s="1742"/>
      <c r="CJ104" s="1742"/>
      <c r="CK104" s="1742"/>
      <c r="CL104" s="1742"/>
      <c r="CM104" s="1742"/>
      <c r="CN104" s="1742"/>
      <c r="CO104" s="1742"/>
      <c r="CP104" s="1742"/>
      <c r="CQ104" s="1742"/>
      <c r="CR104" s="1742"/>
      <c r="CS104" s="1742"/>
      <c r="CT104" s="1742"/>
      <c r="CU104" s="1742"/>
      <c r="CV104" s="1742"/>
      <c r="CW104" s="1742"/>
      <c r="CX104" s="1742"/>
      <c r="CY104" s="1742"/>
      <c r="CZ104" s="1742"/>
      <c r="DA104" s="1742"/>
      <c r="DB104" s="1742"/>
      <c r="DC104" s="1742"/>
      <c r="DD104" s="1742"/>
      <c r="DE104" s="1742"/>
      <c r="DF104" s="1742"/>
      <c r="DG104" s="1742"/>
      <c r="DH104" s="1742"/>
      <c r="DI104" s="1742"/>
      <c r="DJ104" s="1742"/>
      <c r="DK104" s="1742"/>
      <c r="DL104" s="1742"/>
      <c r="DM104" s="1742"/>
      <c r="DN104" s="1742"/>
      <c r="DO104" s="1742"/>
      <c r="DP104" s="1742"/>
      <c r="DQ104" s="1742"/>
      <c r="DR104" s="1742"/>
      <c r="DS104" s="1742"/>
      <c r="DT104" s="1742"/>
      <c r="DU104" s="1742"/>
      <c r="DV104" s="1742"/>
      <c r="DW104" s="1742"/>
      <c r="DX104" s="1742"/>
      <c r="DY104" s="1742"/>
      <c r="DZ104" s="1742"/>
      <c r="EA104" s="1742"/>
      <c r="EB104" s="1742"/>
      <c r="EC104" s="1742"/>
      <c r="ED104" s="1742"/>
      <c r="EE104" s="1742"/>
      <c r="EF104" s="1742"/>
      <c r="EG104" s="1742"/>
      <c r="EH104" s="1742"/>
      <c r="EI104" s="1742"/>
      <c r="EJ104" s="1742"/>
      <c r="EK104" s="1742"/>
      <c r="EL104" s="1742"/>
      <c r="EM104" s="1742"/>
      <c r="EN104" s="1742"/>
      <c r="EO104" s="1742"/>
      <c r="EP104" s="1742"/>
      <c r="EQ104" s="1742"/>
      <c r="ER104" s="1742"/>
      <c r="ES104" s="1742"/>
      <c r="ET104" s="1742"/>
      <c r="EU104" s="1742"/>
      <c r="EV104" s="1742"/>
      <c r="EW104" s="1742"/>
      <c r="EX104" s="1742"/>
      <c r="EY104" s="1742"/>
      <c r="EZ104" s="1742"/>
      <c r="FA104" s="1742"/>
      <c r="FB104" s="1742"/>
      <c r="FC104" s="1742"/>
      <c r="FD104" s="1742"/>
      <c r="FE104" s="1742"/>
      <c r="FF104" s="1742"/>
    </row>
    <row r="105" spans="1:162" s="1743" customFormat="1" ht="57">
      <c r="A105" s="1785" t="s">
        <v>145</v>
      </c>
      <c r="B105" s="1785" t="s">
        <v>612</v>
      </c>
      <c r="C105" s="1792" t="s">
        <v>27</v>
      </c>
      <c r="D105" s="1793">
        <v>45</v>
      </c>
      <c r="E105" s="1794"/>
      <c r="F105" s="1794"/>
      <c r="G105" s="1742"/>
      <c r="H105" s="1742"/>
      <c r="I105" s="1742"/>
      <c r="J105" s="1742"/>
      <c r="K105" s="1742"/>
      <c r="L105" s="1742"/>
      <c r="M105" s="1742"/>
      <c r="N105" s="1742"/>
      <c r="O105" s="1742"/>
      <c r="P105" s="1742"/>
      <c r="Q105" s="1742"/>
      <c r="R105" s="1742"/>
      <c r="S105" s="1742"/>
      <c r="T105" s="1742"/>
      <c r="U105" s="1742"/>
      <c r="V105" s="1742"/>
      <c r="W105" s="1742"/>
      <c r="X105" s="1742"/>
      <c r="Y105" s="1742"/>
      <c r="Z105" s="1742"/>
      <c r="AA105" s="1742"/>
      <c r="AB105" s="1742"/>
      <c r="AC105" s="1742"/>
      <c r="AD105" s="1742"/>
      <c r="AE105" s="1742"/>
      <c r="AF105" s="1742"/>
      <c r="AG105" s="1742"/>
      <c r="AH105" s="1742"/>
      <c r="AI105" s="1742"/>
      <c r="AJ105" s="1742"/>
      <c r="AK105" s="1742"/>
      <c r="AL105" s="1742"/>
      <c r="AM105" s="1742"/>
      <c r="AN105" s="1742"/>
      <c r="AO105" s="1742"/>
      <c r="AP105" s="1742"/>
      <c r="AQ105" s="1742"/>
      <c r="AR105" s="1742"/>
      <c r="AS105" s="1742"/>
      <c r="AT105" s="1742"/>
      <c r="AU105" s="1742"/>
      <c r="AV105" s="1742"/>
      <c r="AW105" s="1742"/>
      <c r="AX105" s="1742"/>
      <c r="AY105" s="1742"/>
      <c r="AZ105" s="1742"/>
      <c r="BA105" s="1742"/>
      <c r="BB105" s="1742"/>
      <c r="BC105" s="1742"/>
      <c r="BD105" s="1742"/>
      <c r="BE105" s="1742"/>
      <c r="BF105" s="1742"/>
      <c r="BG105" s="1742"/>
      <c r="BH105" s="1742"/>
      <c r="BI105" s="1742"/>
      <c r="BJ105" s="1742"/>
      <c r="BK105" s="1742"/>
      <c r="BL105" s="1742"/>
      <c r="BM105" s="1742"/>
      <c r="BN105" s="1742"/>
      <c r="BO105" s="1742"/>
      <c r="BP105" s="1742"/>
      <c r="BQ105" s="1742"/>
      <c r="BR105" s="1742"/>
      <c r="BS105" s="1742"/>
      <c r="BT105" s="1742"/>
      <c r="BU105" s="1742"/>
      <c r="BV105" s="1742"/>
      <c r="BW105" s="1742"/>
      <c r="BX105" s="1742"/>
      <c r="BY105" s="1742"/>
      <c r="BZ105" s="1742"/>
      <c r="CA105" s="1742"/>
      <c r="CB105" s="1742"/>
      <c r="CC105" s="1742"/>
      <c r="CD105" s="1742"/>
      <c r="CE105" s="1742"/>
      <c r="CF105" s="1742"/>
      <c r="CG105" s="1742"/>
      <c r="CH105" s="1742"/>
      <c r="CI105" s="1742"/>
      <c r="CJ105" s="1742"/>
      <c r="CK105" s="1742"/>
      <c r="CL105" s="1742"/>
      <c r="CM105" s="1742"/>
      <c r="CN105" s="1742"/>
      <c r="CO105" s="1742"/>
      <c r="CP105" s="1742"/>
      <c r="CQ105" s="1742"/>
      <c r="CR105" s="1742"/>
      <c r="CS105" s="1742"/>
      <c r="CT105" s="1742"/>
      <c r="CU105" s="1742"/>
      <c r="CV105" s="1742"/>
      <c r="CW105" s="1742"/>
      <c r="CX105" s="1742"/>
      <c r="CY105" s="1742"/>
      <c r="CZ105" s="1742"/>
      <c r="DA105" s="1742"/>
      <c r="DB105" s="1742"/>
      <c r="DC105" s="1742"/>
      <c r="DD105" s="1742"/>
      <c r="DE105" s="1742"/>
      <c r="DF105" s="1742"/>
      <c r="DG105" s="1742"/>
      <c r="DH105" s="1742"/>
      <c r="DI105" s="1742"/>
      <c r="DJ105" s="1742"/>
      <c r="DK105" s="1742"/>
      <c r="DL105" s="1742"/>
      <c r="DM105" s="1742"/>
      <c r="DN105" s="1742"/>
      <c r="DO105" s="1742"/>
      <c r="DP105" s="1742"/>
      <c r="DQ105" s="1742"/>
      <c r="DR105" s="1742"/>
      <c r="DS105" s="1742"/>
      <c r="DT105" s="1742"/>
      <c r="DU105" s="1742"/>
      <c r="DV105" s="1742"/>
      <c r="DW105" s="1742"/>
      <c r="DX105" s="1742"/>
      <c r="DY105" s="1742"/>
      <c r="DZ105" s="1742"/>
      <c r="EA105" s="1742"/>
      <c r="EB105" s="1742"/>
      <c r="EC105" s="1742"/>
      <c r="ED105" s="1742"/>
      <c r="EE105" s="1742"/>
      <c r="EF105" s="1742"/>
      <c r="EG105" s="1742"/>
      <c r="EH105" s="1742"/>
      <c r="EI105" s="1742"/>
      <c r="EJ105" s="1742"/>
      <c r="EK105" s="1742"/>
      <c r="EL105" s="1742"/>
      <c r="EM105" s="1742"/>
      <c r="EN105" s="1742"/>
      <c r="EO105" s="1742"/>
      <c r="EP105" s="1742"/>
      <c r="EQ105" s="1742"/>
      <c r="ER105" s="1742"/>
      <c r="ES105" s="1742"/>
      <c r="ET105" s="1742"/>
      <c r="EU105" s="1742"/>
      <c r="EV105" s="1742"/>
      <c r="EW105" s="1742"/>
      <c r="EX105" s="1742"/>
      <c r="EY105" s="1742"/>
      <c r="EZ105" s="1742"/>
      <c r="FA105" s="1742"/>
      <c r="FB105" s="1742"/>
      <c r="FC105" s="1742"/>
      <c r="FD105" s="1742"/>
      <c r="FE105" s="1742"/>
      <c r="FF105" s="1742"/>
    </row>
    <row r="106" spans="1:162" s="1743" customFormat="1">
      <c r="A106" s="1785" t="s">
        <v>214</v>
      </c>
      <c r="B106" s="1785" t="s">
        <v>611</v>
      </c>
      <c r="C106" s="1792" t="s">
        <v>27</v>
      </c>
      <c r="D106" s="1793">
        <v>2227</v>
      </c>
      <c r="E106" s="1794"/>
      <c r="F106" s="1794"/>
      <c r="G106" s="1742"/>
      <c r="H106" s="1742"/>
      <c r="I106" s="1742"/>
      <c r="J106" s="1742"/>
      <c r="K106" s="1742"/>
      <c r="L106" s="1742"/>
      <c r="M106" s="1742"/>
      <c r="N106" s="1742"/>
      <c r="O106" s="1742"/>
      <c r="P106" s="1742"/>
      <c r="Q106" s="1742"/>
      <c r="R106" s="1742"/>
      <c r="S106" s="1742"/>
      <c r="T106" s="1742"/>
      <c r="U106" s="1742"/>
      <c r="V106" s="1742"/>
      <c r="W106" s="1742"/>
      <c r="X106" s="1742"/>
      <c r="Y106" s="1742"/>
      <c r="Z106" s="1742"/>
      <c r="AA106" s="1742"/>
      <c r="AB106" s="1742"/>
      <c r="AC106" s="1742"/>
      <c r="AD106" s="1742"/>
      <c r="AE106" s="1742"/>
      <c r="AF106" s="1742"/>
      <c r="AG106" s="1742"/>
      <c r="AH106" s="1742"/>
      <c r="AI106" s="1742"/>
      <c r="AJ106" s="1742"/>
      <c r="AK106" s="1742"/>
      <c r="AL106" s="1742"/>
      <c r="AM106" s="1742"/>
      <c r="AN106" s="1742"/>
      <c r="AO106" s="1742"/>
      <c r="AP106" s="1742"/>
      <c r="AQ106" s="1742"/>
      <c r="AR106" s="1742"/>
      <c r="AS106" s="1742"/>
      <c r="AT106" s="1742"/>
      <c r="AU106" s="1742"/>
      <c r="AV106" s="1742"/>
      <c r="AW106" s="1742"/>
      <c r="AX106" s="1742"/>
      <c r="AY106" s="1742"/>
      <c r="AZ106" s="1742"/>
      <c r="BA106" s="1742"/>
      <c r="BB106" s="1742"/>
      <c r="BC106" s="1742"/>
      <c r="BD106" s="1742"/>
      <c r="BE106" s="1742"/>
      <c r="BF106" s="1742"/>
      <c r="BG106" s="1742"/>
      <c r="BH106" s="1742"/>
      <c r="BI106" s="1742"/>
      <c r="BJ106" s="1742"/>
      <c r="BK106" s="1742"/>
      <c r="BL106" s="1742"/>
      <c r="BM106" s="1742"/>
      <c r="BN106" s="1742"/>
      <c r="BO106" s="1742"/>
      <c r="BP106" s="1742"/>
      <c r="BQ106" s="1742"/>
      <c r="BR106" s="1742"/>
      <c r="BS106" s="1742"/>
      <c r="BT106" s="1742"/>
      <c r="BU106" s="1742"/>
      <c r="BV106" s="1742"/>
      <c r="BW106" s="1742"/>
      <c r="BX106" s="1742"/>
      <c r="BY106" s="1742"/>
      <c r="BZ106" s="1742"/>
      <c r="CA106" s="1742"/>
      <c r="CB106" s="1742"/>
      <c r="CC106" s="1742"/>
      <c r="CD106" s="1742"/>
      <c r="CE106" s="1742"/>
      <c r="CF106" s="1742"/>
      <c r="CG106" s="1742"/>
      <c r="CH106" s="1742"/>
      <c r="CI106" s="1742"/>
      <c r="CJ106" s="1742"/>
      <c r="CK106" s="1742"/>
      <c r="CL106" s="1742"/>
      <c r="CM106" s="1742"/>
      <c r="CN106" s="1742"/>
      <c r="CO106" s="1742"/>
      <c r="CP106" s="1742"/>
      <c r="CQ106" s="1742"/>
      <c r="CR106" s="1742"/>
      <c r="CS106" s="1742"/>
      <c r="CT106" s="1742"/>
      <c r="CU106" s="1742"/>
      <c r="CV106" s="1742"/>
      <c r="CW106" s="1742"/>
      <c r="CX106" s="1742"/>
      <c r="CY106" s="1742"/>
      <c r="CZ106" s="1742"/>
      <c r="DA106" s="1742"/>
      <c r="DB106" s="1742"/>
      <c r="DC106" s="1742"/>
      <c r="DD106" s="1742"/>
      <c r="DE106" s="1742"/>
      <c r="DF106" s="1742"/>
      <c r="DG106" s="1742"/>
      <c r="DH106" s="1742"/>
      <c r="DI106" s="1742"/>
      <c r="DJ106" s="1742"/>
      <c r="DK106" s="1742"/>
      <c r="DL106" s="1742"/>
      <c r="DM106" s="1742"/>
      <c r="DN106" s="1742"/>
      <c r="DO106" s="1742"/>
      <c r="DP106" s="1742"/>
      <c r="DQ106" s="1742"/>
      <c r="DR106" s="1742"/>
      <c r="DS106" s="1742"/>
      <c r="DT106" s="1742"/>
      <c r="DU106" s="1742"/>
      <c r="DV106" s="1742"/>
      <c r="DW106" s="1742"/>
      <c r="DX106" s="1742"/>
      <c r="DY106" s="1742"/>
      <c r="DZ106" s="1742"/>
      <c r="EA106" s="1742"/>
      <c r="EB106" s="1742"/>
      <c r="EC106" s="1742"/>
      <c r="ED106" s="1742"/>
      <c r="EE106" s="1742"/>
      <c r="EF106" s="1742"/>
      <c r="EG106" s="1742"/>
      <c r="EH106" s="1742"/>
      <c r="EI106" s="1742"/>
      <c r="EJ106" s="1742"/>
      <c r="EK106" s="1742"/>
      <c r="EL106" s="1742"/>
      <c r="EM106" s="1742"/>
      <c r="EN106" s="1742"/>
      <c r="EO106" s="1742"/>
      <c r="EP106" s="1742"/>
      <c r="EQ106" s="1742"/>
      <c r="ER106" s="1742"/>
      <c r="ES106" s="1742"/>
      <c r="ET106" s="1742"/>
      <c r="EU106" s="1742"/>
      <c r="EV106" s="1742"/>
      <c r="EW106" s="1742"/>
      <c r="EX106" s="1742"/>
      <c r="EY106" s="1742"/>
      <c r="EZ106" s="1742"/>
      <c r="FA106" s="1742"/>
      <c r="FB106" s="1742"/>
      <c r="FC106" s="1742"/>
      <c r="FD106" s="1742"/>
      <c r="FE106" s="1742"/>
      <c r="FF106" s="1742"/>
    </row>
    <row r="107" spans="1:162" s="1743" customFormat="1">
      <c r="A107" s="1791">
        <v>515</v>
      </c>
      <c r="B107" s="1781" t="s">
        <v>834</v>
      </c>
      <c r="C107" s="1792"/>
      <c r="D107" s="1793"/>
      <c r="E107" s="1794"/>
      <c r="F107" s="1794"/>
      <c r="G107" s="1742"/>
      <c r="H107" s="1742"/>
      <c r="I107" s="1742"/>
      <c r="J107" s="1742"/>
      <c r="K107" s="1742"/>
      <c r="L107" s="1742"/>
      <c r="M107" s="1742"/>
      <c r="N107" s="1742"/>
      <c r="O107" s="1742"/>
      <c r="P107" s="1742"/>
      <c r="Q107" s="1742"/>
      <c r="R107" s="1742"/>
      <c r="S107" s="1742"/>
      <c r="T107" s="1742"/>
      <c r="U107" s="1742"/>
      <c r="V107" s="1742"/>
      <c r="W107" s="1742"/>
      <c r="X107" s="1742"/>
      <c r="Y107" s="1742"/>
      <c r="Z107" s="1742"/>
      <c r="AA107" s="1742"/>
      <c r="AB107" s="1742"/>
      <c r="AC107" s="1742"/>
      <c r="AD107" s="1742"/>
      <c r="AE107" s="1742"/>
      <c r="AF107" s="1742"/>
      <c r="AG107" s="1742"/>
      <c r="AH107" s="1742"/>
      <c r="AI107" s="1742"/>
      <c r="AJ107" s="1742"/>
      <c r="AK107" s="1742"/>
      <c r="AL107" s="1742"/>
      <c r="AM107" s="1742"/>
      <c r="AN107" s="1742"/>
      <c r="AO107" s="1742"/>
      <c r="AP107" s="1742"/>
      <c r="AQ107" s="1742"/>
      <c r="AR107" s="1742"/>
      <c r="AS107" s="1742"/>
      <c r="AT107" s="1742"/>
      <c r="AU107" s="1742"/>
      <c r="AV107" s="1742"/>
      <c r="AW107" s="1742"/>
      <c r="AX107" s="1742"/>
      <c r="AY107" s="1742"/>
      <c r="AZ107" s="1742"/>
      <c r="BA107" s="1742"/>
      <c r="BB107" s="1742"/>
      <c r="BC107" s="1742"/>
      <c r="BD107" s="1742"/>
      <c r="BE107" s="1742"/>
      <c r="BF107" s="1742"/>
      <c r="BG107" s="1742"/>
      <c r="BH107" s="1742"/>
      <c r="BI107" s="1742"/>
      <c r="BJ107" s="1742"/>
      <c r="BK107" s="1742"/>
      <c r="BL107" s="1742"/>
      <c r="BM107" s="1742"/>
      <c r="BN107" s="1742"/>
      <c r="BO107" s="1742"/>
      <c r="BP107" s="1742"/>
      <c r="BQ107" s="1742"/>
      <c r="BR107" s="1742"/>
      <c r="BS107" s="1742"/>
      <c r="BT107" s="1742"/>
      <c r="BU107" s="1742"/>
      <c r="BV107" s="1742"/>
      <c r="BW107" s="1742"/>
      <c r="BX107" s="1742"/>
      <c r="BY107" s="1742"/>
      <c r="BZ107" s="1742"/>
      <c r="CA107" s="1742"/>
      <c r="CB107" s="1742"/>
      <c r="CC107" s="1742"/>
      <c r="CD107" s="1742"/>
      <c r="CE107" s="1742"/>
      <c r="CF107" s="1742"/>
      <c r="CG107" s="1742"/>
      <c r="CH107" s="1742"/>
      <c r="CI107" s="1742"/>
      <c r="CJ107" s="1742"/>
      <c r="CK107" s="1742"/>
      <c r="CL107" s="1742"/>
      <c r="CM107" s="1742"/>
      <c r="CN107" s="1742"/>
      <c r="CO107" s="1742"/>
      <c r="CP107" s="1742"/>
      <c r="CQ107" s="1742"/>
      <c r="CR107" s="1742"/>
      <c r="CS107" s="1742"/>
      <c r="CT107" s="1742"/>
      <c r="CU107" s="1742"/>
      <c r="CV107" s="1742"/>
      <c r="CW107" s="1742"/>
      <c r="CX107" s="1742"/>
      <c r="CY107" s="1742"/>
      <c r="CZ107" s="1742"/>
      <c r="DA107" s="1742"/>
      <c r="DB107" s="1742"/>
      <c r="DC107" s="1742"/>
      <c r="DD107" s="1742"/>
      <c r="DE107" s="1742"/>
      <c r="DF107" s="1742"/>
      <c r="DG107" s="1742"/>
      <c r="DH107" s="1742"/>
      <c r="DI107" s="1742"/>
      <c r="DJ107" s="1742"/>
      <c r="DK107" s="1742"/>
      <c r="DL107" s="1742"/>
      <c r="DM107" s="1742"/>
      <c r="DN107" s="1742"/>
      <c r="DO107" s="1742"/>
      <c r="DP107" s="1742"/>
      <c r="DQ107" s="1742"/>
      <c r="DR107" s="1742"/>
      <c r="DS107" s="1742"/>
      <c r="DT107" s="1742"/>
      <c r="DU107" s="1742"/>
      <c r="DV107" s="1742"/>
      <c r="DW107" s="1742"/>
      <c r="DX107" s="1742"/>
      <c r="DY107" s="1742"/>
      <c r="DZ107" s="1742"/>
      <c r="EA107" s="1742"/>
      <c r="EB107" s="1742"/>
      <c r="EC107" s="1742"/>
      <c r="ED107" s="1742"/>
      <c r="EE107" s="1742"/>
      <c r="EF107" s="1742"/>
      <c r="EG107" s="1742"/>
      <c r="EH107" s="1742"/>
      <c r="EI107" s="1742"/>
      <c r="EJ107" s="1742"/>
      <c r="EK107" s="1742"/>
      <c r="EL107" s="1742"/>
      <c r="EM107" s="1742"/>
      <c r="EN107" s="1742"/>
      <c r="EO107" s="1742"/>
      <c r="EP107" s="1742"/>
      <c r="EQ107" s="1742"/>
      <c r="ER107" s="1742"/>
      <c r="ES107" s="1742"/>
      <c r="ET107" s="1742"/>
      <c r="EU107" s="1742"/>
      <c r="EV107" s="1742"/>
      <c r="EW107" s="1742"/>
      <c r="EX107" s="1742"/>
      <c r="EY107" s="1742"/>
      <c r="EZ107" s="1742"/>
      <c r="FA107" s="1742"/>
      <c r="FB107" s="1742"/>
      <c r="FC107" s="1742"/>
      <c r="FD107" s="1742"/>
      <c r="FE107" s="1742"/>
      <c r="FF107" s="1742"/>
    </row>
    <row r="108" spans="1:162" s="1743" customFormat="1">
      <c r="A108" s="1814" t="s">
        <v>149</v>
      </c>
      <c r="B108" s="1815" t="s">
        <v>835</v>
      </c>
      <c r="C108" s="1806" t="s">
        <v>27</v>
      </c>
      <c r="D108" s="1816">
        <v>22</v>
      </c>
      <c r="E108" s="1803"/>
      <c r="F108" s="1803"/>
      <c r="G108" s="1742"/>
      <c r="H108" s="1742"/>
      <c r="I108" s="1742"/>
      <c r="J108" s="1742"/>
      <c r="K108" s="1742"/>
      <c r="L108" s="1742"/>
      <c r="M108" s="1742"/>
      <c r="N108" s="1742"/>
      <c r="O108" s="1742"/>
      <c r="P108" s="1742"/>
      <c r="Q108" s="1742"/>
      <c r="R108" s="1742"/>
      <c r="S108" s="1742"/>
      <c r="T108" s="1742"/>
      <c r="U108" s="1742"/>
      <c r="V108" s="1742"/>
      <c r="W108" s="1742"/>
      <c r="X108" s="1742"/>
      <c r="Y108" s="1742"/>
      <c r="Z108" s="1742"/>
      <c r="AA108" s="1742"/>
      <c r="AB108" s="1742"/>
      <c r="AC108" s="1742"/>
      <c r="AD108" s="1742"/>
      <c r="AE108" s="1742"/>
      <c r="AF108" s="1742"/>
      <c r="AG108" s="1742"/>
      <c r="AH108" s="1742"/>
      <c r="AI108" s="1742"/>
      <c r="AJ108" s="1742"/>
      <c r="AK108" s="1742"/>
      <c r="AL108" s="1742"/>
      <c r="AM108" s="1742"/>
      <c r="AN108" s="1742"/>
      <c r="AO108" s="1742"/>
      <c r="AP108" s="1742"/>
      <c r="AQ108" s="1742"/>
      <c r="AR108" s="1742"/>
      <c r="AS108" s="1742"/>
      <c r="AT108" s="1742"/>
      <c r="AU108" s="1742"/>
      <c r="AV108" s="1742"/>
      <c r="AW108" s="1742"/>
      <c r="AX108" s="1742"/>
      <c r="AY108" s="1742"/>
      <c r="AZ108" s="1742"/>
      <c r="BA108" s="1742"/>
      <c r="BB108" s="1742"/>
      <c r="BC108" s="1742"/>
      <c r="BD108" s="1742"/>
      <c r="BE108" s="1742"/>
      <c r="BF108" s="1742"/>
      <c r="BG108" s="1742"/>
      <c r="BH108" s="1742"/>
      <c r="BI108" s="1742"/>
      <c r="BJ108" s="1742"/>
      <c r="BK108" s="1742"/>
      <c r="BL108" s="1742"/>
      <c r="BM108" s="1742"/>
      <c r="BN108" s="1742"/>
      <c r="BO108" s="1742"/>
      <c r="BP108" s="1742"/>
      <c r="BQ108" s="1742"/>
      <c r="BR108" s="1742"/>
      <c r="BS108" s="1742"/>
      <c r="BT108" s="1742"/>
      <c r="BU108" s="1742"/>
      <c r="BV108" s="1742"/>
      <c r="BW108" s="1742"/>
      <c r="BX108" s="1742"/>
      <c r="BY108" s="1742"/>
      <c r="BZ108" s="1742"/>
      <c r="CA108" s="1742"/>
      <c r="CB108" s="1742"/>
      <c r="CC108" s="1742"/>
      <c r="CD108" s="1742"/>
      <c r="CE108" s="1742"/>
      <c r="CF108" s="1742"/>
      <c r="CG108" s="1742"/>
      <c r="CH108" s="1742"/>
      <c r="CI108" s="1742"/>
      <c r="CJ108" s="1742"/>
      <c r="CK108" s="1742"/>
      <c r="CL108" s="1742"/>
      <c r="CM108" s="1742"/>
      <c r="CN108" s="1742"/>
      <c r="CO108" s="1742"/>
      <c r="CP108" s="1742"/>
      <c r="CQ108" s="1742"/>
      <c r="CR108" s="1742"/>
      <c r="CS108" s="1742"/>
      <c r="CT108" s="1742"/>
      <c r="CU108" s="1742"/>
      <c r="CV108" s="1742"/>
      <c r="CW108" s="1742"/>
      <c r="CX108" s="1742"/>
      <c r="CY108" s="1742"/>
      <c r="CZ108" s="1742"/>
      <c r="DA108" s="1742"/>
      <c r="DB108" s="1742"/>
      <c r="DC108" s="1742"/>
      <c r="DD108" s="1742"/>
      <c r="DE108" s="1742"/>
      <c r="DF108" s="1742"/>
      <c r="DG108" s="1742"/>
      <c r="DH108" s="1742"/>
      <c r="DI108" s="1742"/>
      <c r="DJ108" s="1742"/>
      <c r="DK108" s="1742"/>
      <c r="DL108" s="1742"/>
      <c r="DM108" s="1742"/>
      <c r="DN108" s="1742"/>
      <c r="DO108" s="1742"/>
      <c r="DP108" s="1742"/>
      <c r="DQ108" s="1742"/>
      <c r="DR108" s="1742"/>
      <c r="DS108" s="1742"/>
      <c r="DT108" s="1742"/>
      <c r="DU108" s="1742"/>
      <c r="DV108" s="1742"/>
      <c r="DW108" s="1742"/>
      <c r="DX108" s="1742"/>
      <c r="DY108" s="1742"/>
      <c r="DZ108" s="1742"/>
      <c r="EA108" s="1742"/>
      <c r="EB108" s="1742"/>
      <c r="EC108" s="1742"/>
      <c r="ED108" s="1742"/>
      <c r="EE108" s="1742"/>
      <c r="EF108" s="1742"/>
      <c r="EG108" s="1742"/>
      <c r="EH108" s="1742"/>
      <c r="EI108" s="1742"/>
      <c r="EJ108" s="1742"/>
      <c r="EK108" s="1742"/>
      <c r="EL108" s="1742"/>
      <c r="EM108" s="1742"/>
      <c r="EN108" s="1742"/>
      <c r="EO108" s="1742"/>
      <c r="EP108" s="1742"/>
      <c r="EQ108" s="1742"/>
      <c r="ER108" s="1742"/>
      <c r="ES108" s="1742"/>
      <c r="ET108" s="1742"/>
      <c r="EU108" s="1742"/>
      <c r="EV108" s="1742"/>
      <c r="EW108" s="1742"/>
      <c r="EX108" s="1742"/>
      <c r="EY108" s="1742"/>
      <c r="EZ108" s="1742"/>
      <c r="FA108" s="1742"/>
      <c r="FB108" s="1742"/>
      <c r="FC108" s="1742"/>
      <c r="FD108" s="1742"/>
      <c r="FE108" s="1742"/>
      <c r="FF108" s="1742"/>
    </row>
    <row r="109" spans="1:162" s="1149" customFormat="1" ht="15">
      <c r="A109" s="1823"/>
      <c r="B109" s="1824" t="s">
        <v>836</v>
      </c>
      <c r="C109" s="1825"/>
      <c r="D109" s="1754"/>
      <c r="E109" s="1826"/>
      <c r="F109" s="1765"/>
      <c r="G109" s="1152"/>
      <c r="H109" s="1152"/>
      <c r="I109" s="1152"/>
      <c r="J109" s="1152"/>
      <c r="K109" s="1152"/>
      <c r="L109" s="1152"/>
      <c r="M109" s="1152"/>
      <c r="N109" s="1152"/>
      <c r="O109" s="1152"/>
      <c r="P109" s="1152"/>
      <c r="Q109" s="1152"/>
      <c r="R109" s="1152"/>
      <c r="S109" s="1152"/>
      <c r="T109" s="1152"/>
      <c r="U109" s="1152"/>
      <c r="V109" s="1152"/>
      <c r="W109" s="1152"/>
      <c r="X109" s="1152"/>
      <c r="Y109" s="1152"/>
      <c r="Z109" s="1152"/>
      <c r="AA109" s="1152"/>
      <c r="AB109" s="1152"/>
      <c r="AC109" s="1152"/>
      <c r="AD109" s="1152"/>
      <c r="AE109" s="1152"/>
      <c r="AF109" s="1152"/>
      <c r="AG109" s="1152"/>
      <c r="AH109" s="1152"/>
      <c r="AI109" s="1152"/>
      <c r="AJ109" s="1152"/>
      <c r="AK109" s="1152"/>
      <c r="AL109" s="1152"/>
      <c r="AM109" s="1152"/>
      <c r="AN109" s="1152"/>
      <c r="AO109" s="1152"/>
      <c r="AP109" s="1152"/>
      <c r="AQ109" s="1152"/>
      <c r="AR109" s="1152"/>
      <c r="AS109" s="1152"/>
      <c r="AT109" s="1152"/>
      <c r="AU109" s="1152"/>
      <c r="AV109" s="1152"/>
      <c r="AW109" s="1152"/>
      <c r="AX109" s="1152"/>
      <c r="AY109" s="1152"/>
      <c r="AZ109" s="1152"/>
      <c r="BA109" s="1152"/>
      <c r="BB109" s="1152"/>
      <c r="BC109" s="1152"/>
      <c r="BD109" s="1152"/>
      <c r="BE109" s="1152"/>
      <c r="BF109" s="1152"/>
      <c r="BG109" s="1152"/>
      <c r="BH109" s="1152"/>
      <c r="BI109" s="1152"/>
      <c r="BJ109" s="1152"/>
      <c r="BK109" s="1152"/>
      <c r="BL109" s="1152"/>
      <c r="BM109" s="1152"/>
      <c r="BN109" s="1152"/>
      <c r="BO109" s="1152"/>
      <c r="BP109" s="1152"/>
      <c r="BQ109" s="1152"/>
      <c r="BR109" s="1152"/>
      <c r="BS109" s="1152"/>
      <c r="BT109" s="1152"/>
      <c r="BU109" s="1152"/>
      <c r="BV109" s="1152"/>
      <c r="BW109" s="1152"/>
      <c r="BX109" s="1152"/>
      <c r="BY109" s="1152"/>
      <c r="BZ109" s="1152"/>
      <c r="CA109" s="1152"/>
      <c r="CB109" s="1152"/>
      <c r="CC109" s="1152"/>
      <c r="CD109" s="1152"/>
      <c r="CE109" s="1152"/>
      <c r="CF109" s="1152"/>
      <c r="CG109" s="1152"/>
      <c r="CH109" s="1152"/>
      <c r="CI109" s="1152"/>
      <c r="CJ109" s="1152"/>
      <c r="CK109" s="1152"/>
      <c r="CL109" s="1152"/>
      <c r="CM109" s="1152"/>
      <c r="CN109" s="1152"/>
      <c r="CO109" s="1152"/>
      <c r="CP109" s="1152"/>
      <c r="CQ109" s="1152"/>
      <c r="CR109" s="1152"/>
      <c r="CS109" s="1152"/>
      <c r="CT109" s="1152"/>
      <c r="CU109" s="1152"/>
      <c r="CV109" s="1152"/>
      <c r="CW109" s="1152"/>
      <c r="CX109" s="1152"/>
      <c r="CY109" s="1152"/>
      <c r="CZ109" s="1152"/>
      <c r="DA109" s="1152"/>
      <c r="DB109" s="1152"/>
      <c r="DC109" s="1152"/>
      <c r="DD109" s="1152"/>
      <c r="DE109" s="1152"/>
      <c r="DF109" s="1152"/>
      <c r="DG109" s="1152"/>
      <c r="DH109" s="1152"/>
      <c r="DI109" s="1152"/>
      <c r="DJ109" s="1152"/>
      <c r="DK109" s="1152"/>
      <c r="DL109" s="1152"/>
      <c r="DM109" s="1152"/>
      <c r="DN109" s="1152"/>
      <c r="DO109" s="1152"/>
      <c r="DP109" s="1152"/>
      <c r="DQ109" s="1152"/>
      <c r="DR109" s="1152"/>
      <c r="DS109" s="1152"/>
      <c r="DT109" s="1152"/>
      <c r="DU109" s="1152"/>
      <c r="DV109" s="1152"/>
      <c r="DW109" s="1152"/>
      <c r="DX109" s="1152"/>
      <c r="DY109" s="1152"/>
      <c r="DZ109" s="1152"/>
      <c r="EA109" s="1152"/>
      <c r="EB109" s="1152"/>
      <c r="EC109" s="1152"/>
      <c r="ED109" s="1152"/>
      <c r="EE109" s="1152"/>
      <c r="EF109" s="1152"/>
      <c r="EG109" s="1152"/>
      <c r="EH109" s="1152"/>
      <c r="EI109" s="1152"/>
      <c r="EJ109" s="1152"/>
      <c r="EK109" s="1152"/>
      <c r="EL109" s="1152"/>
      <c r="EM109" s="1152"/>
      <c r="EN109" s="1152"/>
      <c r="EO109" s="1152"/>
      <c r="EP109" s="1152"/>
      <c r="EQ109" s="1152"/>
      <c r="ER109" s="1152"/>
      <c r="ES109" s="1152"/>
      <c r="ET109" s="1152"/>
      <c r="EU109" s="1152"/>
      <c r="EV109" s="1152"/>
      <c r="EW109" s="1152"/>
      <c r="EX109" s="1152"/>
      <c r="EY109" s="1152"/>
      <c r="EZ109" s="1152"/>
      <c r="FA109" s="1152"/>
      <c r="FB109" s="1152"/>
      <c r="FC109" s="1152"/>
      <c r="FD109" s="1152"/>
      <c r="FE109" s="1152"/>
      <c r="FF109" s="1152"/>
    </row>
    <row r="110" spans="1:162" s="1744" customFormat="1" ht="15">
      <c r="A110" s="1876" t="s">
        <v>17</v>
      </c>
      <c r="B110" s="1877"/>
      <c r="C110" s="1877"/>
      <c r="D110" s="1877"/>
      <c r="E110" s="1877"/>
      <c r="F110" s="1878"/>
    </row>
    <row r="111" spans="1:162" s="1152" customFormat="1" ht="15">
      <c r="A111" s="1789" t="s">
        <v>18</v>
      </c>
      <c r="B111" s="1778" t="s">
        <v>837</v>
      </c>
      <c r="C111" s="1817"/>
      <c r="D111" s="1771"/>
      <c r="E111" s="1780"/>
      <c r="F111" s="1780"/>
    </row>
    <row r="112" spans="1:162" s="1152" customFormat="1">
      <c r="A112" s="1791" t="s">
        <v>192</v>
      </c>
      <c r="B112" s="1781" t="s">
        <v>655</v>
      </c>
      <c r="C112" s="1792" t="s">
        <v>27</v>
      </c>
      <c r="D112" s="1818">
        <v>638</v>
      </c>
      <c r="E112" s="1794"/>
      <c r="F112" s="1794"/>
    </row>
    <row r="113" spans="1:6" s="1152" customFormat="1">
      <c r="A113" s="1791" t="s">
        <v>194</v>
      </c>
      <c r="B113" s="1781" t="s">
        <v>683</v>
      </c>
      <c r="C113" s="1792" t="s">
        <v>27</v>
      </c>
      <c r="D113" s="1818">
        <v>180</v>
      </c>
      <c r="E113" s="1794"/>
      <c r="F113" s="1794"/>
    </row>
    <row r="114" spans="1:6" s="1152" customFormat="1">
      <c r="A114" s="1791" t="s">
        <v>195</v>
      </c>
      <c r="B114" s="1781" t="s">
        <v>669</v>
      </c>
      <c r="C114" s="1792" t="s">
        <v>237</v>
      </c>
      <c r="D114" s="1819">
        <v>2694</v>
      </c>
      <c r="E114" s="1794"/>
      <c r="F114" s="1794"/>
    </row>
    <row r="115" spans="1:6" s="1152" customFormat="1">
      <c r="A115" s="1791">
        <v>602</v>
      </c>
      <c r="B115" s="1781" t="s">
        <v>838</v>
      </c>
      <c r="C115" s="1782"/>
      <c r="D115" s="1783"/>
      <c r="E115" s="1794"/>
      <c r="F115" s="1794"/>
    </row>
    <row r="116" spans="1:6" s="1152" customFormat="1">
      <c r="A116" s="1791" t="s">
        <v>619</v>
      </c>
      <c r="B116" s="1781" t="s">
        <v>630</v>
      </c>
      <c r="C116" s="1792" t="s">
        <v>1</v>
      </c>
      <c r="D116" s="1818">
        <v>20</v>
      </c>
      <c r="E116" s="1794"/>
      <c r="F116" s="1794"/>
    </row>
    <row r="117" spans="1:6" s="1152" customFormat="1">
      <c r="A117" s="1791" t="s">
        <v>620</v>
      </c>
      <c r="B117" s="1781" t="s">
        <v>267</v>
      </c>
      <c r="C117" s="1792" t="s">
        <v>1</v>
      </c>
      <c r="D117" s="1818">
        <v>20</v>
      </c>
      <c r="E117" s="1794"/>
      <c r="F117" s="1794"/>
    </row>
    <row r="118" spans="1:6" s="1152" customFormat="1" ht="15">
      <c r="A118" s="1791">
        <v>604</v>
      </c>
      <c r="B118" s="1781" t="s">
        <v>839</v>
      </c>
      <c r="C118" s="1799"/>
      <c r="D118" s="1819"/>
      <c r="E118" s="1794"/>
      <c r="F118" s="1794"/>
    </row>
    <row r="119" spans="1:6" s="1152" customFormat="1">
      <c r="A119" s="1791" t="s">
        <v>224</v>
      </c>
      <c r="B119" s="1781" t="s">
        <v>656</v>
      </c>
      <c r="C119" s="1792" t="s">
        <v>27</v>
      </c>
      <c r="D119" s="1819">
        <v>80</v>
      </c>
      <c r="E119" s="1794"/>
      <c r="F119" s="1794"/>
    </row>
    <row r="120" spans="1:6" s="1152" customFormat="1">
      <c r="A120" s="1791" t="s">
        <v>225</v>
      </c>
      <c r="B120" s="1781" t="s">
        <v>226</v>
      </c>
      <c r="C120" s="1792" t="s">
        <v>27</v>
      </c>
      <c r="D120" s="1819">
        <v>14</v>
      </c>
      <c r="E120" s="1794"/>
      <c r="F120" s="1794"/>
    </row>
    <row r="121" spans="1:6" s="1152" customFormat="1">
      <c r="A121" s="1791">
        <v>605</v>
      </c>
      <c r="B121" s="1781" t="s">
        <v>840</v>
      </c>
      <c r="C121" s="1804" t="s">
        <v>775</v>
      </c>
      <c r="D121" s="1819">
        <v>1785</v>
      </c>
      <c r="E121" s="1794"/>
      <c r="F121" s="1794"/>
    </row>
    <row r="122" spans="1:6" s="1152" customFormat="1" ht="28.5">
      <c r="A122" s="1791" t="s">
        <v>610</v>
      </c>
      <c r="B122" s="1781" t="s">
        <v>841</v>
      </c>
      <c r="C122" s="1820"/>
      <c r="D122" s="1819"/>
      <c r="E122" s="1794"/>
      <c r="F122" s="1794"/>
    </row>
    <row r="123" spans="1:6" s="1152" customFormat="1">
      <c r="A123" s="1791" t="s">
        <v>621</v>
      </c>
      <c r="B123" s="1781" t="s">
        <v>622</v>
      </c>
      <c r="C123" s="1804" t="s">
        <v>27</v>
      </c>
      <c r="D123" s="1819">
        <v>20</v>
      </c>
      <c r="E123" s="1794"/>
      <c r="F123" s="1794"/>
    </row>
    <row r="124" spans="1:6" s="1152" customFormat="1" ht="28.5">
      <c r="A124" s="1791">
        <v>615</v>
      </c>
      <c r="B124" s="1781" t="s">
        <v>842</v>
      </c>
      <c r="C124" s="1804"/>
      <c r="D124" s="1819"/>
      <c r="E124" s="1794"/>
      <c r="F124" s="1794"/>
    </row>
    <row r="125" spans="1:6" s="1152" customFormat="1">
      <c r="A125" s="1800" t="s">
        <v>601</v>
      </c>
      <c r="B125" s="1801" t="s">
        <v>614</v>
      </c>
      <c r="C125" s="1821" t="s">
        <v>27</v>
      </c>
      <c r="D125" s="1822">
        <v>415</v>
      </c>
      <c r="E125" s="1803"/>
      <c r="F125" s="1803"/>
    </row>
    <row r="126" spans="1:6" s="1744" customFormat="1" ht="15">
      <c r="A126" s="1852">
        <v>620</v>
      </c>
      <c r="B126" s="1853" t="s">
        <v>858</v>
      </c>
      <c r="C126" s="1854"/>
      <c r="D126" s="1854"/>
      <c r="E126" s="1852"/>
      <c r="F126" s="1852"/>
    </row>
    <row r="127" spans="1:6" s="1152" customFormat="1">
      <c r="A127" s="1831" t="s">
        <v>859</v>
      </c>
      <c r="B127" s="1832" t="s">
        <v>860</v>
      </c>
      <c r="C127" s="1833"/>
      <c r="D127" s="1833"/>
      <c r="E127" s="1831"/>
      <c r="F127" s="1831"/>
    </row>
    <row r="128" spans="1:6" s="1152" customFormat="1" ht="25.5">
      <c r="A128" s="1831" t="s">
        <v>861</v>
      </c>
      <c r="B128" s="1832" t="s">
        <v>862</v>
      </c>
      <c r="C128" s="1833" t="s">
        <v>266</v>
      </c>
      <c r="D128" s="1833">
        <v>1</v>
      </c>
      <c r="E128" s="1834">
        <v>5000000</v>
      </c>
      <c r="F128" s="1834">
        <f>+E128*D128</f>
        <v>5000000</v>
      </c>
    </row>
    <row r="129" spans="1:6" s="1152" customFormat="1">
      <c r="A129" s="1831" t="s">
        <v>863</v>
      </c>
      <c r="B129" s="1832" t="s">
        <v>864</v>
      </c>
      <c r="C129" s="1833" t="s">
        <v>266</v>
      </c>
      <c r="D129" s="1891">
        <v>1</v>
      </c>
      <c r="E129" s="1896">
        <v>2000000</v>
      </c>
      <c r="F129" s="1893">
        <f t="shared" ref="F129:F145" si="1">+E129*D129</f>
        <v>2000000</v>
      </c>
    </row>
    <row r="130" spans="1:6" s="1152" customFormat="1" ht="25.5">
      <c r="A130" s="1831" t="s">
        <v>865</v>
      </c>
      <c r="B130" s="1832" t="s">
        <v>866</v>
      </c>
      <c r="C130" s="1833" t="s">
        <v>266</v>
      </c>
      <c r="D130" s="1891"/>
      <c r="E130" s="1896"/>
      <c r="F130" s="1894"/>
    </row>
    <row r="131" spans="1:6" s="1152" customFormat="1" ht="25.5">
      <c r="A131" s="1831" t="s">
        <v>867</v>
      </c>
      <c r="B131" s="1832" t="s">
        <v>868</v>
      </c>
      <c r="C131" s="1833" t="s">
        <v>266</v>
      </c>
      <c r="D131" s="1833">
        <v>1</v>
      </c>
      <c r="E131" s="1834">
        <v>2000000</v>
      </c>
      <c r="F131" s="1834">
        <f t="shared" si="1"/>
        <v>2000000</v>
      </c>
    </row>
    <row r="132" spans="1:6" s="1152" customFormat="1" ht="25.5">
      <c r="A132" s="1831" t="s">
        <v>869</v>
      </c>
      <c r="B132" s="1832" t="s">
        <v>870</v>
      </c>
      <c r="C132" s="1833" t="s">
        <v>266</v>
      </c>
      <c r="D132" s="1891">
        <v>1</v>
      </c>
      <c r="E132" s="1896">
        <v>3000000</v>
      </c>
      <c r="F132" s="1893">
        <f t="shared" si="1"/>
        <v>3000000</v>
      </c>
    </row>
    <row r="133" spans="1:6" s="1152" customFormat="1" ht="15" customHeight="1">
      <c r="A133" s="1835" t="s">
        <v>871</v>
      </c>
      <c r="B133" s="1832" t="s">
        <v>872</v>
      </c>
      <c r="C133" s="1833" t="s">
        <v>266</v>
      </c>
      <c r="D133" s="1891"/>
      <c r="E133" s="1896"/>
      <c r="F133" s="1894"/>
    </row>
    <row r="134" spans="1:6" s="1152" customFormat="1">
      <c r="A134" s="1831" t="s">
        <v>873</v>
      </c>
      <c r="B134" s="1832" t="s">
        <v>874</v>
      </c>
      <c r="C134" s="1833" t="s">
        <v>266</v>
      </c>
      <c r="D134" s="1833">
        <v>1</v>
      </c>
      <c r="E134" s="1834">
        <v>2000000</v>
      </c>
      <c r="F134" s="1834">
        <f t="shared" si="1"/>
        <v>2000000</v>
      </c>
    </row>
    <row r="135" spans="1:6" s="1152" customFormat="1">
      <c r="A135" s="1831" t="s">
        <v>875</v>
      </c>
      <c r="B135" s="1832" t="s">
        <v>876</v>
      </c>
      <c r="C135" s="1833" t="s">
        <v>266</v>
      </c>
      <c r="D135" s="1833">
        <v>1</v>
      </c>
      <c r="E135" s="1834">
        <v>500000</v>
      </c>
      <c r="F135" s="1834">
        <f t="shared" si="1"/>
        <v>500000</v>
      </c>
    </row>
    <row r="136" spans="1:6" s="1152" customFormat="1" ht="25.5">
      <c r="A136" s="1831" t="s">
        <v>877</v>
      </c>
      <c r="B136" s="1832" t="s">
        <v>878</v>
      </c>
      <c r="C136" s="1833" t="s">
        <v>266</v>
      </c>
      <c r="D136" s="1833">
        <v>1</v>
      </c>
      <c r="E136" s="1834">
        <v>200000</v>
      </c>
      <c r="F136" s="1834">
        <f t="shared" si="1"/>
        <v>200000</v>
      </c>
    </row>
    <row r="137" spans="1:6" s="1152" customFormat="1">
      <c r="A137" s="1831" t="s">
        <v>879</v>
      </c>
      <c r="B137" s="1832" t="s">
        <v>880</v>
      </c>
      <c r="C137" s="1833" t="s">
        <v>266</v>
      </c>
      <c r="D137" s="1833">
        <v>1</v>
      </c>
      <c r="E137" s="1834">
        <v>3400000</v>
      </c>
      <c r="F137" s="1834">
        <f t="shared" si="1"/>
        <v>3400000</v>
      </c>
    </row>
    <row r="138" spans="1:6" s="1152" customFormat="1" ht="38.25">
      <c r="A138" s="1831" t="s">
        <v>881</v>
      </c>
      <c r="B138" s="1832" t="s">
        <v>882</v>
      </c>
      <c r="C138" s="1833" t="s">
        <v>266</v>
      </c>
      <c r="D138" s="1833">
        <v>1</v>
      </c>
      <c r="E138" s="1834">
        <v>200000</v>
      </c>
      <c r="F138" s="1834">
        <f t="shared" si="1"/>
        <v>200000</v>
      </c>
    </row>
    <row r="139" spans="1:6" s="1152" customFormat="1">
      <c r="A139" s="1831" t="s">
        <v>883</v>
      </c>
      <c r="B139" s="1832" t="s">
        <v>884</v>
      </c>
      <c r="C139" s="1833" t="s">
        <v>266</v>
      </c>
      <c r="D139" s="1833">
        <v>1</v>
      </c>
      <c r="E139" s="1834">
        <v>4800000</v>
      </c>
      <c r="F139" s="1834">
        <f t="shared" si="1"/>
        <v>4800000</v>
      </c>
    </row>
    <row r="140" spans="1:6" s="1152" customFormat="1">
      <c r="A140" s="1831" t="s">
        <v>885</v>
      </c>
      <c r="B140" s="1832" t="s">
        <v>886</v>
      </c>
      <c r="C140" s="1833" t="s">
        <v>266</v>
      </c>
      <c r="D140" s="1833">
        <v>1</v>
      </c>
      <c r="E140" s="1834">
        <v>410190000</v>
      </c>
      <c r="F140" s="1834">
        <f t="shared" si="1"/>
        <v>410190000</v>
      </c>
    </row>
    <row r="141" spans="1:6" s="1152" customFormat="1" ht="41.25">
      <c r="A141" s="1831" t="s">
        <v>887</v>
      </c>
      <c r="B141" s="1836" t="s">
        <v>888</v>
      </c>
      <c r="C141" s="1833" t="s">
        <v>266</v>
      </c>
      <c r="D141" s="1833">
        <v>1</v>
      </c>
      <c r="E141" s="1834">
        <v>50000000</v>
      </c>
      <c r="F141" s="1834">
        <f>+E141*D141</f>
        <v>50000000</v>
      </c>
    </row>
    <row r="142" spans="1:6" s="1152" customFormat="1" ht="25.5">
      <c r="A142" s="1831" t="s">
        <v>889</v>
      </c>
      <c r="B142" s="1832" t="s">
        <v>890</v>
      </c>
      <c r="C142" s="1833" t="s">
        <v>266</v>
      </c>
      <c r="D142" s="1833">
        <v>1</v>
      </c>
      <c r="E142" s="1834">
        <v>2000000</v>
      </c>
      <c r="F142" s="1834">
        <f t="shared" si="1"/>
        <v>2000000</v>
      </c>
    </row>
    <row r="143" spans="1:6" s="1152" customFormat="1" ht="25.5">
      <c r="A143" s="1831" t="s">
        <v>891</v>
      </c>
      <c r="B143" s="1832" t="s">
        <v>892</v>
      </c>
      <c r="C143" s="1833" t="s">
        <v>266</v>
      </c>
      <c r="D143" s="1833">
        <v>1</v>
      </c>
      <c r="E143" s="1834">
        <v>200000</v>
      </c>
      <c r="F143" s="1834">
        <f t="shared" si="1"/>
        <v>200000</v>
      </c>
    </row>
    <row r="144" spans="1:6" s="1152" customFormat="1" ht="25.5">
      <c r="A144" s="1831" t="s">
        <v>893</v>
      </c>
      <c r="B144" s="1832" t="s">
        <v>894</v>
      </c>
      <c r="C144" s="1833" t="s">
        <v>266</v>
      </c>
      <c r="D144" s="1833">
        <v>1</v>
      </c>
      <c r="E144" s="1834">
        <v>2500000</v>
      </c>
      <c r="F144" s="1834">
        <f t="shared" si="1"/>
        <v>2500000</v>
      </c>
    </row>
    <row r="145" spans="1:6" s="1152" customFormat="1">
      <c r="A145" s="1849" t="s">
        <v>895</v>
      </c>
      <c r="B145" s="1850" t="s">
        <v>896</v>
      </c>
      <c r="C145" s="1851" t="s">
        <v>266</v>
      </c>
      <c r="D145" s="1851">
        <v>1</v>
      </c>
      <c r="E145" s="1855">
        <v>22049500</v>
      </c>
      <c r="F145" s="1834">
        <f t="shared" si="1"/>
        <v>22049500</v>
      </c>
    </row>
    <row r="146" spans="1:6" s="1152" customFormat="1" ht="25.5">
      <c r="A146" s="1831" t="s">
        <v>897</v>
      </c>
      <c r="B146" s="1837" t="s">
        <v>898</v>
      </c>
      <c r="C146" s="1833" t="s">
        <v>615</v>
      </c>
      <c r="D146" s="1833"/>
      <c r="E146" s="1831"/>
      <c r="F146" s="1831"/>
    </row>
    <row r="147" spans="1:6" s="1152" customFormat="1">
      <c r="A147" s="1831" t="s">
        <v>899</v>
      </c>
      <c r="B147" s="1837" t="s">
        <v>900</v>
      </c>
      <c r="C147" s="1831"/>
      <c r="D147" s="1833"/>
      <c r="E147" s="1831"/>
      <c r="F147" s="1831"/>
    </row>
    <row r="148" spans="1:6" s="1152" customFormat="1" ht="25.5">
      <c r="A148" s="1831" t="s">
        <v>901</v>
      </c>
      <c r="B148" s="1832" t="s">
        <v>902</v>
      </c>
      <c r="C148" s="1833" t="s">
        <v>266</v>
      </c>
      <c r="D148" s="1833">
        <v>1</v>
      </c>
      <c r="E148" s="1838">
        <v>5000000</v>
      </c>
      <c r="F148" s="1834">
        <f t="shared" ref="F148:F165" si="2">+E148*D148</f>
        <v>5000000</v>
      </c>
    </row>
    <row r="149" spans="1:6" s="1152" customFormat="1" ht="25.5">
      <c r="A149" s="1831" t="s">
        <v>903</v>
      </c>
      <c r="B149" s="1832" t="s">
        <v>904</v>
      </c>
      <c r="C149" s="1833" t="s">
        <v>266</v>
      </c>
      <c r="D149" s="1891">
        <v>1</v>
      </c>
      <c r="E149" s="1892">
        <v>3000000</v>
      </c>
      <c r="F149" s="1893">
        <f t="shared" si="2"/>
        <v>3000000</v>
      </c>
    </row>
    <row r="150" spans="1:6" s="1152" customFormat="1" ht="15" customHeight="1">
      <c r="A150" s="1831" t="s">
        <v>905</v>
      </c>
      <c r="B150" s="1832" t="s">
        <v>872</v>
      </c>
      <c r="C150" s="1833" t="s">
        <v>266</v>
      </c>
      <c r="D150" s="1891"/>
      <c r="E150" s="1892"/>
      <c r="F150" s="1894"/>
    </row>
    <row r="151" spans="1:6" s="1152" customFormat="1">
      <c r="A151" s="1831" t="s">
        <v>906</v>
      </c>
      <c r="B151" s="1832" t="s">
        <v>864</v>
      </c>
      <c r="C151" s="1833" t="s">
        <v>266</v>
      </c>
      <c r="D151" s="1891">
        <v>1</v>
      </c>
      <c r="E151" s="1892">
        <v>2000000</v>
      </c>
      <c r="F151" s="1893">
        <f t="shared" si="2"/>
        <v>2000000</v>
      </c>
    </row>
    <row r="152" spans="1:6" s="1152" customFormat="1" ht="25.5">
      <c r="A152" s="1831" t="s">
        <v>907</v>
      </c>
      <c r="B152" s="1832" t="s">
        <v>908</v>
      </c>
      <c r="C152" s="1833" t="s">
        <v>266</v>
      </c>
      <c r="D152" s="1891"/>
      <c r="E152" s="1892"/>
      <c r="F152" s="1895"/>
    </row>
    <row r="153" spans="1:6" s="1152" customFormat="1" ht="15" customHeight="1">
      <c r="A153" s="1831" t="s">
        <v>909</v>
      </c>
      <c r="B153" s="1832" t="s">
        <v>910</v>
      </c>
      <c r="C153" s="1833" t="s">
        <v>266</v>
      </c>
      <c r="D153" s="1891"/>
      <c r="E153" s="1892"/>
      <c r="F153" s="1894"/>
    </row>
    <row r="154" spans="1:6" s="1152" customFormat="1" ht="25.5">
      <c r="A154" s="1831" t="s">
        <v>911</v>
      </c>
      <c r="B154" s="1832" t="s">
        <v>912</v>
      </c>
      <c r="C154" s="1833" t="s">
        <v>266</v>
      </c>
      <c r="D154" s="1833">
        <v>1</v>
      </c>
      <c r="E154" s="1838">
        <v>2000000</v>
      </c>
      <c r="F154" s="1834">
        <f t="shared" si="2"/>
        <v>2000000</v>
      </c>
    </row>
    <row r="155" spans="1:6" s="1152" customFormat="1">
      <c r="A155" s="1831" t="s">
        <v>913</v>
      </c>
      <c r="B155" s="1832" t="s">
        <v>914</v>
      </c>
      <c r="C155" s="1833" t="s">
        <v>266</v>
      </c>
      <c r="D155" s="1833">
        <v>1</v>
      </c>
      <c r="E155" s="1838">
        <v>500000</v>
      </c>
      <c r="F155" s="1834">
        <f t="shared" si="2"/>
        <v>500000</v>
      </c>
    </row>
    <row r="156" spans="1:6" s="1152" customFormat="1" ht="38.25">
      <c r="A156" s="1831" t="s">
        <v>915</v>
      </c>
      <c r="B156" s="1832" t="s">
        <v>916</v>
      </c>
      <c r="C156" s="1833" t="s">
        <v>266</v>
      </c>
      <c r="D156" s="1833">
        <v>1</v>
      </c>
      <c r="E156" s="1838">
        <v>200000</v>
      </c>
      <c r="F156" s="1834">
        <f t="shared" si="2"/>
        <v>200000</v>
      </c>
    </row>
    <row r="157" spans="1:6" s="1152" customFormat="1" ht="25.5">
      <c r="A157" s="1831" t="s">
        <v>917</v>
      </c>
      <c r="B157" s="1832" t="s">
        <v>918</v>
      </c>
      <c r="C157" s="1833" t="s">
        <v>266</v>
      </c>
      <c r="D157" s="1833">
        <v>1</v>
      </c>
      <c r="E157" s="1838">
        <v>2000000</v>
      </c>
      <c r="F157" s="1834">
        <f t="shared" si="2"/>
        <v>2000000</v>
      </c>
    </row>
    <row r="158" spans="1:6" s="1152" customFormat="1">
      <c r="A158" s="1831" t="s">
        <v>919</v>
      </c>
      <c r="B158" s="1832" t="s">
        <v>920</v>
      </c>
      <c r="C158" s="1833" t="s">
        <v>266</v>
      </c>
      <c r="D158" s="1833">
        <v>1</v>
      </c>
      <c r="E158" s="1838">
        <v>8280000</v>
      </c>
      <c r="F158" s="1834">
        <f t="shared" si="2"/>
        <v>8280000</v>
      </c>
    </row>
    <row r="159" spans="1:6" s="1152" customFormat="1" ht="38.25">
      <c r="A159" s="1831" t="s">
        <v>921</v>
      </c>
      <c r="B159" s="1832" t="s">
        <v>922</v>
      </c>
      <c r="C159" s="1833" t="s">
        <v>266</v>
      </c>
      <c r="D159" s="1833">
        <v>1</v>
      </c>
      <c r="E159" s="1838">
        <v>200000</v>
      </c>
      <c r="F159" s="1834">
        <f t="shared" si="2"/>
        <v>200000</v>
      </c>
    </row>
    <row r="160" spans="1:6" s="1152" customFormat="1">
      <c r="A160" s="1831" t="s">
        <v>923</v>
      </c>
      <c r="B160" s="1832" t="s">
        <v>884</v>
      </c>
      <c r="C160" s="1833" t="s">
        <v>266</v>
      </c>
      <c r="D160" s="1833">
        <v>1</v>
      </c>
      <c r="E160" s="1838">
        <v>4800000</v>
      </c>
      <c r="F160" s="1834">
        <f t="shared" si="2"/>
        <v>4800000</v>
      </c>
    </row>
    <row r="161" spans="1:162" s="1152" customFormat="1" ht="25.5">
      <c r="A161" s="1831" t="s">
        <v>924</v>
      </c>
      <c r="B161" s="1832" t="s">
        <v>925</v>
      </c>
      <c r="C161" s="1833" t="s">
        <v>266</v>
      </c>
      <c r="D161" s="1833">
        <v>1</v>
      </c>
      <c r="E161" s="1838">
        <v>3050190000</v>
      </c>
      <c r="F161" s="1834">
        <f t="shared" si="2"/>
        <v>3050190000</v>
      </c>
    </row>
    <row r="162" spans="1:162" s="1149" customFormat="1" ht="42.75">
      <c r="A162" s="1831" t="s">
        <v>926</v>
      </c>
      <c r="B162" s="1836" t="s">
        <v>927</v>
      </c>
      <c r="C162" s="1833" t="s">
        <v>266</v>
      </c>
      <c r="D162" s="1833">
        <v>1</v>
      </c>
      <c r="E162" s="1838">
        <v>50000000</v>
      </c>
      <c r="F162" s="1834">
        <f>+E162*D162</f>
        <v>50000000</v>
      </c>
      <c r="G162" s="1152"/>
      <c r="H162" s="1152"/>
      <c r="I162" s="1152"/>
      <c r="J162" s="1152"/>
      <c r="K162" s="1152"/>
      <c r="L162" s="1152"/>
      <c r="M162" s="1152"/>
      <c r="N162" s="1152"/>
      <c r="O162" s="1152"/>
      <c r="P162" s="1152"/>
      <c r="Q162" s="1152"/>
      <c r="R162" s="1152"/>
      <c r="S162" s="1152"/>
      <c r="T162" s="1152"/>
      <c r="U162" s="1152"/>
      <c r="V162" s="1152"/>
      <c r="W162" s="1152"/>
      <c r="X162" s="1152"/>
      <c r="Y162" s="1152"/>
      <c r="Z162" s="1152"/>
      <c r="AA162" s="1152"/>
      <c r="AB162" s="1152"/>
      <c r="AC162" s="1152"/>
      <c r="AD162" s="1152"/>
      <c r="AE162" s="1152"/>
      <c r="AF162" s="1152"/>
      <c r="AG162" s="1152"/>
      <c r="AH162" s="1152"/>
      <c r="AI162" s="1152"/>
      <c r="AJ162" s="1152"/>
      <c r="AK162" s="1152"/>
      <c r="AL162" s="1152"/>
      <c r="AM162" s="1152"/>
      <c r="AN162" s="1152"/>
      <c r="AO162" s="1152"/>
      <c r="AP162" s="1152"/>
      <c r="AQ162" s="1152"/>
      <c r="AR162" s="1152"/>
      <c r="AS162" s="1152"/>
      <c r="AT162" s="1152"/>
      <c r="AU162" s="1152"/>
      <c r="AV162" s="1152"/>
      <c r="AW162" s="1152"/>
      <c r="AX162" s="1152"/>
      <c r="AY162" s="1152"/>
      <c r="AZ162" s="1152"/>
      <c r="BA162" s="1152"/>
      <c r="BB162" s="1152"/>
      <c r="BC162" s="1152"/>
      <c r="BD162" s="1152"/>
      <c r="BE162" s="1152"/>
      <c r="BF162" s="1152"/>
      <c r="BG162" s="1152"/>
      <c r="BH162" s="1152"/>
      <c r="BI162" s="1152"/>
      <c r="BJ162" s="1152"/>
      <c r="BK162" s="1152"/>
      <c r="BL162" s="1152"/>
      <c r="BM162" s="1152"/>
      <c r="BN162" s="1152"/>
      <c r="BO162" s="1152"/>
      <c r="BP162" s="1152"/>
      <c r="BQ162" s="1152"/>
      <c r="BR162" s="1152"/>
      <c r="BS162" s="1152"/>
      <c r="BT162" s="1152"/>
      <c r="BU162" s="1152"/>
      <c r="BV162" s="1152"/>
      <c r="BW162" s="1152"/>
      <c r="BX162" s="1152"/>
      <c r="BY162" s="1152"/>
      <c r="BZ162" s="1152"/>
      <c r="CA162" s="1152"/>
      <c r="CB162" s="1152"/>
      <c r="CC162" s="1152"/>
      <c r="CD162" s="1152"/>
      <c r="CE162" s="1152"/>
      <c r="CF162" s="1152"/>
      <c r="CG162" s="1152"/>
      <c r="CH162" s="1152"/>
      <c r="CI162" s="1152"/>
      <c r="CJ162" s="1152"/>
      <c r="CK162" s="1152"/>
      <c r="CL162" s="1152"/>
      <c r="CM162" s="1152"/>
      <c r="CN162" s="1152"/>
      <c r="CO162" s="1152"/>
      <c r="CP162" s="1152"/>
      <c r="CQ162" s="1152"/>
      <c r="CR162" s="1152"/>
      <c r="CS162" s="1152"/>
      <c r="CT162" s="1152"/>
      <c r="CU162" s="1152"/>
      <c r="CV162" s="1152"/>
      <c r="CW162" s="1152"/>
      <c r="CX162" s="1152"/>
      <c r="CY162" s="1152"/>
      <c r="CZ162" s="1152"/>
      <c r="DA162" s="1152"/>
      <c r="DB162" s="1152"/>
      <c r="DC162" s="1152"/>
      <c r="DD162" s="1152"/>
      <c r="DE162" s="1152"/>
      <c r="DF162" s="1152"/>
      <c r="DG162" s="1152"/>
      <c r="DH162" s="1152"/>
      <c r="DI162" s="1152"/>
      <c r="DJ162" s="1152"/>
      <c r="DK162" s="1152"/>
      <c r="DL162" s="1152"/>
      <c r="DM162" s="1152"/>
      <c r="DN162" s="1152"/>
      <c r="DO162" s="1152"/>
      <c r="DP162" s="1152"/>
      <c r="DQ162" s="1152"/>
      <c r="DR162" s="1152"/>
      <c r="DS162" s="1152"/>
      <c r="DT162" s="1152"/>
      <c r="DU162" s="1152"/>
      <c r="DV162" s="1152"/>
      <c r="DW162" s="1152"/>
      <c r="DX162" s="1152"/>
      <c r="DY162" s="1152"/>
      <c r="DZ162" s="1152"/>
      <c r="EA162" s="1152"/>
      <c r="EB162" s="1152"/>
      <c r="EC162" s="1152"/>
      <c r="ED162" s="1152"/>
      <c r="EE162" s="1152"/>
      <c r="EF162" s="1152"/>
      <c r="EG162" s="1152"/>
      <c r="EH162" s="1152"/>
      <c r="EI162" s="1152"/>
      <c r="EJ162" s="1152"/>
      <c r="EK162" s="1152"/>
      <c r="EL162" s="1152"/>
      <c r="EM162" s="1152"/>
      <c r="EN162" s="1152"/>
      <c r="EO162" s="1152"/>
      <c r="EP162" s="1152"/>
      <c r="EQ162" s="1152"/>
      <c r="ER162" s="1152"/>
      <c r="ES162" s="1152"/>
      <c r="ET162" s="1152"/>
      <c r="EU162" s="1152"/>
      <c r="EV162" s="1152"/>
      <c r="EW162" s="1152"/>
      <c r="EX162" s="1152"/>
      <c r="EY162" s="1152"/>
      <c r="EZ162" s="1152"/>
      <c r="FA162" s="1152"/>
      <c r="FB162" s="1152"/>
      <c r="FC162" s="1152"/>
      <c r="FD162" s="1152"/>
      <c r="FE162" s="1152"/>
      <c r="FF162" s="1152"/>
    </row>
    <row r="163" spans="1:162" s="1149" customFormat="1" ht="25.5">
      <c r="A163" s="1831" t="s">
        <v>928</v>
      </c>
      <c r="B163" s="1832" t="s">
        <v>929</v>
      </c>
      <c r="C163" s="1833" t="s">
        <v>266</v>
      </c>
      <c r="D163" s="1833">
        <v>1</v>
      </c>
      <c r="E163" s="1838">
        <v>2500000</v>
      </c>
      <c r="F163" s="1834">
        <f t="shared" si="2"/>
        <v>2500000</v>
      </c>
      <c r="G163" s="1152"/>
      <c r="H163" s="1152"/>
      <c r="I163" s="1152"/>
      <c r="J163" s="1152"/>
      <c r="K163" s="1152"/>
      <c r="L163" s="1152"/>
      <c r="M163" s="1152"/>
      <c r="N163" s="1152"/>
      <c r="O163" s="1152"/>
      <c r="P163" s="1152"/>
      <c r="Q163" s="1152"/>
      <c r="R163" s="1152"/>
      <c r="S163" s="1152"/>
      <c r="T163" s="1152"/>
      <c r="U163" s="1152"/>
      <c r="V163" s="1152"/>
      <c r="W163" s="1152"/>
      <c r="X163" s="1152"/>
      <c r="Y163" s="1152"/>
      <c r="Z163" s="1152"/>
      <c r="AA163" s="1152"/>
      <c r="AB163" s="1152"/>
      <c r="AC163" s="1152"/>
      <c r="AD163" s="1152"/>
      <c r="AE163" s="1152"/>
      <c r="AF163" s="1152"/>
      <c r="AG163" s="1152"/>
      <c r="AH163" s="1152"/>
      <c r="AI163" s="1152"/>
      <c r="AJ163" s="1152"/>
      <c r="AK163" s="1152"/>
      <c r="AL163" s="1152"/>
      <c r="AM163" s="1152"/>
      <c r="AN163" s="1152"/>
      <c r="AO163" s="1152"/>
      <c r="AP163" s="1152"/>
      <c r="AQ163" s="1152"/>
      <c r="AR163" s="1152"/>
      <c r="AS163" s="1152"/>
      <c r="AT163" s="1152"/>
      <c r="AU163" s="1152"/>
      <c r="AV163" s="1152"/>
      <c r="AW163" s="1152"/>
      <c r="AX163" s="1152"/>
      <c r="AY163" s="1152"/>
      <c r="AZ163" s="1152"/>
      <c r="BA163" s="1152"/>
      <c r="BB163" s="1152"/>
      <c r="BC163" s="1152"/>
      <c r="BD163" s="1152"/>
      <c r="BE163" s="1152"/>
      <c r="BF163" s="1152"/>
      <c r="BG163" s="1152"/>
      <c r="BH163" s="1152"/>
      <c r="BI163" s="1152"/>
      <c r="BJ163" s="1152"/>
      <c r="BK163" s="1152"/>
      <c r="BL163" s="1152"/>
      <c r="BM163" s="1152"/>
      <c r="BN163" s="1152"/>
      <c r="BO163" s="1152"/>
      <c r="BP163" s="1152"/>
      <c r="BQ163" s="1152"/>
      <c r="BR163" s="1152"/>
      <c r="BS163" s="1152"/>
      <c r="BT163" s="1152"/>
      <c r="BU163" s="1152"/>
      <c r="BV163" s="1152"/>
      <c r="BW163" s="1152"/>
      <c r="BX163" s="1152"/>
      <c r="BY163" s="1152"/>
      <c r="BZ163" s="1152"/>
      <c r="CA163" s="1152"/>
      <c r="CB163" s="1152"/>
      <c r="CC163" s="1152"/>
      <c r="CD163" s="1152"/>
      <c r="CE163" s="1152"/>
      <c r="CF163" s="1152"/>
      <c r="CG163" s="1152"/>
      <c r="CH163" s="1152"/>
      <c r="CI163" s="1152"/>
      <c r="CJ163" s="1152"/>
      <c r="CK163" s="1152"/>
      <c r="CL163" s="1152"/>
      <c r="CM163" s="1152"/>
      <c r="CN163" s="1152"/>
      <c r="CO163" s="1152"/>
      <c r="CP163" s="1152"/>
      <c r="CQ163" s="1152"/>
      <c r="CR163" s="1152"/>
      <c r="CS163" s="1152"/>
      <c r="CT163" s="1152"/>
      <c r="CU163" s="1152"/>
      <c r="CV163" s="1152"/>
      <c r="CW163" s="1152"/>
      <c r="CX163" s="1152"/>
      <c r="CY163" s="1152"/>
      <c r="CZ163" s="1152"/>
      <c r="DA163" s="1152"/>
      <c r="DB163" s="1152"/>
      <c r="DC163" s="1152"/>
      <c r="DD163" s="1152"/>
      <c r="DE163" s="1152"/>
      <c r="DF163" s="1152"/>
      <c r="DG163" s="1152"/>
      <c r="DH163" s="1152"/>
      <c r="DI163" s="1152"/>
      <c r="DJ163" s="1152"/>
      <c r="DK163" s="1152"/>
      <c r="DL163" s="1152"/>
      <c r="DM163" s="1152"/>
      <c r="DN163" s="1152"/>
      <c r="DO163" s="1152"/>
      <c r="DP163" s="1152"/>
      <c r="DQ163" s="1152"/>
      <c r="DR163" s="1152"/>
      <c r="DS163" s="1152"/>
      <c r="DT163" s="1152"/>
      <c r="DU163" s="1152"/>
      <c r="DV163" s="1152"/>
      <c r="DW163" s="1152"/>
      <c r="DX163" s="1152"/>
      <c r="DY163" s="1152"/>
      <c r="DZ163" s="1152"/>
      <c r="EA163" s="1152"/>
      <c r="EB163" s="1152"/>
      <c r="EC163" s="1152"/>
      <c r="ED163" s="1152"/>
      <c r="EE163" s="1152"/>
      <c r="EF163" s="1152"/>
      <c r="EG163" s="1152"/>
      <c r="EH163" s="1152"/>
      <c r="EI163" s="1152"/>
      <c r="EJ163" s="1152"/>
      <c r="EK163" s="1152"/>
      <c r="EL163" s="1152"/>
      <c r="EM163" s="1152"/>
      <c r="EN163" s="1152"/>
      <c r="EO163" s="1152"/>
      <c r="EP163" s="1152"/>
      <c r="EQ163" s="1152"/>
      <c r="ER163" s="1152"/>
      <c r="ES163" s="1152"/>
      <c r="ET163" s="1152"/>
      <c r="EU163" s="1152"/>
      <c r="EV163" s="1152"/>
      <c r="EW163" s="1152"/>
      <c r="EX163" s="1152"/>
      <c r="EY163" s="1152"/>
      <c r="EZ163" s="1152"/>
      <c r="FA163" s="1152"/>
      <c r="FB163" s="1152"/>
      <c r="FC163" s="1152"/>
      <c r="FD163" s="1152"/>
      <c r="FE163" s="1152"/>
      <c r="FF163" s="1152"/>
    </row>
    <row r="164" spans="1:162">
      <c r="A164" s="1831" t="s">
        <v>930</v>
      </c>
      <c r="B164" s="1832" t="s">
        <v>931</v>
      </c>
      <c r="C164" s="1833" t="s">
        <v>266</v>
      </c>
      <c r="D164" s="1833">
        <v>1</v>
      </c>
      <c r="E164" s="1838">
        <v>200000</v>
      </c>
      <c r="F164" s="1834">
        <f t="shared" si="2"/>
        <v>200000</v>
      </c>
    </row>
    <row r="165" spans="1:162">
      <c r="A165" s="1831" t="s">
        <v>932</v>
      </c>
      <c r="B165" s="1837" t="s">
        <v>933</v>
      </c>
      <c r="C165" s="1833" t="s">
        <v>266</v>
      </c>
      <c r="D165" s="1833">
        <v>1</v>
      </c>
      <c r="E165" s="1838">
        <v>154193500</v>
      </c>
      <c r="F165" s="1834">
        <f t="shared" si="2"/>
        <v>154193500</v>
      </c>
    </row>
    <row r="166" spans="1:162" ht="25.5">
      <c r="A166" s="1831" t="s">
        <v>934</v>
      </c>
      <c r="B166" s="1837" t="s">
        <v>935</v>
      </c>
      <c r="C166" s="1839" t="s">
        <v>615</v>
      </c>
      <c r="D166" s="1833"/>
      <c r="E166" s="1838">
        <v>154193500</v>
      </c>
      <c r="F166" s="1831">
        <f>+E166*D166</f>
        <v>0</v>
      </c>
    </row>
    <row r="167" spans="1:162">
      <c r="A167" s="1831"/>
      <c r="B167" s="1840" t="s">
        <v>843</v>
      </c>
      <c r="C167" s="1841"/>
      <c r="D167" s="1841"/>
      <c r="E167" s="1842"/>
      <c r="F167" s="1843"/>
    </row>
    <row r="168" spans="1:162">
      <c r="A168" s="1844"/>
      <c r="B168" s="1845" t="s">
        <v>844</v>
      </c>
      <c r="C168" s="1846"/>
      <c r="D168" s="1846"/>
      <c r="E168" s="1847"/>
      <c r="F168" s="1848"/>
    </row>
    <row r="170" spans="1:162" ht="15">
      <c r="D170" s="1750"/>
      <c r="E170" s="1767"/>
      <c r="F170" s="1768"/>
    </row>
    <row r="171" spans="1:162" ht="15">
      <c r="B171" s="1879"/>
      <c r="C171" s="1879"/>
      <c r="D171" s="1879"/>
      <c r="E171" s="1879"/>
      <c r="F171" s="1879"/>
    </row>
  </sheetData>
  <mergeCells count="23">
    <mergeCell ref="A21:F21"/>
    <mergeCell ref="A1:F1"/>
    <mergeCell ref="A2:F2"/>
    <mergeCell ref="A5:F5"/>
    <mergeCell ref="A8:F8"/>
    <mergeCell ref="A12:F12"/>
    <mergeCell ref="A40:F40"/>
    <mergeCell ref="A52:F52"/>
    <mergeCell ref="A80:F80"/>
    <mergeCell ref="A110:F110"/>
    <mergeCell ref="B171:F171"/>
    <mergeCell ref="D129:D130"/>
    <mergeCell ref="E129:E130"/>
    <mergeCell ref="F129:F130"/>
    <mergeCell ref="D132:D133"/>
    <mergeCell ref="E132:E133"/>
    <mergeCell ref="F132:F133"/>
    <mergeCell ref="D149:D150"/>
    <mergeCell ref="E149:E150"/>
    <mergeCell ref="F149:F150"/>
    <mergeCell ref="D151:D153"/>
    <mergeCell ref="E151:E153"/>
    <mergeCell ref="F151:F153"/>
  </mergeCells>
  <pageMargins left="0.70866141732283472" right="0.70866141732283472" top="0.74803149606299213" bottom="0.74803149606299213" header="0.31496062992125984" footer="0.31496062992125984"/>
  <pageSetup paperSize="9" fitToHeight="0" orientation="landscape" r:id="rId1"/>
  <headerFooter>
    <oddHeader>Page &amp;P de &amp;N</oddHeader>
    <oddFooter>&amp;A</oddFooter>
  </headerFooter>
  <rowBreaks count="1" manualBreakCount="1">
    <brk id="49" max="5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GG197"/>
  <sheetViews>
    <sheetView topLeftCell="A127" zoomScale="80" zoomScaleNormal="80" workbookViewId="0">
      <selection activeCell="H137" sqref="H137"/>
    </sheetView>
  </sheetViews>
  <sheetFormatPr baseColWidth="10" defaultColWidth="9.140625" defaultRowHeight="15"/>
  <cols>
    <col min="1" max="1" width="14.7109375" style="421" customWidth="1"/>
    <col min="2" max="2" width="91.5703125" style="142" customWidth="1"/>
    <col min="3" max="3" width="13" style="142" customWidth="1"/>
    <col min="4" max="4" width="14.85546875" style="142" customWidth="1"/>
    <col min="5" max="5" width="20" style="142" customWidth="1"/>
    <col min="6" max="6" width="25.28515625" style="142" customWidth="1"/>
    <col min="7" max="7" width="9.140625" style="142"/>
    <col min="8" max="8" width="16" style="255" bestFit="1" customWidth="1"/>
    <col min="9" max="9" width="15" style="262" bestFit="1" customWidth="1"/>
    <col min="10" max="10" width="16" style="255" bestFit="1" customWidth="1"/>
    <col min="11" max="11" width="34.28515625" style="129" bestFit="1" customWidth="1"/>
    <col min="12" max="12" width="9.28515625" style="129" bestFit="1" customWidth="1"/>
    <col min="13" max="189" width="9.140625" style="129"/>
    <col min="190" max="16384" width="9.140625" style="142"/>
  </cols>
  <sheetData>
    <row r="1" spans="1:11" ht="20.25" thickBot="1">
      <c r="A1" s="1899" t="e">
        <f>+#REF!</f>
        <v>#REF!</v>
      </c>
      <c r="B1" s="1900"/>
      <c r="C1" s="1900"/>
      <c r="D1" s="1900"/>
      <c r="E1" s="1900"/>
      <c r="F1" s="1901"/>
    </row>
    <row r="2" spans="1:11" ht="25.5" thickBot="1">
      <c r="A2" s="1897" t="s">
        <v>682</v>
      </c>
      <c r="B2" s="1857"/>
      <c r="C2" s="1857"/>
      <c r="D2" s="1857"/>
      <c r="E2" s="1857"/>
      <c r="F2" s="1898"/>
      <c r="G2" s="119"/>
    </row>
    <row r="3" spans="1:11" s="129" customFormat="1" ht="19.5">
      <c r="A3" s="1276"/>
      <c r="B3" s="5"/>
      <c r="C3" s="5"/>
      <c r="D3" s="485"/>
      <c r="E3" s="486" t="s">
        <v>347</v>
      </c>
      <c r="F3" s="487">
        <f>415*2+230*2+2*F4</f>
        <v>3190</v>
      </c>
      <c r="G3" s="142"/>
      <c r="H3" s="255"/>
      <c r="I3" s="262"/>
      <c r="J3" s="255"/>
    </row>
    <row r="4" spans="1:11" s="129" customFormat="1" ht="19.5">
      <c r="A4" s="1276"/>
      <c r="B4" s="5"/>
      <c r="C4" s="5"/>
      <c r="D4" s="485"/>
      <c r="E4" s="486" t="s">
        <v>591</v>
      </c>
      <c r="F4" s="487">
        <f>950</f>
        <v>950</v>
      </c>
      <c r="G4" s="142"/>
      <c r="H4" s="255"/>
      <c r="I4" s="262"/>
      <c r="J4" s="255"/>
    </row>
    <row r="5" spans="1:11" s="129" customFormat="1" ht="19.5">
      <c r="A5" s="1276"/>
      <c r="B5" s="5"/>
      <c r="C5" s="5"/>
      <c r="D5" s="485"/>
      <c r="E5" s="486" t="s">
        <v>358</v>
      </c>
      <c r="F5" s="487">
        <v>415</v>
      </c>
      <c r="G5" s="142"/>
      <c r="H5" s="255"/>
      <c r="I5" s="262"/>
      <c r="J5" s="255"/>
      <c r="K5" s="129">
        <f>877*25/10</f>
        <v>2192.5</v>
      </c>
    </row>
    <row r="6" spans="1:11" s="129" customFormat="1" ht="19.5">
      <c r="A6" s="1276"/>
      <c r="B6" s="5"/>
      <c r="C6" s="5"/>
      <c r="D6" s="485"/>
      <c r="E6" s="486" t="s">
        <v>359</v>
      </c>
      <c r="F6" s="487">
        <v>230</v>
      </c>
      <c r="G6" s="142"/>
      <c r="H6" s="255"/>
      <c r="I6" s="262"/>
      <c r="J6" s="255"/>
    </row>
    <row r="7" spans="1:11" s="129" customFormat="1" ht="19.5">
      <c r="A7" s="1276"/>
      <c r="B7" s="5"/>
      <c r="C7" s="5"/>
      <c r="D7" s="485"/>
      <c r="E7" s="486" t="s">
        <v>360</v>
      </c>
      <c r="F7" s="487">
        <v>950</v>
      </c>
      <c r="G7" s="142"/>
      <c r="H7" s="255"/>
      <c r="I7" s="262"/>
      <c r="J7" s="255"/>
    </row>
    <row r="8" spans="1:11" s="129" customFormat="1" ht="19.5">
      <c r="A8" s="1276"/>
      <c r="B8" s="5"/>
      <c r="C8" s="5"/>
      <c r="D8" s="485"/>
      <c r="E8" s="486"/>
      <c r="F8" s="487">
        <f>SUM(F5:F7)</f>
        <v>1595</v>
      </c>
      <c r="G8" s="142"/>
      <c r="H8" s="255"/>
      <c r="I8" s="262"/>
      <c r="J8" s="255"/>
    </row>
    <row r="9" spans="1:11" s="129" customFormat="1" ht="19.5">
      <c r="A9" s="1276"/>
      <c r="B9" s="5"/>
      <c r="C9" s="5"/>
      <c r="D9" s="485"/>
      <c r="E9" s="486"/>
      <c r="F9" s="487"/>
      <c r="G9" s="142"/>
      <c r="H9" s="255"/>
      <c r="I9" s="262"/>
      <c r="J9" s="255"/>
    </row>
    <row r="10" spans="1:11" s="495" customFormat="1" ht="24.95" customHeight="1">
      <c r="A10" s="1550" t="s">
        <v>585</v>
      </c>
      <c r="B10" s="1411" t="s">
        <v>602</v>
      </c>
      <c r="C10" s="1402" t="s">
        <v>98</v>
      </c>
      <c r="D10" s="1402" t="s">
        <v>99</v>
      </c>
      <c r="E10" s="1402" t="s">
        <v>100</v>
      </c>
      <c r="F10" s="1402" t="s">
        <v>603</v>
      </c>
      <c r="G10" s="456"/>
      <c r="H10" s="493"/>
      <c r="I10" s="494"/>
      <c r="J10" s="493"/>
    </row>
    <row r="11" spans="1:11" s="495" customFormat="1" ht="24.95" customHeight="1">
      <c r="A11" s="1902" t="e">
        <f>#REF!</f>
        <v>#REF!</v>
      </c>
      <c r="B11" s="1903"/>
      <c r="C11" s="1903"/>
      <c r="D11" s="1903"/>
      <c r="E11" s="1903"/>
      <c r="F11" s="1904"/>
      <c r="G11" s="456"/>
      <c r="H11" s="493"/>
      <c r="I11" s="494"/>
      <c r="J11" s="493"/>
    </row>
    <row r="12" spans="1:11" s="495" customFormat="1" ht="30" customHeight="1">
      <c r="A12" s="689" t="e">
        <f>#REF!</f>
        <v>#REF!</v>
      </c>
      <c r="B12" s="1270" t="e">
        <f>#REF!</f>
        <v>#REF!</v>
      </c>
      <c r="C12" s="543"/>
      <c r="D12" s="543"/>
      <c r="E12" s="1492"/>
      <c r="F12" s="544"/>
      <c r="G12" s="456"/>
      <c r="H12" s="493"/>
      <c r="I12" s="494"/>
      <c r="J12" s="493"/>
    </row>
    <row r="13" spans="1:11" s="462" customFormat="1">
      <c r="A13" s="1418"/>
      <c r="B13" s="680"/>
      <c r="C13" s="546" t="e">
        <f>#REF!</f>
        <v>#REF!</v>
      </c>
      <c r="D13" s="546">
        <v>1</v>
      </c>
      <c r="E13" s="547" t="e">
        <f>J13</f>
        <v>#REF!</v>
      </c>
      <c r="F13" s="547" t="e">
        <f>+D13*E13</f>
        <v>#REF!</v>
      </c>
      <c r="H13" s="780" t="e">
        <f>+F170*0.1</f>
        <v>#REF!</v>
      </c>
      <c r="I13" s="793">
        <v>1</v>
      </c>
      <c r="J13" s="792" t="e">
        <f>H13*I13</f>
        <v>#REF!</v>
      </c>
    </row>
    <row r="14" spans="1:11" s="495" customFormat="1">
      <c r="A14" s="755" t="e">
        <f>#REF!</f>
        <v>#REF!</v>
      </c>
      <c r="B14" s="678" t="e">
        <f>#REF!</f>
        <v>#REF!</v>
      </c>
      <c r="C14" s="543"/>
      <c r="D14" s="543"/>
      <c r="E14" s="633"/>
      <c r="F14" s="633"/>
      <c r="G14" s="456"/>
      <c r="H14" s="493"/>
      <c r="I14" s="494"/>
      <c r="J14" s="493"/>
    </row>
    <row r="15" spans="1:11" s="495" customFormat="1">
      <c r="A15" s="1535"/>
      <c r="B15" s="691"/>
      <c r="C15" s="546" t="e">
        <f>#REF!</f>
        <v>#REF!</v>
      </c>
      <c r="D15" s="546">
        <v>1</v>
      </c>
      <c r="E15" s="527" t="e">
        <f>+G15</f>
        <v>#REF!</v>
      </c>
      <c r="F15" s="527" t="e">
        <f>+D15*E15</f>
        <v>#REF!</v>
      </c>
      <c r="G15" s="456" t="e">
        <f>+H13*0.08</f>
        <v>#REF!</v>
      </c>
      <c r="H15" s="493">
        <f>F5+F7+F6</f>
        <v>1595</v>
      </c>
      <c r="I15" s="494">
        <v>1.1000000000000001</v>
      </c>
      <c r="J15" s="493">
        <f>H15*I15</f>
        <v>1754.5000000000002</v>
      </c>
    </row>
    <row r="16" spans="1:11" s="495" customFormat="1" ht="18.75">
      <c r="A16" s="667"/>
      <c r="B16" s="458"/>
      <c r="C16" s="686"/>
      <c r="D16" s="635"/>
      <c r="E16" s="636" t="s">
        <v>108</v>
      </c>
      <c r="F16" s="1122" t="e">
        <f>SUM(F12:F15)</f>
        <v>#REF!</v>
      </c>
      <c r="G16" s="456"/>
      <c r="H16" s="493"/>
      <c r="I16" s="494"/>
      <c r="J16" s="493"/>
    </row>
    <row r="17" spans="1:189" s="129" customFormat="1">
      <c r="A17" s="1423"/>
      <c r="B17" s="5"/>
      <c r="C17" s="5"/>
      <c r="D17" s="490"/>
      <c r="E17" s="485"/>
      <c r="F17" s="485"/>
      <c r="G17" s="142"/>
      <c r="H17" s="255"/>
      <c r="I17" s="262"/>
      <c r="J17" s="255"/>
    </row>
    <row r="18" spans="1:189" s="495" customFormat="1" ht="24.95" customHeight="1">
      <c r="A18" s="1863" t="e">
        <f>+#REF!</f>
        <v>#REF!</v>
      </c>
      <c r="B18" s="1864"/>
      <c r="C18" s="1864"/>
      <c r="D18" s="1864"/>
      <c r="E18" s="1864"/>
      <c r="F18" s="1865"/>
      <c r="G18" s="456"/>
      <c r="H18" s="493"/>
      <c r="I18" s="494"/>
      <c r="J18" s="493"/>
    </row>
    <row r="19" spans="1:189" s="495" customFormat="1">
      <c r="A19" s="755" t="e">
        <f>#REF!</f>
        <v>#REF!</v>
      </c>
      <c r="B19" s="754" t="e">
        <f>#REF!</f>
        <v>#REF!</v>
      </c>
      <c r="C19" s="663"/>
      <c r="D19" s="633"/>
      <c r="E19" s="633"/>
      <c r="F19" s="633"/>
      <c r="G19" s="456"/>
      <c r="H19" s="493"/>
      <c r="I19" s="494"/>
      <c r="J19" s="493"/>
      <c r="N19" s="495">
        <f>1.7*3</f>
        <v>5.0999999999999996</v>
      </c>
    </row>
    <row r="20" spans="1:189" s="495" customFormat="1">
      <c r="A20" s="771"/>
      <c r="B20" s="788"/>
      <c r="C20" s="643" t="e">
        <f>#REF!</f>
        <v>#REF!</v>
      </c>
      <c r="D20" s="527">
        <v>1</v>
      </c>
      <c r="E20" s="527">
        <v>46000000</v>
      </c>
      <c r="F20" s="527">
        <f>+D20*E20</f>
        <v>46000000</v>
      </c>
      <c r="G20" s="456"/>
      <c r="H20" s="493"/>
      <c r="I20" s="494"/>
      <c r="J20" s="493"/>
    </row>
    <row r="21" spans="1:189" s="466" customFormat="1">
      <c r="A21" s="755" t="e">
        <f>#REF!</f>
        <v>#REF!</v>
      </c>
      <c r="B21" s="678" t="e">
        <f>#REF!</f>
        <v>#REF!</v>
      </c>
      <c r="C21" s="660"/>
      <c r="D21" s="660"/>
      <c r="E21" s="641"/>
      <c r="F21" s="641"/>
      <c r="H21" s="496"/>
      <c r="I21" s="497"/>
      <c r="J21" s="496"/>
      <c r="K21" s="498"/>
      <c r="L21" s="498"/>
      <c r="M21" s="498"/>
      <c r="N21" s="498"/>
      <c r="O21" s="498"/>
      <c r="P21" s="498"/>
      <c r="Q21" s="498"/>
      <c r="R21" s="498"/>
      <c r="S21" s="498"/>
      <c r="T21" s="498"/>
      <c r="U21" s="498"/>
      <c r="V21" s="498"/>
      <c r="W21" s="498"/>
      <c r="X21" s="498"/>
      <c r="Y21" s="498"/>
      <c r="Z21" s="498"/>
      <c r="AA21" s="498"/>
      <c r="AB21" s="498"/>
      <c r="AC21" s="498"/>
      <c r="AD21" s="498"/>
      <c r="AE21" s="498"/>
      <c r="AF21" s="498"/>
      <c r="AG21" s="498"/>
      <c r="AH21" s="498"/>
      <c r="AI21" s="498"/>
      <c r="AJ21" s="498"/>
      <c r="AK21" s="498"/>
      <c r="AL21" s="498"/>
      <c r="AM21" s="498"/>
      <c r="AN21" s="498"/>
      <c r="AO21" s="498"/>
      <c r="AP21" s="498"/>
      <c r="AQ21" s="498"/>
      <c r="AR21" s="498"/>
      <c r="AS21" s="498"/>
      <c r="AT21" s="498"/>
      <c r="AU21" s="498"/>
      <c r="AV21" s="498"/>
      <c r="AW21" s="498"/>
      <c r="AX21" s="498"/>
      <c r="AY21" s="498"/>
      <c r="AZ21" s="498"/>
      <c r="BA21" s="498"/>
      <c r="BB21" s="498"/>
      <c r="BC21" s="498"/>
      <c r="BD21" s="498"/>
      <c r="BE21" s="498"/>
      <c r="BF21" s="498"/>
      <c r="BG21" s="498"/>
      <c r="BH21" s="498"/>
      <c r="BI21" s="498"/>
      <c r="BJ21" s="498"/>
      <c r="BK21" s="498"/>
      <c r="BL21" s="498"/>
      <c r="BM21" s="498"/>
      <c r="BN21" s="498"/>
      <c r="BO21" s="498"/>
      <c r="BP21" s="498"/>
      <c r="BQ21" s="498"/>
      <c r="BR21" s="498"/>
      <c r="BS21" s="498"/>
      <c r="BT21" s="498"/>
      <c r="BU21" s="498"/>
      <c r="BV21" s="498"/>
      <c r="BW21" s="498"/>
      <c r="BX21" s="498"/>
      <c r="BY21" s="498"/>
      <c r="BZ21" s="498"/>
      <c r="CA21" s="498"/>
      <c r="CB21" s="498"/>
      <c r="CC21" s="498"/>
      <c r="CD21" s="498"/>
      <c r="CE21" s="498"/>
      <c r="CF21" s="498"/>
      <c r="CG21" s="498"/>
      <c r="CH21" s="498"/>
      <c r="CI21" s="498"/>
      <c r="CJ21" s="498"/>
      <c r="CK21" s="498"/>
      <c r="CL21" s="498"/>
      <c r="CM21" s="498"/>
      <c r="CN21" s="498"/>
      <c r="CO21" s="498"/>
      <c r="CP21" s="498"/>
      <c r="CQ21" s="498"/>
      <c r="CR21" s="498"/>
      <c r="CS21" s="498"/>
      <c r="CT21" s="498"/>
      <c r="CU21" s="498"/>
      <c r="CV21" s="498"/>
      <c r="CW21" s="498"/>
      <c r="CX21" s="498"/>
      <c r="CY21" s="498"/>
      <c r="CZ21" s="498"/>
      <c r="DA21" s="498"/>
      <c r="DB21" s="498"/>
      <c r="DC21" s="498"/>
      <c r="DD21" s="498"/>
      <c r="DE21" s="498"/>
      <c r="DF21" s="498"/>
      <c r="DG21" s="498"/>
      <c r="DH21" s="498"/>
      <c r="DI21" s="498"/>
      <c r="DJ21" s="498"/>
      <c r="DK21" s="498"/>
      <c r="DL21" s="498"/>
      <c r="DM21" s="498"/>
      <c r="DN21" s="498"/>
      <c r="DO21" s="498"/>
      <c r="DP21" s="498"/>
      <c r="DQ21" s="498"/>
      <c r="DR21" s="498"/>
      <c r="DS21" s="498"/>
      <c r="DT21" s="498"/>
      <c r="DU21" s="498"/>
      <c r="DV21" s="498"/>
      <c r="DW21" s="498"/>
      <c r="DX21" s="498"/>
      <c r="DY21" s="498"/>
      <c r="DZ21" s="498"/>
      <c r="EA21" s="498"/>
      <c r="EB21" s="498"/>
      <c r="EC21" s="498"/>
      <c r="ED21" s="498"/>
      <c r="EE21" s="498"/>
      <c r="EF21" s="498"/>
      <c r="EG21" s="498"/>
      <c r="EH21" s="498"/>
      <c r="EI21" s="498"/>
      <c r="EJ21" s="498"/>
      <c r="EK21" s="498"/>
      <c r="EL21" s="498"/>
      <c r="EM21" s="498"/>
      <c r="EN21" s="498"/>
      <c r="EO21" s="498"/>
      <c r="EP21" s="498"/>
      <c r="EQ21" s="498"/>
      <c r="ER21" s="498"/>
      <c r="ES21" s="498"/>
      <c r="ET21" s="498"/>
      <c r="EU21" s="498"/>
      <c r="EV21" s="498"/>
      <c r="EW21" s="498"/>
      <c r="EX21" s="498"/>
      <c r="EY21" s="498"/>
      <c r="EZ21" s="498"/>
      <c r="FA21" s="498"/>
      <c r="FB21" s="498"/>
      <c r="FC21" s="498"/>
      <c r="FD21" s="498"/>
      <c r="FE21" s="498"/>
      <c r="FF21" s="498"/>
      <c r="FG21" s="498"/>
      <c r="FH21" s="498"/>
      <c r="FI21" s="498"/>
      <c r="FJ21" s="498"/>
      <c r="FK21" s="498"/>
      <c r="FL21" s="498"/>
      <c r="FM21" s="498"/>
      <c r="FN21" s="498"/>
      <c r="FO21" s="498"/>
      <c r="FP21" s="498"/>
      <c r="FQ21" s="498"/>
      <c r="FR21" s="498"/>
      <c r="FS21" s="498"/>
      <c r="FT21" s="498"/>
      <c r="FU21" s="498"/>
      <c r="FV21" s="498"/>
      <c r="FW21" s="498"/>
      <c r="FX21" s="498"/>
      <c r="FY21" s="498"/>
      <c r="FZ21" s="498"/>
      <c r="GA21" s="498"/>
      <c r="GB21" s="498"/>
      <c r="GC21" s="498"/>
      <c r="GD21" s="498"/>
      <c r="GE21" s="498"/>
      <c r="GF21" s="498"/>
      <c r="GG21" s="498"/>
    </row>
    <row r="22" spans="1:189" s="466" customFormat="1">
      <c r="A22" s="771"/>
      <c r="B22" s="691"/>
      <c r="C22" s="546" t="e">
        <f>#REF!</f>
        <v>#REF!</v>
      </c>
      <c r="D22" s="546">
        <v>1</v>
      </c>
      <c r="E22" s="527">
        <v>112000000</v>
      </c>
      <c r="F22" s="527">
        <f>+D22*E22</f>
        <v>112000000</v>
      </c>
      <c r="H22" s="496" t="e">
        <f>+F170*0.02</f>
        <v>#REF!</v>
      </c>
      <c r="I22" s="497">
        <v>1.05</v>
      </c>
      <c r="J22" s="496" t="e">
        <f>H22*I22</f>
        <v>#REF!</v>
      </c>
      <c r="K22" s="498"/>
      <c r="L22" s="498"/>
      <c r="M22" s="498"/>
      <c r="N22" s="498"/>
      <c r="O22" s="498"/>
      <c r="P22" s="498"/>
      <c r="Q22" s="498"/>
      <c r="R22" s="498"/>
      <c r="S22" s="498"/>
      <c r="T22" s="498"/>
      <c r="U22" s="498"/>
      <c r="V22" s="498"/>
      <c r="W22" s="498"/>
      <c r="X22" s="498"/>
      <c r="Y22" s="498"/>
      <c r="Z22" s="498"/>
      <c r="AA22" s="498"/>
      <c r="AB22" s="498"/>
      <c r="AC22" s="498"/>
      <c r="AD22" s="498"/>
      <c r="AE22" s="498"/>
      <c r="AF22" s="498"/>
      <c r="AG22" s="498"/>
      <c r="AH22" s="498"/>
      <c r="AI22" s="498"/>
      <c r="AJ22" s="498"/>
      <c r="AK22" s="498"/>
      <c r="AL22" s="498"/>
      <c r="AM22" s="498"/>
      <c r="AN22" s="498"/>
      <c r="AO22" s="498"/>
      <c r="AP22" s="498"/>
      <c r="AQ22" s="498"/>
      <c r="AR22" s="498"/>
      <c r="AS22" s="498"/>
      <c r="AT22" s="498"/>
      <c r="AU22" s="498"/>
      <c r="AV22" s="498"/>
      <c r="AW22" s="498"/>
      <c r="AX22" s="498"/>
      <c r="AY22" s="498"/>
      <c r="AZ22" s="498"/>
      <c r="BA22" s="498"/>
      <c r="BB22" s="498"/>
      <c r="BC22" s="498"/>
      <c r="BD22" s="498"/>
      <c r="BE22" s="498"/>
      <c r="BF22" s="498"/>
      <c r="BG22" s="498"/>
      <c r="BH22" s="498"/>
      <c r="BI22" s="498"/>
      <c r="BJ22" s="498"/>
      <c r="BK22" s="498"/>
      <c r="BL22" s="498"/>
      <c r="BM22" s="498"/>
      <c r="BN22" s="498"/>
      <c r="BO22" s="498"/>
      <c r="BP22" s="498"/>
      <c r="BQ22" s="498"/>
      <c r="BR22" s="498"/>
      <c r="BS22" s="498"/>
      <c r="BT22" s="498"/>
      <c r="BU22" s="498"/>
      <c r="BV22" s="498"/>
      <c r="BW22" s="498"/>
      <c r="BX22" s="498"/>
      <c r="BY22" s="498"/>
      <c r="BZ22" s="498"/>
      <c r="CA22" s="498"/>
      <c r="CB22" s="498"/>
      <c r="CC22" s="498"/>
      <c r="CD22" s="498"/>
      <c r="CE22" s="498"/>
      <c r="CF22" s="498"/>
      <c r="CG22" s="498"/>
      <c r="CH22" s="498"/>
      <c r="CI22" s="498"/>
      <c r="CJ22" s="498"/>
      <c r="CK22" s="498"/>
      <c r="CL22" s="498"/>
      <c r="CM22" s="498"/>
      <c r="CN22" s="498"/>
      <c r="CO22" s="498"/>
      <c r="CP22" s="498"/>
      <c r="CQ22" s="498"/>
      <c r="CR22" s="498"/>
      <c r="CS22" s="498"/>
      <c r="CT22" s="498"/>
      <c r="CU22" s="498"/>
      <c r="CV22" s="498"/>
      <c r="CW22" s="498"/>
      <c r="CX22" s="498"/>
      <c r="CY22" s="498"/>
      <c r="CZ22" s="498"/>
      <c r="DA22" s="498"/>
      <c r="DB22" s="498"/>
      <c r="DC22" s="498"/>
      <c r="DD22" s="498"/>
      <c r="DE22" s="498"/>
      <c r="DF22" s="498"/>
      <c r="DG22" s="498"/>
      <c r="DH22" s="498"/>
      <c r="DI22" s="498"/>
      <c r="DJ22" s="498"/>
      <c r="DK22" s="498"/>
      <c r="DL22" s="498"/>
      <c r="DM22" s="498"/>
      <c r="DN22" s="498"/>
      <c r="DO22" s="498"/>
      <c r="DP22" s="498"/>
      <c r="DQ22" s="498"/>
      <c r="DR22" s="498"/>
      <c r="DS22" s="498"/>
      <c r="DT22" s="498"/>
      <c r="DU22" s="498"/>
      <c r="DV22" s="498"/>
      <c r="DW22" s="498"/>
      <c r="DX22" s="498"/>
      <c r="DY22" s="498"/>
      <c r="DZ22" s="498"/>
      <c r="EA22" s="498"/>
      <c r="EB22" s="498"/>
      <c r="EC22" s="498"/>
      <c r="ED22" s="498"/>
      <c r="EE22" s="498"/>
      <c r="EF22" s="498"/>
      <c r="EG22" s="498"/>
      <c r="EH22" s="498"/>
      <c r="EI22" s="498"/>
      <c r="EJ22" s="498"/>
      <c r="EK22" s="498"/>
      <c r="EL22" s="498"/>
      <c r="EM22" s="498"/>
      <c r="EN22" s="498"/>
      <c r="EO22" s="498"/>
      <c r="EP22" s="498"/>
      <c r="EQ22" s="498"/>
      <c r="ER22" s="498"/>
      <c r="ES22" s="498"/>
      <c r="ET22" s="498"/>
      <c r="EU22" s="498"/>
      <c r="EV22" s="498"/>
      <c r="EW22" s="498"/>
      <c r="EX22" s="498"/>
      <c r="EY22" s="498"/>
      <c r="EZ22" s="498"/>
      <c r="FA22" s="498"/>
      <c r="FB22" s="498"/>
      <c r="FC22" s="498"/>
      <c r="FD22" s="498"/>
      <c r="FE22" s="498"/>
      <c r="FF22" s="498"/>
      <c r="FG22" s="498"/>
      <c r="FH22" s="498"/>
      <c r="FI22" s="498"/>
      <c r="FJ22" s="498"/>
      <c r="FK22" s="498"/>
      <c r="FL22" s="498"/>
      <c r="FM22" s="498"/>
      <c r="FN22" s="498"/>
      <c r="FO22" s="498"/>
      <c r="FP22" s="498"/>
      <c r="FQ22" s="498"/>
      <c r="FR22" s="498"/>
      <c r="FS22" s="498"/>
      <c r="FT22" s="498"/>
      <c r="FU22" s="498"/>
      <c r="FV22" s="498"/>
      <c r="FW22" s="498"/>
      <c r="FX22" s="498"/>
      <c r="FY22" s="498"/>
      <c r="FZ22" s="498"/>
      <c r="GA22" s="498"/>
      <c r="GB22" s="498"/>
      <c r="GC22" s="498"/>
      <c r="GD22" s="498"/>
      <c r="GE22" s="498"/>
      <c r="GF22" s="498"/>
      <c r="GG22" s="498"/>
    </row>
    <row r="23" spans="1:189" s="456" customFormat="1">
      <c r="A23" s="755" t="e">
        <f>#REF!</f>
        <v>#REF!</v>
      </c>
      <c r="B23" s="678" t="e">
        <f>#REF!</f>
        <v>#REF!</v>
      </c>
      <c r="C23" s="660"/>
      <c r="D23" s="660"/>
      <c r="E23" s="641"/>
      <c r="F23" s="641"/>
      <c r="H23" s="493"/>
      <c r="I23" s="494"/>
      <c r="J23" s="493"/>
      <c r="K23" s="495"/>
      <c r="L23" s="495"/>
      <c r="M23" s="495"/>
      <c r="N23" s="495"/>
      <c r="O23" s="495"/>
      <c r="P23" s="495"/>
      <c r="Q23" s="495"/>
      <c r="R23" s="495"/>
      <c r="S23" s="495"/>
      <c r="T23" s="495"/>
      <c r="U23" s="495"/>
      <c r="V23" s="495"/>
      <c r="W23" s="495"/>
      <c r="X23" s="495"/>
      <c r="Y23" s="495"/>
      <c r="Z23" s="495"/>
      <c r="AA23" s="495"/>
      <c r="AB23" s="495"/>
      <c r="AC23" s="495"/>
      <c r="AD23" s="495"/>
      <c r="AE23" s="495"/>
      <c r="AF23" s="495"/>
      <c r="AG23" s="495"/>
      <c r="AH23" s="495"/>
      <c r="AI23" s="495"/>
      <c r="AJ23" s="495"/>
      <c r="AK23" s="495"/>
      <c r="AL23" s="495"/>
      <c r="AM23" s="495"/>
      <c r="AN23" s="495"/>
      <c r="AO23" s="495"/>
      <c r="AP23" s="495"/>
      <c r="AQ23" s="495"/>
      <c r="AR23" s="495"/>
      <c r="AS23" s="495"/>
      <c r="AT23" s="495"/>
      <c r="AU23" s="495"/>
      <c r="AV23" s="495"/>
      <c r="AW23" s="495"/>
      <c r="AX23" s="495"/>
      <c r="AY23" s="495"/>
      <c r="AZ23" s="495"/>
      <c r="BA23" s="495"/>
      <c r="BB23" s="495"/>
      <c r="BC23" s="495"/>
      <c r="BD23" s="495"/>
      <c r="BE23" s="495"/>
      <c r="BF23" s="495"/>
      <c r="BG23" s="495"/>
      <c r="BH23" s="495"/>
      <c r="BI23" s="495"/>
      <c r="BJ23" s="495"/>
      <c r="BK23" s="495"/>
      <c r="BL23" s="495"/>
      <c r="BM23" s="495"/>
      <c r="BN23" s="495"/>
      <c r="BO23" s="495"/>
      <c r="BP23" s="495"/>
      <c r="BQ23" s="495"/>
      <c r="BR23" s="495"/>
      <c r="BS23" s="495"/>
      <c r="BT23" s="495"/>
      <c r="BU23" s="495"/>
      <c r="BV23" s="495"/>
      <c r="BW23" s="495"/>
      <c r="BX23" s="495"/>
      <c r="BY23" s="495"/>
      <c r="BZ23" s="495"/>
      <c r="CA23" s="495"/>
      <c r="CB23" s="495"/>
      <c r="CC23" s="495"/>
      <c r="CD23" s="495"/>
      <c r="CE23" s="495"/>
      <c r="CF23" s="495"/>
      <c r="CG23" s="495"/>
      <c r="CH23" s="495"/>
      <c r="CI23" s="495"/>
      <c r="CJ23" s="495"/>
      <c r="CK23" s="495"/>
      <c r="CL23" s="495"/>
      <c r="CM23" s="495"/>
      <c r="CN23" s="495"/>
      <c r="CO23" s="495"/>
      <c r="CP23" s="495"/>
      <c r="CQ23" s="495"/>
      <c r="CR23" s="495"/>
      <c r="CS23" s="495"/>
      <c r="CT23" s="495"/>
      <c r="CU23" s="495"/>
      <c r="CV23" s="495"/>
      <c r="CW23" s="495"/>
      <c r="CX23" s="495"/>
      <c r="CY23" s="495"/>
      <c r="CZ23" s="495"/>
      <c r="DA23" s="495"/>
      <c r="DB23" s="495"/>
      <c r="DC23" s="495"/>
      <c r="DD23" s="495"/>
      <c r="DE23" s="495"/>
      <c r="DF23" s="495"/>
      <c r="DG23" s="495"/>
      <c r="DH23" s="495"/>
      <c r="DI23" s="495"/>
      <c r="DJ23" s="495"/>
      <c r="DK23" s="495"/>
      <c r="DL23" s="495"/>
      <c r="DM23" s="495"/>
      <c r="DN23" s="495"/>
      <c r="DO23" s="495"/>
      <c r="DP23" s="495"/>
      <c r="DQ23" s="495"/>
      <c r="DR23" s="495"/>
      <c r="DS23" s="495"/>
      <c r="DT23" s="495"/>
      <c r="DU23" s="495"/>
      <c r="DV23" s="495"/>
      <c r="DW23" s="495"/>
      <c r="DX23" s="495"/>
      <c r="DY23" s="495"/>
      <c r="DZ23" s="495"/>
      <c r="EA23" s="495"/>
      <c r="EB23" s="495"/>
      <c r="EC23" s="495"/>
      <c r="ED23" s="495"/>
      <c r="EE23" s="495"/>
      <c r="EF23" s="495"/>
      <c r="EG23" s="495"/>
      <c r="EH23" s="495"/>
      <c r="EI23" s="495"/>
      <c r="EJ23" s="495"/>
      <c r="EK23" s="495"/>
      <c r="EL23" s="495"/>
      <c r="EM23" s="495"/>
      <c r="EN23" s="495"/>
      <c r="EO23" s="495"/>
      <c r="EP23" s="495"/>
      <c r="EQ23" s="495"/>
      <c r="ER23" s="495"/>
      <c r="ES23" s="495"/>
      <c r="ET23" s="495"/>
      <c r="EU23" s="495"/>
      <c r="EV23" s="495"/>
      <c r="EW23" s="495"/>
      <c r="EX23" s="495"/>
      <c r="EY23" s="495"/>
      <c r="EZ23" s="495"/>
      <c r="FA23" s="495"/>
      <c r="FB23" s="495"/>
      <c r="FC23" s="495"/>
      <c r="FD23" s="495"/>
      <c r="FE23" s="495"/>
      <c r="FF23" s="495"/>
      <c r="FG23" s="495"/>
      <c r="FH23" s="495"/>
      <c r="FI23" s="495"/>
      <c r="FJ23" s="495"/>
      <c r="FK23" s="495"/>
      <c r="FL23" s="495"/>
      <c r="FM23" s="495"/>
      <c r="FN23" s="495"/>
      <c r="FO23" s="495"/>
      <c r="FP23" s="495"/>
      <c r="FQ23" s="495"/>
      <c r="FR23" s="495"/>
      <c r="FS23" s="495"/>
      <c r="FT23" s="495"/>
      <c r="FU23" s="495"/>
      <c r="FV23" s="495"/>
      <c r="FW23" s="495"/>
      <c r="FX23" s="495"/>
      <c r="FY23" s="495"/>
      <c r="FZ23" s="495"/>
      <c r="GA23" s="495"/>
      <c r="GB23" s="495"/>
      <c r="GC23" s="495"/>
      <c r="GD23" s="495"/>
      <c r="GE23" s="495"/>
      <c r="GF23" s="495"/>
      <c r="GG23" s="495"/>
    </row>
    <row r="24" spans="1:189" s="456" customFormat="1">
      <c r="A24" s="771"/>
      <c r="B24" s="691"/>
      <c r="C24" s="546" t="e">
        <f>#REF!</f>
        <v>#REF!</v>
      </c>
      <c r="D24" s="546">
        <v>1</v>
      </c>
      <c r="E24" s="527">
        <v>58000000</v>
      </c>
      <c r="F24" s="527">
        <f>+D24*E24</f>
        <v>58000000</v>
      </c>
      <c r="H24" s="493">
        <f>H15/50</f>
        <v>31.9</v>
      </c>
      <c r="I24" s="497">
        <v>1.05</v>
      </c>
      <c r="J24" s="496">
        <f>H24*I24</f>
        <v>33.494999999999997</v>
      </c>
      <c r="K24" s="495"/>
      <c r="L24" s="495"/>
      <c r="M24" s="495"/>
      <c r="N24" s="495"/>
      <c r="O24" s="495"/>
      <c r="P24" s="495"/>
      <c r="Q24" s="495"/>
      <c r="R24" s="495"/>
      <c r="S24" s="495"/>
      <c r="T24" s="495"/>
      <c r="U24" s="495"/>
      <c r="V24" s="495"/>
      <c r="W24" s="495"/>
      <c r="X24" s="495"/>
      <c r="Y24" s="495"/>
      <c r="Z24" s="495"/>
      <c r="AA24" s="495"/>
      <c r="AB24" s="495"/>
      <c r="AC24" s="495"/>
      <c r="AD24" s="495"/>
      <c r="AE24" s="495"/>
      <c r="AF24" s="495"/>
      <c r="AG24" s="495"/>
      <c r="AH24" s="495"/>
      <c r="AI24" s="495"/>
      <c r="AJ24" s="495"/>
      <c r="AK24" s="495"/>
      <c r="AL24" s="495"/>
      <c r="AM24" s="495"/>
      <c r="AN24" s="495"/>
      <c r="AO24" s="495"/>
      <c r="AP24" s="495"/>
      <c r="AQ24" s="495"/>
      <c r="AR24" s="495"/>
      <c r="AS24" s="495"/>
      <c r="AT24" s="495"/>
      <c r="AU24" s="495"/>
      <c r="AV24" s="495"/>
      <c r="AW24" s="495"/>
      <c r="AX24" s="495"/>
      <c r="AY24" s="495"/>
      <c r="AZ24" s="495"/>
      <c r="BA24" s="495"/>
      <c r="BB24" s="495"/>
      <c r="BC24" s="495"/>
      <c r="BD24" s="495"/>
      <c r="BE24" s="495"/>
      <c r="BF24" s="495"/>
      <c r="BG24" s="495"/>
      <c r="BH24" s="495"/>
      <c r="BI24" s="495"/>
      <c r="BJ24" s="495"/>
      <c r="BK24" s="495"/>
      <c r="BL24" s="495"/>
      <c r="BM24" s="495"/>
      <c r="BN24" s="495"/>
      <c r="BO24" s="495"/>
      <c r="BP24" s="495"/>
      <c r="BQ24" s="495"/>
      <c r="BR24" s="495"/>
      <c r="BS24" s="495"/>
      <c r="BT24" s="495"/>
      <c r="BU24" s="495"/>
      <c r="BV24" s="495"/>
      <c r="BW24" s="495"/>
      <c r="BX24" s="495"/>
      <c r="BY24" s="495"/>
      <c r="BZ24" s="495"/>
      <c r="CA24" s="495"/>
      <c r="CB24" s="495"/>
      <c r="CC24" s="495"/>
      <c r="CD24" s="495"/>
      <c r="CE24" s="495"/>
      <c r="CF24" s="495"/>
      <c r="CG24" s="495"/>
      <c r="CH24" s="495"/>
      <c r="CI24" s="495"/>
      <c r="CJ24" s="495"/>
      <c r="CK24" s="495"/>
      <c r="CL24" s="495"/>
      <c r="CM24" s="495"/>
      <c r="CN24" s="495"/>
      <c r="CO24" s="495"/>
      <c r="CP24" s="495"/>
      <c r="CQ24" s="495"/>
      <c r="CR24" s="495"/>
      <c r="CS24" s="495"/>
      <c r="CT24" s="495"/>
      <c r="CU24" s="495"/>
      <c r="CV24" s="495"/>
      <c r="CW24" s="495"/>
      <c r="CX24" s="495"/>
      <c r="CY24" s="495"/>
      <c r="CZ24" s="495"/>
      <c r="DA24" s="495"/>
      <c r="DB24" s="495"/>
      <c r="DC24" s="495"/>
      <c r="DD24" s="495"/>
      <c r="DE24" s="495"/>
      <c r="DF24" s="495"/>
      <c r="DG24" s="495"/>
      <c r="DH24" s="495"/>
      <c r="DI24" s="495"/>
      <c r="DJ24" s="495"/>
      <c r="DK24" s="495"/>
      <c r="DL24" s="495"/>
      <c r="DM24" s="495"/>
      <c r="DN24" s="495"/>
      <c r="DO24" s="495"/>
      <c r="DP24" s="495"/>
      <c r="DQ24" s="495"/>
      <c r="DR24" s="495"/>
      <c r="DS24" s="495"/>
      <c r="DT24" s="495"/>
      <c r="DU24" s="495"/>
      <c r="DV24" s="495"/>
      <c r="DW24" s="495"/>
      <c r="DX24" s="495"/>
      <c r="DY24" s="495"/>
      <c r="DZ24" s="495"/>
      <c r="EA24" s="495"/>
      <c r="EB24" s="495"/>
      <c r="EC24" s="495"/>
      <c r="ED24" s="495"/>
      <c r="EE24" s="495"/>
      <c r="EF24" s="495"/>
      <c r="EG24" s="495"/>
      <c r="EH24" s="495"/>
      <c r="EI24" s="495"/>
      <c r="EJ24" s="495"/>
      <c r="EK24" s="495"/>
      <c r="EL24" s="495"/>
      <c r="EM24" s="495"/>
      <c r="EN24" s="495"/>
      <c r="EO24" s="495"/>
      <c r="EP24" s="495"/>
      <c r="EQ24" s="495"/>
      <c r="ER24" s="495"/>
      <c r="ES24" s="495"/>
      <c r="ET24" s="495"/>
      <c r="EU24" s="495"/>
      <c r="EV24" s="495"/>
      <c r="EW24" s="495"/>
      <c r="EX24" s="495"/>
      <c r="EY24" s="495"/>
      <c r="EZ24" s="495"/>
      <c r="FA24" s="495"/>
      <c r="FB24" s="495"/>
      <c r="FC24" s="495"/>
      <c r="FD24" s="495"/>
      <c r="FE24" s="495"/>
      <c r="FF24" s="495"/>
      <c r="FG24" s="495"/>
      <c r="FH24" s="495"/>
      <c r="FI24" s="495"/>
      <c r="FJ24" s="495"/>
      <c r="FK24" s="495"/>
      <c r="FL24" s="495"/>
      <c r="FM24" s="495"/>
      <c r="FN24" s="495"/>
      <c r="FO24" s="495"/>
      <c r="FP24" s="495"/>
      <c r="FQ24" s="495"/>
      <c r="FR24" s="495"/>
      <c r="FS24" s="495"/>
      <c r="FT24" s="495"/>
      <c r="FU24" s="495"/>
      <c r="FV24" s="495"/>
      <c r="FW24" s="495"/>
      <c r="FX24" s="495"/>
      <c r="FY24" s="495"/>
      <c r="FZ24" s="495"/>
      <c r="GA24" s="495"/>
      <c r="GB24" s="495"/>
      <c r="GC24" s="495"/>
      <c r="GD24" s="495"/>
      <c r="GE24" s="495"/>
      <c r="GF24" s="495"/>
      <c r="GG24" s="495"/>
    </row>
    <row r="25" spans="1:189" s="456" customFormat="1">
      <c r="A25" s="755" t="e">
        <f>#REF!</f>
        <v>#REF!</v>
      </c>
      <c r="B25" s="678" t="e">
        <f>#REF!</f>
        <v>#REF!</v>
      </c>
      <c r="C25" s="660"/>
      <c r="D25" s="660"/>
      <c r="E25" s="641"/>
      <c r="F25" s="641">
        <f>+D25*E25</f>
        <v>0</v>
      </c>
      <c r="H25" s="493">
        <f>H15/25</f>
        <v>63.8</v>
      </c>
      <c r="I25" s="497">
        <v>1.05</v>
      </c>
      <c r="J25" s="496">
        <f>H25*I25</f>
        <v>66.989999999999995</v>
      </c>
      <c r="K25" s="495"/>
      <c r="L25" s="495"/>
      <c r="M25" s="495"/>
      <c r="N25" s="495"/>
      <c r="O25" s="495"/>
      <c r="P25" s="495"/>
      <c r="Q25" s="495"/>
      <c r="R25" s="495"/>
      <c r="S25" s="495"/>
      <c r="T25" s="495"/>
      <c r="U25" s="495"/>
      <c r="V25" s="495"/>
      <c r="W25" s="495"/>
      <c r="X25" s="495"/>
      <c r="Y25" s="495"/>
      <c r="Z25" s="495"/>
      <c r="AA25" s="495"/>
      <c r="AB25" s="495"/>
      <c r="AC25" s="495"/>
      <c r="AD25" s="495"/>
      <c r="AE25" s="495"/>
      <c r="AF25" s="495"/>
      <c r="AG25" s="495"/>
      <c r="AH25" s="495"/>
      <c r="AI25" s="495"/>
      <c r="AJ25" s="495"/>
      <c r="AK25" s="495"/>
      <c r="AL25" s="495"/>
      <c r="AM25" s="495"/>
      <c r="AN25" s="495"/>
      <c r="AO25" s="495"/>
      <c r="AP25" s="495"/>
      <c r="AQ25" s="495"/>
      <c r="AR25" s="495"/>
      <c r="AS25" s="495"/>
      <c r="AT25" s="495"/>
      <c r="AU25" s="495"/>
      <c r="AV25" s="495"/>
      <c r="AW25" s="495"/>
      <c r="AX25" s="495"/>
      <c r="AY25" s="495"/>
      <c r="AZ25" s="495"/>
      <c r="BA25" s="495"/>
      <c r="BB25" s="495"/>
      <c r="BC25" s="495"/>
      <c r="BD25" s="495"/>
      <c r="BE25" s="495"/>
      <c r="BF25" s="495"/>
      <c r="BG25" s="495"/>
      <c r="BH25" s="495"/>
      <c r="BI25" s="495"/>
      <c r="BJ25" s="495"/>
      <c r="BK25" s="495"/>
      <c r="BL25" s="495"/>
      <c r="BM25" s="495"/>
      <c r="BN25" s="495"/>
      <c r="BO25" s="495"/>
      <c r="BP25" s="495"/>
      <c r="BQ25" s="495"/>
      <c r="BR25" s="495"/>
      <c r="BS25" s="495"/>
      <c r="BT25" s="495"/>
      <c r="BU25" s="495"/>
      <c r="BV25" s="495"/>
      <c r="BW25" s="495"/>
      <c r="BX25" s="495"/>
      <c r="BY25" s="495"/>
      <c r="BZ25" s="495"/>
      <c r="CA25" s="495"/>
      <c r="CB25" s="495"/>
      <c r="CC25" s="495"/>
      <c r="CD25" s="495"/>
      <c r="CE25" s="495"/>
      <c r="CF25" s="495"/>
      <c r="CG25" s="495"/>
      <c r="CH25" s="495"/>
      <c r="CI25" s="495"/>
      <c r="CJ25" s="495"/>
      <c r="CK25" s="495"/>
      <c r="CL25" s="495"/>
      <c r="CM25" s="495"/>
      <c r="CN25" s="495"/>
      <c r="CO25" s="495"/>
      <c r="CP25" s="495"/>
      <c r="CQ25" s="495"/>
      <c r="CR25" s="495"/>
      <c r="CS25" s="495"/>
      <c r="CT25" s="495"/>
      <c r="CU25" s="495"/>
      <c r="CV25" s="495"/>
      <c r="CW25" s="495"/>
      <c r="CX25" s="495"/>
      <c r="CY25" s="495"/>
      <c r="CZ25" s="495"/>
      <c r="DA25" s="495"/>
      <c r="DB25" s="495"/>
      <c r="DC25" s="495"/>
      <c r="DD25" s="495"/>
      <c r="DE25" s="495"/>
      <c r="DF25" s="495"/>
      <c r="DG25" s="495"/>
      <c r="DH25" s="495"/>
      <c r="DI25" s="495"/>
      <c r="DJ25" s="495"/>
      <c r="DK25" s="495"/>
      <c r="DL25" s="495"/>
      <c r="DM25" s="495"/>
      <c r="DN25" s="495"/>
      <c r="DO25" s="495"/>
      <c r="DP25" s="495"/>
      <c r="DQ25" s="495"/>
      <c r="DR25" s="495"/>
      <c r="DS25" s="495"/>
      <c r="DT25" s="495"/>
      <c r="DU25" s="495"/>
      <c r="DV25" s="495"/>
      <c r="DW25" s="495"/>
      <c r="DX25" s="495"/>
      <c r="DY25" s="495"/>
      <c r="DZ25" s="495"/>
      <c r="EA25" s="495"/>
      <c r="EB25" s="495"/>
      <c r="EC25" s="495"/>
      <c r="ED25" s="495"/>
      <c r="EE25" s="495"/>
      <c r="EF25" s="495"/>
      <c r="EG25" s="495"/>
      <c r="EH25" s="495"/>
      <c r="EI25" s="495"/>
      <c r="EJ25" s="495"/>
      <c r="EK25" s="495"/>
      <c r="EL25" s="495"/>
      <c r="EM25" s="495"/>
      <c r="EN25" s="495"/>
      <c r="EO25" s="495"/>
      <c r="EP25" s="495"/>
      <c r="EQ25" s="495"/>
      <c r="ER25" s="495"/>
      <c r="ES25" s="495"/>
      <c r="ET25" s="495"/>
      <c r="EU25" s="495"/>
      <c r="EV25" s="495"/>
      <c r="EW25" s="495"/>
      <c r="EX25" s="495"/>
      <c r="EY25" s="495"/>
      <c r="EZ25" s="495"/>
      <c r="FA25" s="495"/>
      <c r="FB25" s="495"/>
      <c r="FC25" s="495"/>
      <c r="FD25" s="495"/>
      <c r="FE25" s="495"/>
      <c r="FF25" s="495"/>
      <c r="FG25" s="495"/>
      <c r="FH25" s="495"/>
      <c r="FI25" s="495"/>
      <c r="FJ25" s="495"/>
      <c r="FK25" s="495"/>
      <c r="FL25" s="495"/>
      <c r="FM25" s="495"/>
      <c r="FN25" s="495"/>
      <c r="FO25" s="495"/>
      <c r="FP25" s="495"/>
      <c r="FQ25" s="495"/>
      <c r="FR25" s="495"/>
      <c r="FS25" s="495"/>
      <c r="FT25" s="495"/>
      <c r="FU25" s="495"/>
      <c r="FV25" s="495"/>
      <c r="FW25" s="495"/>
      <c r="FX25" s="495"/>
      <c r="FY25" s="495"/>
      <c r="FZ25" s="495"/>
      <c r="GA25" s="495"/>
      <c r="GB25" s="495"/>
      <c r="GC25" s="495"/>
      <c r="GD25" s="495"/>
      <c r="GE25" s="495"/>
      <c r="GF25" s="495"/>
      <c r="GG25" s="495"/>
    </row>
    <row r="26" spans="1:189" s="456" customFormat="1">
      <c r="A26" s="771"/>
      <c r="B26" s="691"/>
      <c r="C26" s="546" t="e">
        <f>#REF!</f>
        <v>#REF!</v>
      </c>
      <c r="D26" s="546">
        <v>1</v>
      </c>
      <c r="E26" s="527"/>
      <c r="F26" s="527">
        <f>+D26*E26</f>
        <v>0</v>
      </c>
      <c r="H26" s="493">
        <v>20</v>
      </c>
      <c r="I26" s="497">
        <v>1.05</v>
      </c>
      <c r="J26" s="496">
        <f>H26*I26</f>
        <v>21</v>
      </c>
      <c r="K26" s="495"/>
      <c r="L26" s="495"/>
      <c r="M26" s="495"/>
      <c r="N26" s="495"/>
      <c r="O26" s="495"/>
      <c r="P26" s="495"/>
      <c r="Q26" s="495"/>
      <c r="R26" s="495"/>
      <c r="S26" s="495"/>
      <c r="T26" s="495"/>
      <c r="U26" s="495"/>
      <c r="V26" s="495"/>
      <c r="W26" s="495"/>
      <c r="X26" s="495"/>
      <c r="Y26" s="495"/>
      <c r="Z26" s="495"/>
      <c r="AA26" s="495"/>
      <c r="AB26" s="495"/>
      <c r="AC26" s="495"/>
      <c r="AD26" s="495"/>
      <c r="AE26" s="495"/>
      <c r="AF26" s="495"/>
      <c r="AG26" s="495"/>
      <c r="AH26" s="495"/>
      <c r="AI26" s="495"/>
      <c r="AJ26" s="495"/>
      <c r="AK26" s="495"/>
      <c r="AL26" s="495"/>
      <c r="AM26" s="495"/>
      <c r="AN26" s="495"/>
      <c r="AO26" s="495"/>
      <c r="AP26" s="495"/>
      <c r="AQ26" s="495"/>
      <c r="AR26" s="495"/>
      <c r="AS26" s="495"/>
      <c r="AT26" s="495"/>
      <c r="AU26" s="495"/>
      <c r="AV26" s="495"/>
      <c r="AW26" s="495"/>
      <c r="AX26" s="495"/>
      <c r="AY26" s="495"/>
      <c r="AZ26" s="495"/>
      <c r="BA26" s="495"/>
      <c r="BB26" s="495"/>
      <c r="BC26" s="495"/>
      <c r="BD26" s="495"/>
      <c r="BE26" s="495"/>
      <c r="BF26" s="495"/>
      <c r="BG26" s="495"/>
      <c r="BH26" s="495"/>
      <c r="BI26" s="495"/>
      <c r="BJ26" s="495"/>
      <c r="BK26" s="495"/>
      <c r="BL26" s="495"/>
      <c r="BM26" s="495"/>
      <c r="BN26" s="495"/>
      <c r="BO26" s="495"/>
      <c r="BP26" s="495"/>
      <c r="BQ26" s="495"/>
      <c r="BR26" s="495"/>
      <c r="BS26" s="495"/>
      <c r="BT26" s="495"/>
      <c r="BU26" s="495"/>
      <c r="BV26" s="495"/>
      <c r="BW26" s="495"/>
      <c r="BX26" s="495"/>
      <c r="BY26" s="495"/>
      <c r="BZ26" s="495"/>
      <c r="CA26" s="495"/>
      <c r="CB26" s="495"/>
      <c r="CC26" s="495"/>
      <c r="CD26" s="495"/>
      <c r="CE26" s="495"/>
      <c r="CF26" s="495"/>
      <c r="CG26" s="495"/>
      <c r="CH26" s="495"/>
      <c r="CI26" s="495"/>
      <c r="CJ26" s="495"/>
      <c r="CK26" s="495"/>
      <c r="CL26" s="495"/>
      <c r="CM26" s="495"/>
      <c r="CN26" s="495"/>
      <c r="CO26" s="495"/>
      <c r="CP26" s="495"/>
      <c r="CQ26" s="495"/>
      <c r="CR26" s="495"/>
      <c r="CS26" s="495"/>
      <c r="CT26" s="495"/>
      <c r="CU26" s="495"/>
      <c r="CV26" s="495"/>
      <c r="CW26" s="495"/>
      <c r="CX26" s="495"/>
      <c r="CY26" s="495"/>
      <c r="CZ26" s="495"/>
      <c r="DA26" s="495"/>
      <c r="DB26" s="495"/>
      <c r="DC26" s="495"/>
      <c r="DD26" s="495"/>
      <c r="DE26" s="495"/>
      <c r="DF26" s="495"/>
      <c r="DG26" s="495"/>
      <c r="DH26" s="495"/>
      <c r="DI26" s="495"/>
      <c r="DJ26" s="495"/>
      <c r="DK26" s="495"/>
      <c r="DL26" s="495"/>
      <c r="DM26" s="495"/>
      <c r="DN26" s="495"/>
      <c r="DO26" s="495"/>
      <c r="DP26" s="495"/>
      <c r="DQ26" s="495"/>
      <c r="DR26" s="495"/>
      <c r="DS26" s="495"/>
      <c r="DT26" s="495"/>
      <c r="DU26" s="495"/>
      <c r="DV26" s="495"/>
      <c r="DW26" s="495"/>
      <c r="DX26" s="495"/>
      <c r="DY26" s="495"/>
      <c r="DZ26" s="495"/>
      <c r="EA26" s="495"/>
      <c r="EB26" s="495"/>
      <c r="EC26" s="495"/>
      <c r="ED26" s="495"/>
      <c r="EE26" s="495"/>
      <c r="EF26" s="495"/>
      <c r="EG26" s="495"/>
      <c r="EH26" s="495"/>
      <c r="EI26" s="495"/>
      <c r="EJ26" s="495"/>
      <c r="EK26" s="495"/>
      <c r="EL26" s="495"/>
      <c r="EM26" s="495"/>
      <c r="EN26" s="495"/>
      <c r="EO26" s="495"/>
      <c r="EP26" s="495"/>
      <c r="EQ26" s="495"/>
      <c r="ER26" s="495"/>
      <c r="ES26" s="495"/>
      <c r="ET26" s="495"/>
      <c r="EU26" s="495"/>
      <c r="EV26" s="495"/>
      <c r="EW26" s="495"/>
      <c r="EX26" s="495"/>
      <c r="EY26" s="495"/>
      <c r="EZ26" s="495"/>
      <c r="FA26" s="495"/>
      <c r="FB26" s="495"/>
      <c r="FC26" s="495"/>
      <c r="FD26" s="495"/>
      <c r="FE26" s="495"/>
      <c r="FF26" s="495"/>
      <c r="FG26" s="495"/>
      <c r="FH26" s="495"/>
      <c r="FI26" s="495"/>
      <c r="FJ26" s="495"/>
      <c r="FK26" s="495"/>
      <c r="FL26" s="495"/>
      <c r="FM26" s="495"/>
      <c r="FN26" s="495"/>
      <c r="FO26" s="495"/>
      <c r="FP26" s="495"/>
      <c r="FQ26" s="495"/>
      <c r="FR26" s="495"/>
      <c r="FS26" s="495"/>
      <c r="FT26" s="495"/>
      <c r="FU26" s="495"/>
      <c r="FV26" s="495"/>
      <c r="FW26" s="495"/>
      <c r="FX26" s="495"/>
      <c r="FY26" s="495"/>
      <c r="FZ26" s="495"/>
      <c r="GA26" s="495"/>
      <c r="GB26" s="495"/>
      <c r="GC26" s="495"/>
      <c r="GD26" s="495"/>
      <c r="GE26" s="495"/>
      <c r="GF26" s="495"/>
      <c r="GG26" s="495"/>
    </row>
    <row r="27" spans="1:189" s="456" customFormat="1">
      <c r="A27" s="755" t="e">
        <f>#REF!</f>
        <v>#REF!</v>
      </c>
      <c r="B27" s="678" t="e">
        <f>#REF!</f>
        <v>#REF!</v>
      </c>
      <c r="C27" s="660"/>
      <c r="D27" s="660"/>
      <c r="E27" s="641"/>
      <c r="F27" s="641"/>
      <c r="H27" s="493"/>
      <c r="I27" s="494"/>
      <c r="J27" s="493"/>
      <c r="K27" s="495"/>
      <c r="L27" s="495"/>
      <c r="M27" s="495"/>
      <c r="N27" s="495"/>
      <c r="O27" s="495"/>
      <c r="P27" s="495"/>
      <c r="Q27" s="495"/>
      <c r="R27" s="495"/>
      <c r="S27" s="495"/>
      <c r="T27" s="495"/>
      <c r="U27" s="495"/>
      <c r="V27" s="495"/>
      <c r="W27" s="495"/>
      <c r="X27" s="495"/>
      <c r="Y27" s="495"/>
      <c r="Z27" s="495"/>
      <c r="AA27" s="495"/>
      <c r="AB27" s="495"/>
      <c r="AC27" s="495"/>
      <c r="AD27" s="495"/>
      <c r="AE27" s="495"/>
      <c r="AF27" s="495"/>
      <c r="AG27" s="495"/>
      <c r="AH27" s="495"/>
      <c r="AI27" s="495"/>
      <c r="AJ27" s="495"/>
      <c r="AK27" s="495"/>
      <c r="AL27" s="495"/>
      <c r="AM27" s="495"/>
      <c r="AN27" s="495"/>
      <c r="AO27" s="495"/>
      <c r="AP27" s="495"/>
      <c r="AQ27" s="495"/>
      <c r="AR27" s="495"/>
      <c r="AS27" s="495"/>
      <c r="AT27" s="495"/>
      <c r="AU27" s="495"/>
      <c r="AV27" s="495"/>
      <c r="AW27" s="495"/>
      <c r="AX27" s="495"/>
      <c r="AY27" s="495"/>
      <c r="AZ27" s="495"/>
      <c r="BA27" s="495"/>
      <c r="BB27" s="495"/>
      <c r="BC27" s="495"/>
      <c r="BD27" s="495"/>
      <c r="BE27" s="495"/>
      <c r="BF27" s="495"/>
      <c r="BG27" s="495"/>
      <c r="BH27" s="495"/>
      <c r="BI27" s="495"/>
      <c r="BJ27" s="495"/>
      <c r="BK27" s="495"/>
      <c r="BL27" s="495"/>
      <c r="BM27" s="495"/>
      <c r="BN27" s="495"/>
      <c r="BO27" s="495"/>
      <c r="BP27" s="495"/>
      <c r="BQ27" s="495"/>
      <c r="BR27" s="495"/>
      <c r="BS27" s="495"/>
      <c r="BT27" s="495"/>
      <c r="BU27" s="495"/>
      <c r="BV27" s="495"/>
      <c r="BW27" s="495"/>
      <c r="BX27" s="495"/>
      <c r="BY27" s="495"/>
      <c r="BZ27" s="495"/>
      <c r="CA27" s="495"/>
      <c r="CB27" s="495"/>
      <c r="CC27" s="495"/>
      <c r="CD27" s="495"/>
      <c r="CE27" s="495"/>
      <c r="CF27" s="495"/>
      <c r="CG27" s="495"/>
      <c r="CH27" s="495"/>
      <c r="CI27" s="495"/>
      <c r="CJ27" s="495"/>
      <c r="CK27" s="495"/>
      <c r="CL27" s="495"/>
      <c r="CM27" s="495"/>
      <c r="CN27" s="495"/>
      <c r="CO27" s="495"/>
      <c r="CP27" s="495"/>
      <c r="CQ27" s="495"/>
      <c r="CR27" s="495"/>
      <c r="CS27" s="495"/>
      <c r="CT27" s="495"/>
      <c r="CU27" s="495"/>
      <c r="CV27" s="495"/>
      <c r="CW27" s="495"/>
      <c r="CX27" s="495"/>
      <c r="CY27" s="495"/>
      <c r="CZ27" s="495"/>
      <c r="DA27" s="495"/>
      <c r="DB27" s="495"/>
      <c r="DC27" s="495"/>
      <c r="DD27" s="495"/>
      <c r="DE27" s="495"/>
      <c r="DF27" s="495"/>
      <c r="DG27" s="495"/>
      <c r="DH27" s="495"/>
      <c r="DI27" s="495"/>
      <c r="DJ27" s="495"/>
      <c r="DK27" s="495"/>
      <c r="DL27" s="495"/>
      <c r="DM27" s="495"/>
      <c r="DN27" s="495"/>
      <c r="DO27" s="495"/>
      <c r="DP27" s="495"/>
      <c r="DQ27" s="495"/>
      <c r="DR27" s="495"/>
      <c r="DS27" s="495"/>
      <c r="DT27" s="495"/>
      <c r="DU27" s="495"/>
      <c r="DV27" s="495"/>
      <c r="DW27" s="495"/>
      <c r="DX27" s="495"/>
      <c r="DY27" s="495"/>
      <c r="DZ27" s="495"/>
      <c r="EA27" s="495"/>
      <c r="EB27" s="495"/>
      <c r="EC27" s="495"/>
      <c r="ED27" s="495"/>
      <c r="EE27" s="495"/>
      <c r="EF27" s="495"/>
      <c r="EG27" s="495"/>
      <c r="EH27" s="495"/>
      <c r="EI27" s="495"/>
      <c r="EJ27" s="495"/>
      <c r="EK27" s="495"/>
      <c r="EL27" s="495"/>
      <c r="EM27" s="495"/>
      <c r="EN27" s="495"/>
      <c r="EO27" s="495"/>
      <c r="EP27" s="495"/>
      <c r="EQ27" s="495"/>
      <c r="ER27" s="495"/>
      <c r="ES27" s="495"/>
      <c r="ET27" s="495"/>
      <c r="EU27" s="495"/>
      <c r="EV27" s="495"/>
      <c r="EW27" s="495"/>
      <c r="EX27" s="495"/>
      <c r="EY27" s="495"/>
      <c r="EZ27" s="495"/>
      <c r="FA27" s="495"/>
      <c r="FB27" s="495"/>
      <c r="FC27" s="495"/>
      <c r="FD27" s="495"/>
      <c r="FE27" s="495"/>
      <c r="FF27" s="495"/>
      <c r="FG27" s="495"/>
      <c r="FH27" s="495"/>
      <c r="FI27" s="495"/>
      <c r="FJ27" s="495"/>
      <c r="FK27" s="495"/>
      <c r="FL27" s="495"/>
      <c r="FM27" s="495"/>
      <c r="FN27" s="495"/>
      <c r="FO27" s="495"/>
      <c r="FP27" s="495"/>
      <c r="FQ27" s="495"/>
      <c r="FR27" s="495"/>
      <c r="FS27" s="495"/>
      <c r="FT27" s="495"/>
      <c r="FU27" s="495"/>
      <c r="FV27" s="495"/>
      <c r="FW27" s="495"/>
      <c r="FX27" s="495"/>
      <c r="FY27" s="495"/>
      <c r="FZ27" s="495"/>
      <c r="GA27" s="495"/>
      <c r="GB27" s="495"/>
      <c r="GC27" s="495"/>
      <c r="GD27" s="495"/>
      <c r="GE27" s="495"/>
      <c r="GF27" s="495"/>
      <c r="GG27" s="495"/>
    </row>
    <row r="28" spans="1:189" s="456" customFormat="1">
      <c r="A28" s="771"/>
      <c r="B28" s="691"/>
      <c r="C28" s="546" t="e">
        <f>#REF!</f>
        <v>#REF!</v>
      </c>
      <c r="D28" s="1275">
        <v>0.2</v>
      </c>
      <c r="E28" s="527">
        <f>SUM(E20:E26)</f>
        <v>216000000</v>
      </c>
      <c r="F28" s="527">
        <f>+D28*E28</f>
        <v>43200000</v>
      </c>
      <c r="H28" s="493">
        <f>20%*H15</f>
        <v>319</v>
      </c>
      <c r="I28" s="497">
        <v>1.05</v>
      </c>
      <c r="J28" s="496">
        <f>H28*I28</f>
        <v>334.95</v>
      </c>
      <c r="K28" s="495"/>
      <c r="L28" s="495"/>
      <c r="M28" s="495"/>
      <c r="N28" s="495"/>
      <c r="O28" s="495"/>
      <c r="P28" s="495"/>
      <c r="Q28" s="495"/>
      <c r="R28" s="495"/>
      <c r="S28" s="495"/>
      <c r="T28" s="495"/>
      <c r="U28" s="495"/>
      <c r="V28" s="495"/>
      <c r="W28" s="495"/>
      <c r="X28" s="495"/>
      <c r="Y28" s="495"/>
      <c r="Z28" s="495"/>
      <c r="AA28" s="495"/>
      <c r="AB28" s="495"/>
      <c r="AC28" s="495"/>
      <c r="AD28" s="495"/>
      <c r="AE28" s="495"/>
      <c r="AF28" s="495"/>
      <c r="AG28" s="495"/>
      <c r="AH28" s="495"/>
      <c r="AI28" s="495"/>
      <c r="AJ28" s="495"/>
      <c r="AK28" s="495"/>
      <c r="AL28" s="495"/>
      <c r="AM28" s="495"/>
      <c r="AN28" s="495"/>
      <c r="AO28" s="495"/>
      <c r="AP28" s="495"/>
      <c r="AQ28" s="495"/>
      <c r="AR28" s="495"/>
      <c r="AS28" s="495"/>
      <c r="AT28" s="495"/>
      <c r="AU28" s="495"/>
      <c r="AV28" s="495"/>
      <c r="AW28" s="495"/>
      <c r="AX28" s="495"/>
      <c r="AY28" s="495"/>
      <c r="AZ28" s="495"/>
      <c r="BA28" s="495"/>
      <c r="BB28" s="495"/>
      <c r="BC28" s="495"/>
      <c r="BD28" s="495"/>
      <c r="BE28" s="495"/>
      <c r="BF28" s="495"/>
      <c r="BG28" s="495"/>
      <c r="BH28" s="495"/>
      <c r="BI28" s="495"/>
      <c r="BJ28" s="495"/>
      <c r="BK28" s="495"/>
      <c r="BL28" s="495"/>
      <c r="BM28" s="495"/>
      <c r="BN28" s="495"/>
      <c r="BO28" s="495"/>
      <c r="BP28" s="495"/>
      <c r="BQ28" s="495"/>
      <c r="BR28" s="495"/>
      <c r="BS28" s="495"/>
      <c r="BT28" s="495"/>
      <c r="BU28" s="495"/>
      <c r="BV28" s="495"/>
      <c r="BW28" s="495"/>
      <c r="BX28" s="495"/>
      <c r="BY28" s="495"/>
      <c r="BZ28" s="495"/>
      <c r="CA28" s="495"/>
      <c r="CB28" s="495"/>
      <c r="CC28" s="495"/>
      <c r="CD28" s="495"/>
      <c r="CE28" s="495"/>
      <c r="CF28" s="495"/>
      <c r="CG28" s="495"/>
      <c r="CH28" s="495"/>
      <c r="CI28" s="495"/>
      <c r="CJ28" s="495"/>
      <c r="CK28" s="495"/>
      <c r="CL28" s="495"/>
      <c r="CM28" s="495"/>
      <c r="CN28" s="495"/>
      <c r="CO28" s="495"/>
      <c r="CP28" s="495"/>
      <c r="CQ28" s="495"/>
      <c r="CR28" s="495"/>
      <c r="CS28" s="495"/>
      <c r="CT28" s="495"/>
      <c r="CU28" s="495"/>
      <c r="CV28" s="495"/>
      <c r="CW28" s="495"/>
      <c r="CX28" s="495"/>
      <c r="CY28" s="495"/>
      <c r="CZ28" s="495"/>
      <c r="DA28" s="495"/>
      <c r="DB28" s="495"/>
      <c r="DC28" s="495"/>
      <c r="DD28" s="495"/>
      <c r="DE28" s="495"/>
      <c r="DF28" s="495"/>
      <c r="DG28" s="495"/>
      <c r="DH28" s="495"/>
      <c r="DI28" s="495"/>
      <c r="DJ28" s="495"/>
      <c r="DK28" s="495"/>
      <c r="DL28" s="495"/>
      <c r="DM28" s="495"/>
      <c r="DN28" s="495"/>
      <c r="DO28" s="495"/>
      <c r="DP28" s="495"/>
      <c r="DQ28" s="495"/>
      <c r="DR28" s="495"/>
      <c r="DS28" s="495"/>
      <c r="DT28" s="495"/>
      <c r="DU28" s="495"/>
      <c r="DV28" s="495"/>
      <c r="DW28" s="495"/>
      <c r="DX28" s="495"/>
      <c r="DY28" s="495"/>
      <c r="DZ28" s="495"/>
      <c r="EA28" s="495"/>
      <c r="EB28" s="495"/>
      <c r="EC28" s="495"/>
      <c r="ED28" s="495"/>
      <c r="EE28" s="495"/>
      <c r="EF28" s="495"/>
      <c r="EG28" s="495"/>
      <c r="EH28" s="495"/>
      <c r="EI28" s="495"/>
      <c r="EJ28" s="495"/>
      <c r="EK28" s="495"/>
      <c r="EL28" s="495"/>
      <c r="EM28" s="495"/>
      <c r="EN28" s="495"/>
      <c r="EO28" s="495"/>
      <c r="EP28" s="495"/>
      <c r="EQ28" s="495"/>
      <c r="ER28" s="495"/>
      <c r="ES28" s="495"/>
      <c r="ET28" s="495"/>
      <c r="EU28" s="495"/>
      <c r="EV28" s="495"/>
      <c r="EW28" s="495"/>
      <c r="EX28" s="495"/>
      <c r="EY28" s="495"/>
      <c r="EZ28" s="495"/>
      <c r="FA28" s="495"/>
      <c r="FB28" s="495"/>
      <c r="FC28" s="495"/>
      <c r="FD28" s="495"/>
      <c r="FE28" s="495"/>
      <c r="FF28" s="495"/>
      <c r="FG28" s="495"/>
      <c r="FH28" s="495"/>
      <c r="FI28" s="495"/>
      <c r="FJ28" s="495"/>
      <c r="FK28" s="495"/>
      <c r="FL28" s="495"/>
      <c r="FM28" s="495"/>
      <c r="FN28" s="495"/>
      <c r="FO28" s="495"/>
      <c r="FP28" s="495"/>
      <c r="FQ28" s="495"/>
      <c r="FR28" s="495"/>
      <c r="FS28" s="495"/>
      <c r="FT28" s="495"/>
      <c r="FU28" s="495"/>
      <c r="FV28" s="495"/>
      <c r="FW28" s="495"/>
      <c r="FX28" s="495"/>
      <c r="FY28" s="495"/>
      <c r="FZ28" s="495"/>
      <c r="GA28" s="495"/>
      <c r="GB28" s="495"/>
      <c r="GC28" s="495"/>
      <c r="GD28" s="495"/>
      <c r="GE28" s="495"/>
      <c r="GF28" s="495"/>
      <c r="GG28" s="495"/>
    </row>
    <row r="29" spans="1:189" s="456" customFormat="1">
      <c r="A29" s="689" t="e">
        <f>#REF!</f>
        <v>#REF!</v>
      </c>
      <c r="B29" s="752" t="e">
        <f>#REF!</f>
        <v>#REF!</v>
      </c>
      <c r="C29" s="660"/>
      <c r="D29" s="660"/>
      <c r="E29" s="633"/>
      <c r="F29" s="633"/>
      <c r="H29" s="493"/>
      <c r="I29" s="494"/>
      <c r="J29" s="493"/>
      <c r="K29" s="495"/>
      <c r="L29" s="495"/>
      <c r="M29" s="495"/>
      <c r="N29" s="495"/>
      <c r="O29" s="495"/>
      <c r="P29" s="495"/>
      <c r="Q29" s="495"/>
      <c r="R29" s="495"/>
      <c r="S29" s="495"/>
      <c r="T29" s="495"/>
      <c r="U29" s="495"/>
      <c r="V29" s="495"/>
      <c r="W29" s="495"/>
      <c r="X29" s="495"/>
      <c r="Y29" s="495"/>
      <c r="Z29" s="495"/>
      <c r="AA29" s="495"/>
      <c r="AB29" s="495"/>
      <c r="AC29" s="495"/>
      <c r="AD29" s="495"/>
      <c r="AE29" s="495"/>
      <c r="AF29" s="495"/>
      <c r="AG29" s="495"/>
      <c r="AH29" s="495"/>
      <c r="AI29" s="495"/>
      <c r="AJ29" s="495"/>
      <c r="AK29" s="495"/>
      <c r="AL29" s="495"/>
      <c r="AM29" s="495"/>
      <c r="AN29" s="495"/>
      <c r="AO29" s="495"/>
      <c r="AP29" s="495"/>
      <c r="AQ29" s="495"/>
      <c r="AR29" s="495"/>
      <c r="AS29" s="495"/>
      <c r="AT29" s="495"/>
      <c r="AU29" s="495"/>
      <c r="AV29" s="495"/>
      <c r="AW29" s="495"/>
      <c r="AX29" s="495"/>
      <c r="AY29" s="495"/>
      <c r="AZ29" s="495"/>
      <c r="BA29" s="495"/>
      <c r="BB29" s="495"/>
      <c r="BC29" s="495"/>
      <c r="BD29" s="495"/>
      <c r="BE29" s="495"/>
      <c r="BF29" s="495"/>
      <c r="BG29" s="495"/>
      <c r="BH29" s="495"/>
      <c r="BI29" s="495"/>
      <c r="BJ29" s="495"/>
      <c r="BK29" s="495"/>
      <c r="BL29" s="495"/>
      <c r="BM29" s="495"/>
      <c r="BN29" s="495"/>
      <c r="BO29" s="495"/>
      <c r="BP29" s="495"/>
      <c r="BQ29" s="495"/>
      <c r="BR29" s="495"/>
      <c r="BS29" s="495"/>
      <c r="BT29" s="495"/>
      <c r="BU29" s="495"/>
      <c r="BV29" s="495"/>
      <c r="BW29" s="495"/>
      <c r="BX29" s="495"/>
      <c r="BY29" s="495"/>
      <c r="BZ29" s="495"/>
      <c r="CA29" s="495"/>
      <c r="CB29" s="495"/>
      <c r="CC29" s="495"/>
      <c r="CD29" s="495"/>
      <c r="CE29" s="495"/>
      <c r="CF29" s="495"/>
      <c r="CG29" s="495"/>
      <c r="CH29" s="495"/>
      <c r="CI29" s="495"/>
      <c r="CJ29" s="495"/>
      <c r="CK29" s="495"/>
      <c r="CL29" s="495"/>
      <c r="CM29" s="495"/>
      <c r="CN29" s="495"/>
      <c r="CO29" s="495"/>
      <c r="CP29" s="495"/>
      <c r="CQ29" s="495"/>
      <c r="CR29" s="495"/>
      <c r="CS29" s="495"/>
      <c r="CT29" s="495"/>
      <c r="CU29" s="495"/>
      <c r="CV29" s="495"/>
      <c r="CW29" s="495"/>
      <c r="CX29" s="495"/>
      <c r="CY29" s="495"/>
      <c r="CZ29" s="495"/>
      <c r="DA29" s="495"/>
      <c r="DB29" s="495"/>
      <c r="DC29" s="495"/>
      <c r="DD29" s="495"/>
      <c r="DE29" s="495"/>
      <c r="DF29" s="495"/>
      <c r="DG29" s="495"/>
      <c r="DH29" s="495"/>
      <c r="DI29" s="495"/>
      <c r="DJ29" s="495"/>
      <c r="DK29" s="495"/>
      <c r="DL29" s="495"/>
      <c r="DM29" s="495"/>
      <c r="DN29" s="495"/>
      <c r="DO29" s="495"/>
      <c r="DP29" s="495"/>
      <c r="DQ29" s="495"/>
      <c r="DR29" s="495"/>
      <c r="DS29" s="495"/>
      <c r="DT29" s="495"/>
      <c r="DU29" s="495"/>
      <c r="DV29" s="495"/>
      <c r="DW29" s="495"/>
      <c r="DX29" s="495"/>
      <c r="DY29" s="495"/>
      <c r="DZ29" s="495"/>
      <c r="EA29" s="495"/>
      <c r="EB29" s="495"/>
      <c r="EC29" s="495"/>
      <c r="ED29" s="495"/>
      <c r="EE29" s="495"/>
      <c r="EF29" s="495"/>
      <c r="EG29" s="495"/>
      <c r="EH29" s="495"/>
      <c r="EI29" s="495"/>
      <c r="EJ29" s="495"/>
      <c r="EK29" s="495"/>
      <c r="EL29" s="495"/>
      <c r="EM29" s="495"/>
      <c r="EN29" s="495"/>
      <c r="EO29" s="495"/>
      <c r="EP29" s="495"/>
      <c r="EQ29" s="495"/>
      <c r="ER29" s="495"/>
      <c r="ES29" s="495"/>
      <c r="ET29" s="495"/>
      <c r="EU29" s="495"/>
      <c r="EV29" s="495"/>
      <c r="EW29" s="495"/>
      <c r="EX29" s="495"/>
      <c r="EY29" s="495"/>
      <c r="EZ29" s="495"/>
      <c r="FA29" s="495"/>
      <c r="FB29" s="495"/>
      <c r="FC29" s="495"/>
      <c r="FD29" s="495"/>
      <c r="FE29" s="495"/>
      <c r="FF29" s="495"/>
      <c r="FG29" s="495"/>
      <c r="FH29" s="495"/>
      <c r="FI29" s="495"/>
      <c r="FJ29" s="495"/>
      <c r="FK29" s="495"/>
      <c r="FL29" s="495"/>
      <c r="FM29" s="495"/>
      <c r="FN29" s="495"/>
      <c r="FO29" s="495"/>
      <c r="FP29" s="495"/>
      <c r="FQ29" s="495"/>
      <c r="FR29" s="495"/>
      <c r="FS29" s="495"/>
      <c r="FT29" s="495"/>
      <c r="FU29" s="495"/>
      <c r="FV29" s="495"/>
      <c r="FW29" s="495"/>
      <c r="FX29" s="495"/>
      <c r="FY29" s="495"/>
      <c r="FZ29" s="495"/>
      <c r="GA29" s="495"/>
      <c r="GB29" s="495"/>
      <c r="GC29" s="495"/>
      <c r="GD29" s="495"/>
      <c r="GE29" s="495"/>
      <c r="GF29" s="495"/>
      <c r="GG29" s="495"/>
    </row>
    <row r="30" spans="1:189" s="456" customFormat="1">
      <c r="A30" s="771"/>
      <c r="B30" s="708"/>
      <c r="C30" s="660" t="e">
        <f>#REF!</f>
        <v>#REF!</v>
      </c>
      <c r="D30" s="660">
        <v>29</v>
      </c>
      <c r="E30" s="633" t="e">
        <f>+#REF!</f>
        <v>#REF!</v>
      </c>
      <c r="F30" s="633" t="e">
        <f>+D30*E30</f>
        <v>#REF!</v>
      </c>
      <c r="H30" s="493"/>
      <c r="I30" s="494"/>
      <c r="J30" s="493"/>
      <c r="K30" s="495"/>
      <c r="L30" s="495"/>
      <c r="M30" s="495"/>
      <c r="N30" s="495"/>
      <c r="O30" s="495"/>
      <c r="P30" s="495"/>
      <c r="Q30" s="495"/>
      <c r="R30" s="495"/>
      <c r="S30" s="495"/>
      <c r="T30" s="495"/>
      <c r="U30" s="495"/>
      <c r="V30" s="495"/>
      <c r="W30" s="495"/>
      <c r="X30" s="495"/>
      <c r="Y30" s="495"/>
      <c r="Z30" s="495"/>
      <c r="AA30" s="495"/>
      <c r="AB30" s="495"/>
      <c r="AC30" s="495"/>
      <c r="AD30" s="495"/>
      <c r="AE30" s="495"/>
      <c r="AF30" s="495"/>
      <c r="AG30" s="495"/>
      <c r="AH30" s="495"/>
      <c r="AI30" s="495"/>
      <c r="AJ30" s="495"/>
      <c r="AK30" s="495"/>
      <c r="AL30" s="495"/>
      <c r="AM30" s="495"/>
      <c r="AN30" s="495"/>
      <c r="AO30" s="495"/>
      <c r="AP30" s="495"/>
      <c r="AQ30" s="495"/>
      <c r="AR30" s="495"/>
      <c r="AS30" s="495"/>
      <c r="AT30" s="495"/>
      <c r="AU30" s="495"/>
      <c r="AV30" s="495"/>
      <c r="AW30" s="495"/>
      <c r="AX30" s="495"/>
      <c r="AY30" s="495"/>
      <c r="AZ30" s="495"/>
      <c r="BA30" s="495"/>
      <c r="BB30" s="495"/>
      <c r="BC30" s="495"/>
      <c r="BD30" s="495"/>
      <c r="BE30" s="495"/>
      <c r="BF30" s="495"/>
      <c r="BG30" s="495"/>
      <c r="BH30" s="495"/>
      <c r="BI30" s="495"/>
      <c r="BJ30" s="495"/>
      <c r="BK30" s="495"/>
      <c r="BL30" s="495"/>
      <c r="BM30" s="495"/>
      <c r="BN30" s="495"/>
      <c r="BO30" s="495"/>
      <c r="BP30" s="495"/>
      <c r="BQ30" s="495"/>
      <c r="BR30" s="495"/>
      <c r="BS30" s="495"/>
      <c r="BT30" s="495"/>
      <c r="BU30" s="495"/>
      <c r="BV30" s="495"/>
      <c r="BW30" s="495"/>
      <c r="BX30" s="495"/>
      <c r="BY30" s="495"/>
      <c r="BZ30" s="495"/>
      <c r="CA30" s="495"/>
      <c r="CB30" s="495"/>
      <c r="CC30" s="495"/>
      <c r="CD30" s="495"/>
      <c r="CE30" s="495"/>
      <c r="CF30" s="495"/>
      <c r="CG30" s="495"/>
      <c r="CH30" s="495"/>
      <c r="CI30" s="495"/>
      <c r="CJ30" s="495"/>
      <c r="CK30" s="495"/>
      <c r="CL30" s="495"/>
      <c r="CM30" s="495"/>
      <c r="CN30" s="495"/>
      <c r="CO30" s="495"/>
      <c r="CP30" s="495"/>
      <c r="CQ30" s="495"/>
      <c r="CR30" s="495"/>
      <c r="CS30" s="495"/>
      <c r="CT30" s="495"/>
      <c r="CU30" s="495"/>
      <c r="CV30" s="495"/>
      <c r="CW30" s="495"/>
      <c r="CX30" s="495"/>
      <c r="CY30" s="495"/>
      <c r="CZ30" s="495"/>
      <c r="DA30" s="495"/>
      <c r="DB30" s="495"/>
      <c r="DC30" s="495"/>
      <c r="DD30" s="495"/>
      <c r="DE30" s="495"/>
      <c r="DF30" s="495"/>
      <c r="DG30" s="495"/>
      <c r="DH30" s="495"/>
      <c r="DI30" s="495"/>
      <c r="DJ30" s="495"/>
      <c r="DK30" s="495"/>
      <c r="DL30" s="495"/>
      <c r="DM30" s="495"/>
      <c r="DN30" s="495"/>
      <c r="DO30" s="495"/>
      <c r="DP30" s="495"/>
      <c r="DQ30" s="495"/>
      <c r="DR30" s="495"/>
      <c r="DS30" s="495"/>
      <c r="DT30" s="495"/>
      <c r="DU30" s="495"/>
      <c r="DV30" s="495"/>
      <c r="DW30" s="495"/>
      <c r="DX30" s="495"/>
      <c r="DY30" s="495"/>
      <c r="DZ30" s="495"/>
      <c r="EA30" s="495"/>
      <c r="EB30" s="495"/>
      <c r="EC30" s="495"/>
      <c r="ED30" s="495"/>
      <c r="EE30" s="495"/>
      <c r="EF30" s="495"/>
      <c r="EG30" s="495"/>
      <c r="EH30" s="495"/>
      <c r="EI30" s="495"/>
      <c r="EJ30" s="495"/>
      <c r="EK30" s="495"/>
      <c r="EL30" s="495"/>
      <c r="EM30" s="495"/>
      <c r="EN30" s="495"/>
      <c r="EO30" s="495"/>
      <c r="EP30" s="495"/>
      <c r="EQ30" s="495"/>
      <c r="ER30" s="495"/>
      <c r="ES30" s="495"/>
      <c r="ET30" s="495"/>
      <c r="EU30" s="495"/>
      <c r="EV30" s="495"/>
      <c r="EW30" s="495"/>
      <c r="EX30" s="495"/>
      <c r="EY30" s="495"/>
      <c r="EZ30" s="495"/>
      <c r="FA30" s="495"/>
      <c r="FB30" s="495"/>
      <c r="FC30" s="495"/>
      <c r="FD30" s="495"/>
      <c r="FE30" s="495"/>
      <c r="FF30" s="495"/>
      <c r="FG30" s="495"/>
      <c r="FH30" s="495"/>
      <c r="FI30" s="495"/>
      <c r="FJ30" s="495"/>
      <c r="FK30" s="495"/>
      <c r="FL30" s="495"/>
      <c r="FM30" s="495"/>
      <c r="FN30" s="495"/>
      <c r="FO30" s="495"/>
      <c r="FP30" s="495"/>
      <c r="FQ30" s="495"/>
      <c r="FR30" s="495"/>
      <c r="FS30" s="495"/>
      <c r="FT30" s="495"/>
      <c r="FU30" s="495"/>
      <c r="FV30" s="495"/>
      <c r="FW30" s="495"/>
      <c r="FX30" s="495"/>
      <c r="FY30" s="495"/>
      <c r="FZ30" s="495"/>
      <c r="GA30" s="495"/>
      <c r="GB30" s="495"/>
      <c r="GC30" s="495"/>
      <c r="GD30" s="495"/>
      <c r="GE30" s="495"/>
      <c r="GF30" s="495"/>
      <c r="GG30" s="495"/>
    </row>
    <row r="31" spans="1:189" s="456" customFormat="1">
      <c r="A31" s="755" t="e">
        <f>#REF!</f>
        <v>#REF!</v>
      </c>
      <c r="B31" s="678" t="e">
        <f>#REF!</f>
        <v>#REF!</v>
      </c>
      <c r="C31" s="543"/>
      <c r="D31" s="548"/>
      <c r="E31" s="641"/>
      <c r="F31" s="641"/>
      <c r="H31" s="493"/>
      <c r="I31" s="494"/>
      <c r="J31" s="493"/>
      <c r="K31" s="495"/>
      <c r="L31" s="495"/>
      <c r="M31" s="495"/>
      <c r="N31" s="495"/>
      <c r="O31" s="495"/>
      <c r="P31" s="495"/>
      <c r="Q31" s="495"/>
      <c r="R31" s="495"/>
      <c r="S31" s="495"/>
      <c r="T31" s="495"/>
      <c r="U31" s="495"/>
      <c r="V31" s="495"/>
      <c r="W31" s="495"/>
      <c r="X31" s="495"/>
      <c r="Y31" s="495"/>
      <c r="Z31" s="495"/>
      <c r="AA31" s="495"/>
      <c r="AB31" s="495"/>
      <c r="AC31" s="495"/>
      <c r="AD31" s="495"/>
      <c r="AE31" s="495"/>
      <c r="AF31" s="495"/>
      <c r="AG31" s="495"/>
      <c r="AH31" s="495"/>
      <c r="AI31" s="495"/>
      <c r="AJ31" s="495"/>
      <c r="AK31" s="495"/>
      <c r="AL31" s="495"/>
      <c r="AM31" s="495"/>
      <c r="AN31" s="495"/>
      <c r="AO31" s="495"/>
      <c r="AP31" s="495"/>
      <c r="AQ31" s="495"/>
      <c r="AR31" s="495"/>
      <c r="AS31" s="495"/>
      <c r="AT31" s="495"/>
      <c r="AU31" s="495"/>
      <c r="AV31" s="495"/>
      <c r="AW31" s="495"/>
      <c r="AX31" s="495"/>
      <c r="AY31" s="495"/>
      <c r="AZ31" s="495"/>
      <c r="BA31" s="495"/>
      <c r="BB31" s="495"/>
      <c r="BC31" s="495"/>
      <c r="BD31" s="495"/>
      <c r="BE31" s="495"/>
      <c r="BF31" s="495"/>
      <c r="BG31" s="495"/>
      <c r="BH31" s="495"/>
      <c r="BI31" s="495"/>
      <c r="BJ31" s="495"/>
      <c r="BK31" s="495"/>
      <c r="BL31" s="495"/>
      <c r="BM31" s="495"/>
      <c r="BN31" s="495"/>
      <c r="BO31" s="495"/>
      <c r="BP31" s="495"/>
      <c r="BQ31" s="495"/>
      <c r="BR31" s="495"/>
      <c r="BS31" s="495"/>
      <c r="BT31" s="495"/>
      <c r="BU31" s="495"/>
      <c r="BV31" s="495"/>
      <c r="BW31" s="495"/>
      <c r="BX31" s="495"/>
      <c r="BY31" s="495"/>
      <c r="BZ31" s="495"/>
      <c r="CA31" s="495"/>
      <c r="CB31" s="495"/>
      <c r="CC31" s="495"/>
      <c r="CD31" s="495"/>
      <c r="CE31" s="495"/>
      <c r="CF31" s="495"/>
      <c r="CG31" s="495"/>
      <c r="CH31" s="495"/>
      <c r="CI31" s="495"/>
      <c r="CJ31" s="495"/>
      <c r="CK31" s="495"/>
      <c r="CL31" s="495"/>
      <c r="CM31" s="495"/>
      <c r="CN31" s="495"/>
      <c r="CO31" s="495"/>
      <c r="CP31" s="495"/>
      <c r="CQ31" s="495"/>
      <c r="CR31" s="495"/>
      <c r="CS31" s="495"/>
      <c r="CT31" s="495"/>
      <c r="CU31" s="495"/>
      <c r="CV31" s="495"/>
      <c r="CW31" s="495"/>
      <c r="CX31" s="495"/>
      <c r="CY31" s="495"/>
      <c r="CZ31" s="495"/>
      <c r="DA31" s="495"/>
      <c r="DB31" s="495"/>
      <c r="DC31" s="495"/>
      <c r="DD31" s="495"/>
      <c r="DE31" s="495"/>
      <c r="DF31" s="495"/>
      <c r="DG31" s="495"/>
      <c r="DH31" s="495"/>
      <c r="DI31" s="495"/>
      <c r="DJ31" s="495"/>
      <c r="DK31" s="495"/>
      <c r="DL31" s="495"/>
      <c r="DM31" s="495"/>
      <c r="DN31" s="495"/>
      <c r="DO31" s="495"/>
      <c r="DP31" s="495"/>
      <c r="DQ31" s="495"/>
      <c r="DR31" s="495"/>
      <c r="DS31" s="495"/>
      <c r="DT31" s="495"/>
      <c r="DU31" s="495"/>
      <c r="DV31" s="495"/>
      <c r="DW31" s="495"/>
      <c r="DX31" s="495"/>
      <c r="DY31" s="495"/>
      <c r="DZ31" s="495"/>
      <c r="EA31" s="495"/>
      <c r="EB31" s="495"/>
      <c r="EC31" s="495"/>
      <c r="ED31" s="495"/>
      <c r="EE31" s="495"/>
      <c r="EF31" s="495"/>
      <c r="EG31" s="495"/>
      <c r="EH31" s="495"/>
      <c r="EI31" s="495"/>
      <c r="EJ31" s="495"/>
      <c r="EK31" s="495"/>
      <c r="EL31" s="495"/>
      <c r="EM31" s="495"/>
      <c r="EN31" s="495"/>
      <c r="EO31" s="495"/>
      <c r="EP31" s="495"/>
      <c r="EQ31" s="495"/>
      <c r="ER31" s="495"/>
      <c r="ES31" s="495"/>
      <c r="ET31" s="495"/>
      <c r="EU31" s="495"/>
      <c r="EV31" s="495"/>
      <c r="EW31" s="495"/>
      <c r="EX31" s="495"/>
      <c r="EY31" s="495"/>
      <c r="EZ31" s="495"/>
      <c r="FA31" s="495"/>
      <c r="FB31" s="495"/>
      <c r="FC31" s="495"/>
      <c r="FD31" s="495"/>
      <c r="FE31" s="495"/>
      <c r="FF31" s="495"/>
      <c r="FG31" s="495"/>
      <c r="FH31" s="495"/>
      <c r="FI31" s="495"/>
      <c r="FJ31" s="495"/>
      <c r="FK31" s="495"/>
      <c r="FL31" s="495"/>
      <c r="FM31" s="495"/>
      <c r="FN31" s="495"/>
      <c r="FO31" s="495"/>
      <c r="FP31" s="495"/>
      <c r="FQ31" s="495"/>
      <c r="FR31" s="495"/>
      <c r="FS31" s="495"/>
      <c r="FT31" s="495"/>
      <c r="FU31" s="495"/>
      <c r="FV31" s="495"/>
      <c r="FW31" s="495"/>
      <c r="FX31" s="495"/>
      <c r="FY31" s="495"/>
      <c r="FZ31" s="495"/>
      <c r="GA31" s="495"/>
      <c r="GB31" s="495"/>
      <c r="GC31" s="495"/>
      <c r="GD31" s="495"/>
      <c r="GE31" s="495"/>
      <c r="GF31" s="495"/>
      <c r="GG31" s="495"/>
    </row>
    <row r="32" spans="1:189" s="456" customFormat="1">
      <c r="A32" s="771"/>
      <c r="B32" s="753"/>
      <c r="C32" s="714" t="e">
        <f>#REF!</f>
        <v>#REF!</v>
      </c>
      <c r="D32" s="546">
        <f>2*F4*1.1</f>
        <v>2090</v>
      </c>
      <c r="E32" s="527" t="e">
        <f>+#REF!</f>
        <v>#REF!</v>
      </c>
      <c r="F32" s="527" t="e">
        <f>+D32*E32</f>
        <v>#REF!</v>
      </c>
      <c r="H32" s="493"/>
      <c r="I32" s="494"/>
      <c r="J32" s="493"/>
      <c r="K32" s="495"/>
      <c r="L32" s="495"/>
      <c r="M32" s="495"/>
      <c r="N32" s="495"/>
      <c r="O32" s="495"/>
      <c r="P32" s="495"/>
      <c r="Q32" s="495"/>
      <c r="R32" s="495"/>
      <c r="S32" s="495"/>
      <c r="T32" s="495"/>
      <c r="U32" s="495"/>
      <c r="V32" s="495"/>
      <c r="W32" s="495"/>
      <c r="X32" s="495"/>
      <c r="Y32" s="495"/>
      <c r="Z32" s="495"/>
      <c r="AA32" s="495"/>
      <c r="AB32" s="495"/>
      <c r="AC32" s="495"/>
      <c r="AD32" s="495"/>
      <c r="AE32" s="495"/>
      <c r="AF32" s="495"/>
      <c r="AG32" s="495"/>
      <c r="AH32" s="495"/>
      <c r="AI32" s="495"/>
      <c r="AJ32" s="495"/>
      <c r="AK32" s="495"/>
      <c r="AL32" s="495"/>
      <c r="AM32" s="495"/>
      <c r="AN32" s="495"/>
      <c r="AO32" s="495"/>
      <c r="AP32" s="495"/>
      <c r="AQ32" s="495"/>
      <c r="AR32" s="495"/>
      <c r="AS32" s="495"/>
      <c r="AT32" s="495"/>
      <c r="AU32" s="495"/>
      <c r="AV32" s="495"/>
      <c r="AW32" s="495"/>
      <c r="AX32" s="495"/>
      <c r="AY32" s="495"/>
      <c r="AZ32" s="495"/>
      <c r="BA32" s="495"/>
      <c r="BB32" s="495"/>
      <c r="BC32" s="495"/>
      <c r="BD32" s="495"/>
      <c r="BE32" s="495"/>
      <c r="BF32" s="495"/>
      <c r="BG32" s="495"/>
      <c r="BH32" s="495"/>
      <c r="BI32" s="495"/>
      <c r="BJ32" s="495"/>
      <c r="BK32" s="495"/>
      <c r="BL32" s="495"/>
      <c r="BM32" s="495"/>
      <c r="BN32" s="495"/>
      <c r="BO32" s="495"/>
      <c r="BP32" s="495"/>
      <c r="BQ32" s="495"/>
      <c r="BR32" s="495"/>
      <c r="BS32" s="495"/>
      <c r="BT32" s="495"/>
      <c r="BU32" s="495"/>
      <c r="BV32" s="495"/>
      <c r="BW32" s="495"/>
      <c r="BX32" s="495"/>
      <c r="BY32" s="495"/>
      <c r="BZ32" s="495"/>
      <c r="CA32" s="495"/>
      <c r="CB32" s="495"/>
      <c r="CC32" s="495"/>
      <c r="CD32" s="495"/>
      <c r="CE32" s="495"/>
      <c r="CF32" s="495"/>
      <c r="CG32" s="495"/>
      <c r="CH32" s="495"/>
      <c r="CI32" s="495"/>
      <c r="CJ32" s="495"/>
      <c r="CK32" s="495"/>
      <c r="CL32" s="495"/>
      <c r="CM32" s="495"/>
      <c r="CN32" s="495"/>
      <c r="CO32" s="495"/>
      <c r="CP32" s="495"/>
      <c r="CQ32" s="495"/>
      <c r="CR32" s="495"/>
      <c r="CS32" s="495"/>
      <c r="CT32" s="495"/>
      <c r="CU32" s="495"/>
      <c r="CV32" s="495"/>
      <c r="CW32" s="495"/>
      <c r="CX32" s="495"/>
      <c r="CY32" s="495"/>
      <c r="CZ32" s="495"/>
      <c r="DA32" s="495"/>
      <c r="DB32" s="495"/>
      <c r="DC32" s="495"/>
      <c r="DD32" s="495"/>
      <c r="DE32" s="495"/>
      <c r="DF32" s="495"/>
      <c r="DG32" s="495"/>
      <c r="DH32" s="495"/>
      <c r="DI32" s="495"/>
      <c r="DJ32" s="495"/>
      <c r="DK32" s="495"/>
      <c r="DL32" s="495"/>
      <c r="DM32" s="495"/>
      <c r="DN32" s="495"/>
      <c r="DO32" s="495"/>
      <c r="DP32" s="495"/>
      <c r="DQ32" s="495"/>
      <c r="DR32" s="495"/>
      <c r="DS32" s="495"/>
      <c r="DT32" s="495"/>
      <c r="DU32" s="495"/>
      <c r="DV32" s="495"/>
      <c r="DW32" s="495"/>
      <c r="DX32" s="495"/>
      <c r="DY32" s="495"/>
      <c r="DZ32" s="495"/>
      <c r="EA32" s="495"/>
      <c r="EB32" s="495"/>
      <c r="EC32" s="495"/>
      <c r="ED32" s="495"/>
      <c r="EE32" s="495"/>
      <c r="EF32" s="495"/>
      <c r="EG32" s="495"/>
      <c r="EH32" s="495"/>
      <c r="EI32" s="495"/>
      <c r="EJ32" s="495"/>
      <c r="EK32" s="495"/>
      <c r="EL32" s="495"/>
      <c r="EM32" s="495"/>
      <c r="EN32" s="495"/>
      <c r="EO32" s="495"/>
      <c r="EP32" s="495"/>
      <c r="EQ32" s="495"/>
      <c r="ER32" s="495"/>
      <c r="ES32" s="495"/>
      <c r="ET32" s="495"/>
      <c r="EU32" s="495"/>
      <c r="EV32" s="495"/>
      <c r="EW32" s="495"/>
      <c r="EX32" s="495"/>
      <c r="EY32" s="495"/>
      <c r="EZ32" s="495"/>
      <c r="FA32" s="495"/>
      <c r="FB32" s="495"/>
      <c r="FC32" s="495"/>
      <c r="FD32" s="495"/>
      <c r="FE32" s="495"/>
      <c r="FF32" s="495"/>
      <c r="FG32" s="495"/>
      <c r="FH32" s="495"/>
      <c r="FI32" s="495"/>
      <c r="FJ32" s="495"/>
      <c r="FK32" s="495"/>
      <c r="FL32" s="495"/>
      <c r="FM32" s="495"/>
      <c r="FN32" s="495"/>
      <c r="FO32" s="495"/>
      <c r="FP32" s="495"/>
      <c r="FQ32" s="495"/>
      <c r="FR32" s="495"/>
      <c r="FS32" s="495"/>
      <c r="FT32" s="495"/>
      <c r="FU32" s="495"/>
      <c r="FV32" s="495"/>
      <c r="FW32" s="495"/>
      <c r="FX32" s="495"/>
      <c r="FY32" s="495"/>
      <c r="FZ32" s="495"/>
      <c r="GA32" s="495"/>
      <c r="GB32" s="495"/>
      <c r="GC32" s="495"/>
      <c r="GD32" s="495"/>
      <c r="GE32" s="495"/>
      <c r="GF32" s="495"/>
      <c r="GG32" s="495"/>
    </row>
    <row r="33" spans="1:189" s="456" customFormat="1">
      <c r="A33" s="755" t="e">
        <f>#REF!</f>
        <v>#REF!</v>
      </c>
      <c r="B33" s="678" t="e">
        <f>#REF!</f>
        <v>#REF!</v>
      </c>
      <c r="C33" s="712"/>
      <c r="D33" s="660"/>
      <c r="E33" s="633"/>
      <c r="F33" s="633"/>
      <c r="H33" s="493"/>
      <c r="I33" s="494"/>
      <c r="J33" s="493"/>
      <c r="K33" s="495"/>
      <c r="L33" s="495"/>
      <c r="M33" s="495"/>
      <c r="N33" s="495"/>
      <c r="O33" s="495"/>
      <c r="P33" s="495"/>
      <c r="Q33" s="495"/>
      <c r="R33" s="495"/>
      <c r="S33" s="495"/>
      <c r="T33" s="495"/>
      <c r="U33" s="495"/>
      <c r="V33" s="495"/>
      <c r="W33" s="495"/>
      <c r="X33" s="495"/>
      <c r="Y33" s="495"/>
      <c r="Z33" s="495"/>
      <c r="AA33" s="495"/>
      <c r="AB33" s="495"/>
      <c r="AC33" s="495"/>
      <c r="AD33" s="495"/>
      <c r="AE33" s="495"/>
      <c r="AF33" s="495"/>
      <c r="AG33" s="495"/>
      <c r="AH33" s="495"/>
      <c r="AI33" s="495"/>
      <c r="AJ33" s="495"/>
      <c r="AK33" s="495"/>
      <c r="AL33" s="495"/>
      <c r="AM33" s="495"/>
      <c r="AN33" s="495"/>
      <c r="AO33" s="495"/>
      <c r="AP33" s="495"/>
      <c r="AQ33" s="495"/>
      <c r="AR33" s="495"/>
      <c r="AS33" s="495"/>
      <c r="AT33" s="495"/>
      <c r="AU33" s="495"/>
      <c r="AV33" s="495"/>
      <c r="AW33" s="495"/>
      <c r="AX33" s="495"/>
      <c r="AY33" s="495"/>
      <c r="AZ33" s="495"/>
      <c r="BA33" s="495"/>
      <c r="BB33" s="495"/>
      <c r="BC33" s="495"/>
      <c r="BD33" s="495"/>
      <c r="BE33" s="495"/>
      <c r="BF33" s="495"/>
      <c r="BG33" s="495"/>
      <c r="BH33" s="495"/>
      <c r="BI33" s="495"/>
      <c r="BJ33" s="495"/>
      <c r="BK33" s="495"/>
      <c r="BL33" s="495"/>
      <c r="BM33" s="495"/>
      <c r="BN33" s="495"/>
      <c r="BO33" s="495"/>
      <c r="BP33" s="495"/>
      <c r="BQ33" s="495"/>
      <c r="BR33" s="495"/>
      <c r="BS33" s="495"/>
      <c r="BT33" s="495"/>
      <c r="BU33" s="495"/>
      <c r="BV33" s="495"/>
      <c r="BW33" s="495"/>
      <c r="BX33" s="495"/>
      <c r="BY33" s="495"/>
      <c r="BZ33" s="495"/>
      <c r="CA33" s="495"/>
      <c r="CB33" s="495"/>
      <c r="CC33" s="495"/>
      <c r="CD33" s="495"/>
      <c r="CE33" s="495"/>
      <c r="CF33" s="495"/>
      <c r="CG33" s="495"/>
      <c r="CH33" s="495"/>
      <c r="CI33" s="495"/>
      <c r="CJ33" s="495"/>
      <c r="CK33" s="495"/>
      <c r="CL33" s="495"/>
      <c r="CM33" s="495"/>
      <c r="CN33" s="495"/>
      <c r="CO33" s="495"/>
      <c r="CP33" s="495"/>
      <c r="CQ33" s="495"/>
      <c r="CR33" s="495"/>
      <c r="CS33" s="495"/>
      <c r="CT33" s="495"/>
      <c r="CU33" s="495"/>
      <c r="CV33" s="495"/>
      <c r="CW33" s="495"/>
      <c r="CX33" s="495"/>
      <c r="CY33" s="495"/>
      <c r="CZ33" s="495"/>
      <c r="DA33" s="495"/>
      <c r="DB33" s="495"/>
      <c r="DC33" s="495"/>
      <c r="DD33" s="495"/>
      <c r="DE33" s="495"/>
      <c r="DF33" s="495"/>
      <c r="DG33" s="495"/>
      <c r="DH33" s="495"/>
      <c r="DI33" s="495"/>
      <c r="DJ33" s="495"/>
      <c r="DK33" s="495"/>
      <c r="DL33" s="495"/>
      <c r="DM33" s="495"/>
      <c r="DN33" s="495"/>
      <c r="DO33" s="495"/>
      <c r="DP33" s="495"/>
      <c r="DQ33" s="495"/>
      <c r="DR33" s="495"/>
      <c r="DS33" s="495"/>
      <c r="DT33" s="495"/>
      <c r="DU33" s="495"/>
      <c r="DV33" s="495"/>
      <c r="DW33" s="495"/>
      <c r="DX33" s="495"/>
      <c r="DY33" s="495"/>
      <c r="DZ33" s="495"/>
      <c r="EA33" s="495"/>
      <c r="EB33" s="495"/>
      <c r="EC33" s="495"/>
      <c r="ED33" s="495"/>
      <c r="EE33" s="495"/>
      <c r="EF33" s="495"/>
      <c r="EG33" s="495"/>
      <c r="EH33" s="495"/>
      <c r="EI33" s="495"/>
      <c r="EJ33" s="495"/>
      <c r="EK33" s="495"/>
      <c r="EL33" s="495"/>
      <c r="EM33" s="495"/>
      <c r="EN33" s="495"/>
      <c r="EO33" s="495"/>
      <c r="EP33" s="495"/>
      <c r="EQ33" s="495"/>
      <c r="ER33" s="495"/>
      <c r="ES33" s="495"/>
      <c r="ET33" s="495"/>
      <c r="EU33" s="495"/>
      <c r="EV33" s="495"/>
      <c r="EW33" s="495"/>
      <c r="EX33" s="495"/>
      <c r="EY33" s="495"/>
      <c r="EZ33" s="495"/>
      <c r="FA33" s="495"/>
      <c r="FB33" s="495"/>
      <c r="FC33" s="495"/>
      <c r="FD33" s="495"/>
      <c r="FE33" s="495"/>
      <c r="FF33" s="495"/>
      <c r="FG33" s="495"/>
      <c r="FH33" s="495"/>
      <c r="FI33" s="495"/>
      <c r="FJ33" s="495"/>
      <c r="FK33" s="495"/>
      <c r="FL33" s="495"/>
      <c r="FM33" s="495"/>
      <c r="FN33" s="495"/>
      <c r="FO33" s="495"/>
      <c r="FP33" s="495"/>
      <c r="FQ33" s="495"/>
      <c r="FR33" s="495"/>
      <c r="FS33" s="495"/>
      <c r="FT33" s="495"/>
      <c r="FU33" s="495"/>
      <c r="FV33" s="495"/>
      <c r="FW33" s="495"/>
      <c r="FX33" s="495"/>
      <c r="FY33" s="495"/>
      <c r="FZ33" s="495"/>
      <c r="GA33" s="495"/>
      <c r="GB33" s="495"/>
      <c r="GC33" s="495"/>
      <c r="GD33" s="495"/>
      <c r="GE33" s="495"/>
      <c r="GF33" s="495"/>
      <c r="GG33" s="495"/>
    </row>
    <row r="34" spans="1:189" s="456" customFormat="1">
      <c r="A34" s="771"/>
      <c r="B34" s="753"/>
      <c r="C34" s="714" t="e">
        <f>#REF!</f>
        <v>#REF!</v>
      </c>
      <c r="D34" s="546">
        <f>+D32</f>
        <v>2090</v>
      </c>
      <c r="E34" s="527" t="e">
        <f>+#REF!</f>
        <v>#REF!</v>
      </c>
      <c r="F34" s="527" t="e">
        <f>+D34*E34</f>
        <v>#REF!</v>
      </c>
      <c r="H34" s="493"/>
      <c r="I34" s="494"/>
      <c r="J34" s="493"/>
      <c r="K34" s="495"/>
      <c r="L34" s="495"/>
      <c r="M34" s="495"/>
      <c r="N34" s="495"/>
      <c r="O34" s="495"/>
      <c r="P34" s="495"/>
      <c r="Q34" s="495"/>
      <c r="R34" s="495"/>
      <c r="S34" s="495"/>
      <c r="T34" s="495"/>
      <c r="U34" s="495"/>
      <c r="V34" s="495"/>
      <c r="W34" s="495"/>
      <c r="X34" s="495"/>
      <c r="Y34" s="495"/>
      <c r="Z34" s="495"/>
      <c r="AA34" s="495"/>
      <c r="AB34" s="495"/>
      <c r="AC34" s="495"/>
      <c r="AD34" s="495"/>
      <c r="AE34" s="495"/>
      <c r="AF34" s="495"/>
      <c r="AG34" s="495"/>
      <c r="AH34" s="495"/>
      <c r="AI34" s="495"/>
      <c r="AJ34" s="495"/>
      <c r="AK34" s="495"/>
      <c r="AL34" s="495"/>
      <c r="AM34" s="495"/>
      <c r="AN34" s="495"/>
      <c r="AO34" s="495"/>
      <c r="AP34" s="495"/>
      <c r="AQ34" s="495"/>
      <c r="AR34" s="495"/>
      <c r="AS34" s="495"/>
      <c r="AT34" s="495"/>
      <c r="AU34" s="495"/>
      <c r="AV34" s="495"/>
      <c r="AW34" s="495"/>
      <c r="AX34" s="495"/>
      <c r="AY34" s="495"/>
      <c r="AZ34" s="495"/>
      <c r="BA34" s="495"/>
      <c r="BB34" s="495"/>
      <c r="BC34" s="495"/>
      <c r="BD34" s="495"/>
      <c r="BE34" s="495"/>
      <c r="BF34" s="495"/>
      <c r="BG34" s="495"/>
      <c r="BH34" s="495"/>
      <c r="BI34" s="495"/>
      <c r="BJ34" s="495"/>
      <c r="BK34" s="495"/>
      <c r="BL34" s="495"/>
      <c r="BM34" s="495"/>
      <c r="BN34" s="495"/>
      <c r="BO34" s="495"/>
      <c r="BP34" s="495"/>
      <c r="BQ34" s="495"/>
      <c r="BR34" s="495"/>
      <c r="BS34" s="495"/>
      <c r="BT34" s="495"/>
      <c r="BU34" s="495"/>
      <c r="BV34" s="495"/>
      <c r="BW34" s="495"/>
      <c r="BX34" s="495"/>
      <c r="BY34" s="495"/>
      <c r="BZ34" s="495"/>
      <c r="CA34" s="495"/>
      <c r="CB34" s="495"/>
      <c r="CC34" s="495"/>
      <c r="CD34" s="495"/>
      <c r="CE34" s="495"/>
      <c r="CF34" s="495"/>
      <c r="CG34" s="495"/>
      <c r="CH34" s="495"/>
      <c r="CI34" s="495"/>
      <c r="CJ34" s="495"/>
      <c r="CK34" s="495"/>
      <c r="CL34" s="495"/>
      <c r="CM34" s="495"/>
      <c r="CN34" s="495"/>
      <c r="CO34" s="495"/>
      <c r="CP34" s="495"/>
      <c r="CQ34" s="495"/>
      <c r="CR34" s="495"/>
      <c r="CS34" s="495"/>
      <c r="CT34" s="495"/>
      <c r="CU34" s="495"/>
      <c r="CV34" s="495"/>
      <c r="CW34" s="495"/>
      <c r="CX34" s="495"/>
      <c r="CY34" s="495"/>
      <c r="CZ34" s="495"/>
      <c r="DA34" s="495"/>
      <c r="DB34" s="495"/>
      <c r="DC34" s="495"/>
      <c r="DD34" s="495"/>
      <c r="DE34" s="495"/>
      <c r="DF34" s="495"/>
      <c r="DG34" s="495"/>
      <c r="DH34" s="495"/>
      <c r="DI34" s="495"/>
      <c r="DJ34" s="495"/>
      <c r="DK34" s="495"/>
      <c r="DL34" s="495"/>
      <c r="DM34" s="495"/>
      <c r="DN34" s="495"/>
      <c r="DO34" s="495"/>
      <c r="DP34" s="495"/>
      <c r="DQ34" s="495"/>
      <c r="DR34" s="495"/>
      <c r="DS34" s="495"/>
      <c r="DT34" s="495"/>
      <c r="DU34" s="495"/>
      <c r="DV34" s="495"/>
      <c r="DW34" s="495"/>
      <c r="DX34" s="495"/>
      <c r="DY34" s="495"/>
      <c r="DZ34" s="495"/>
      <c r="EA34" s="495"/>
      <c r="EB34" s="495"/>
      <c r="EC34" s="495"/>
      <c r="ED34" s="495"/>
      <c r="EE34" s="495"/>
      <c r="EF34" s="495"/>
      <c r="EG34" s="495"/>
      <c r="EH34" s="495"/>
      <c r="EI34" s="495"/>
      <c r="EJ34" s="495"/>
      <c r="EK34" s="495"/>
      <c r="EL34" s="495"/>
      <c r="EM34" s="495"/>
      <c r="EN34" s="495"/>
      <c r="EO34" s="495"/>
      <c r="EP34" s="495"/>
      <c r="EQ34" s="495"/>
      <c r="ER34" s="495"/>
      <c r="ES34" s="495"/>
      <c r="ET34" s="495"/>
      <c r="EU34" s="495"/>
      <c r="EV34" s="495"/>
      <c r="EW34" s="495"/>
      <c r="EX34" s="495"/>
      <c r="EY34" s="495"/>
      <c r="EZ34" s="495"/>
      <c r="FA34" s="495"/>
      <c r="FB34" s="495"/>
      <c r="FC34" s="495"/>
      <c r="FD34" s="495"/>
      <c r="FE34" s="495"/>
      <c r="FF34" s="495"/>
      <c r="FG34" s="495"/>
      <c r="FH34" s="495"/>
      <c r="FI34" s="495"/>
      <c r="FJ34" s="495"/>
      <c r="FK34" s="495"/>
      <c r="FL34" s="495"/>
      <c r="FM34" s="495"/>
      <c r="FN34" s="495"/>
      <c r="FO34" s="495"/>
      <c r="FP34" s="495"/>
      <c r="FQ34" s="495"/>
      <c r="FR34" s="495"/>
      <c r="FS34" s="495"/>
      <c r="FT34" s="495"/>
      <c r="FU34" s="495"/>
      <c r="FV34" s="495"/>
      <c r="FW34" s="495"/>
      <c r="FX34" s="495"/>
      <c r="FY34" s="495"/>
      <c r="FZ34" s="495"/>
      <c r="GA34" s="495"/>
      <c r="GB34" s="495"/>
      <c r="GC34" s="495"/>
      <c r="GD34" s="495"/>
      <c r="GE34" s="495"/>
      <c r="GF34" s="495"/>
      <c r="GG34" s="495"/>
    </row>
    <row r="35" spans="1:189" s="456" customFormat="1" ht="18.75">
      <c r="A35" s="1278"/>
      <c r="B35" s="500"/>
      <c r="C35" s="686"/>
      <c r="D35" s="635"/>
      <c r="E35" s="636" t="s">
        <v>106</v>
      </c>
      <c r="F35" s="1122" t="e">
        <f>SUM(F19:F34)</f>
        <v>#REF!</v>
      </c>
      <c r="H35" s="493"/>
      <c r="I35" s="494"/>
      <c r="J35" s="493"/>
      <c r="K35" s="495"/>
      <c r="L35" s="495"/>
      <c r="M35" s="495"/>
      <c r="N35" s="495"/>
      <c r="O35" s="495"/>
      <c r="P35" s="495"/>
      <c r="Q35" s="495"/>
      <c r="R35" s="495"/>
      <c r="S35" s="495"/>
      <c r="T35" s="495"/>
      <c r="U35" s="495"/>
      <c r="V35" s="495"/>
      <c r="W35" s="495"/>
      <c r="X35" s="495"/>
      <c r="Y35" s="495"/>
      <c r="Z35" s="495"/>
      <c r="AA35" s="495"/>
      <c r="AB35" s="495"/>
      <c r="AC35" s="495"/>
      <c r="AD35" s="495"/>
      <c r="AE35" s="495"/>
      <c r="AF35" s="495"/>
      <c r="AG35" s="495"/>
      <c r="AH35" s="495"/>
      <c r="AI35" s="495"/>
      <c r="AJ35" s="495"/>
      <c r="AK35" s="495"/>
      <c r="AL35" s="495"/>
      <c r="AM35" s="495"/>
      <c r="AN35" s="495"/>
      <c r="AO35" s="495"/>
      <c r="AP35" s="495"/>
      <c r="AQ35" s="495"/>
      <c r="AR35" s="495"/>
      <c r="AS35" s="495"/>
      <c r="AT35" s="495"/>
      <c r="AU35" s="495"/>
      <c r="AV35" s="495"/>
      <c r="AW35" s="495"/>
      <c r="AX35" s="495"/>
      <c r="AY35" s="495"/>
      <c r="AZ35" s="495"/>
      <c r="BA35" s="495"/>
      <c r="BB35" s="495"/>
      <c r="BC35" s="495"/>
      <c r="BD35" s="495"/>
      <c r="BE35" s="495"/>
      <c r="BF35" s="495"/>
      <c r="BG35" s="495"/>
      <c r="BH35" s="495"/>
      <c r="BI35" s="495"/>
      <c r="BJ35" s="495"/>
      <c r="BK35" s="495"/>
      <c r="BL35" s="495"/>
      <c r="BM35" s="495"/>
      <c r="BN35" s="495"/>
      <c r="BO35" s="495"/>
      <c r="BP35" s="495"/>
      <c r="BQ35" s="495"/>
      <c r="BR35" s="495"/>
      <c r="BS35" s="495"/>
      <c r="BT35" s="495"/>
      <c r="BU35" s="495"/>
      <c r="BV35" s="495"/>
      <c r="BW35" s="495"/>
      <c r="BX35" s="495"/>
      <c r="BY35" s="495"/>
      <c r="BZ35" s="495"/>
      <c r="CA35" s="495"/>
      <c r="CB35" s="495"/>
      <c r="CC35" s="495"/>
      <c r="CD35" s="495"/>
      <c r="CE35" s="495"/>
      <c r="CF35" s="495"/>
      <c r="CG35" s="495"/>
      <c r="CH35" s="495"/>
      <c r="CI35" s="495"/>
      <c r="CJ35" s="495"/>
      <c r="CK35" s="495"/>
      <c r="CL35" s="495"/>
      <c r="CM35" s="495"/>
      <c r="CN35" s="495"/>
      <c r="CO35" s="495"/>
      <c r="CP35" s="495"/>
      <c r="CQ35" s="495"/>
      <c r="CR35" s="495"/>
      <c r="CS35" s="495"/>
      <c r="CT35" s="495"/>
      <c r="CU35" s="495"/>
      <c r="CV35" s="495"/>
      <c r="CW35" s="495"/>
      <c r="CX35" s="495"/>
      <c r="CY35" s="495"/>
      <c r="CZ35" s="495"/>
      <c r="DA35" s="495"/>
      <c r="DB35" s="495"/>
      <c r="DC35" s="495"/>
      <c r="DD35" s="495"/>
      <c r="DE35" s="495"/>
      <c r="DF35" s="495"/>
      <c r="DG35" s="495"/>
      <c r="DH35" s="495"/>
      <c r="DI35" s="495"/>
      <c r="DJ35" s="495"/>
      <c r="DK35" s="495"/>
      <c r="DL35" s="495"/>
      <c r="DM35" s="495"/>
      <c r="DN35" s="495"/>
      <c r="DO35" s="495"/>
      <c r="DP35" s="495"/>
      <c r="DQ35" s="495"/>
      <c r="DR35" s="495"/>
      <c r="DS35" s="495"/>
      <c r="DT35" s="495"/>
      <c r="DU35" s="495"/>
      <c r="DV35" s="495"/>
      <c r="DW35" s="495"/>
      <c r="DX35" s="495"/>
      <c r="DY35" s="495"/>
      <c r="DZ35" s="495"/>
      <c r="EA35" s="495"/>
      <c r="EB35" s="495"/>
      <c r="EC35" s="495"/>
      <c r="ED35" s="495"/>
      <c r="EE35" s="495"/>
      <c r="EF35" s="495"/>
      <c r="EG35" s="495"/>
      <c r="EH35" s="495"/>
      <c r="EI35" s="495"/>
      <c r="EJ35" s="495"/>
      <c r="EK35" s="495"/>
      <c r="EL35" s="495"/>
      <c r="EM35" s="495"/>
      <c r="EN35" s="495"/>
      <c r="EO35" s="495"/>
      <c r="EP35" s="495"/>
      <c r="EQ35" s="495"/>
      <c r="ER35" s="495"/>
      <c r="ES35" s="495"/>
      <c r="ET35" s="495"/>
      <c r="EU35" s="495"/>
      <c r="EV35" s="495"/>
      <c r="EW35" s="495"/>
      <c r="EX35" s="495"/>
      <c r="EY35" s="495"/>
      <c r="EZ35" s="495"/>
      <c r="FA35" s="495"/>
      <c r="FB35" s="495"/>
      <c r="FC35" s="495"/>
      <c r="FD35" s="495"/>
      <c r="FE35" s="495"/>
      <c r="FF35" s="495"/>
      <c r="FG35" s="495"/>
      <c r="FH35" s="495"/>
      <c r="FI35" s="495"/>
      <c r="FJ35" s="495"/>
      <c r="FK35" s="495"/>
      <c r="FL35" s="495"/>
      <c r="FM35" s="495"/>
      <c r="FN35" s="495"/>
      <c r="FO35" s="495"/>
      <c r="FP35" s="495"/>
      <c r="FQ35" s="495"/>
      <c r="FR35" s="495"/>
      <c r="FS35" s="495"/>
      <c r="FT35" s="495"/>
      <c r="FU35" s="495"/>
      <c r="FV35" s="495"/>
      <c r="FW35" s="495"/>
      <c r="FX35" s="495"/>
      <c r="FY35" s="495"/>
      <c r="FZ35" s="495"/>
      <c r="GA35" s="495"/>
      <c r="GB35" s="495"/>
      <c r="GC35" s="495"/>
      <c r="GD35" s="495"/>
      <c r="GE35" s="495"/>
      <c r="GF35" s="495"/>
      <c r="GG35" s="495"/>
    </row>
    <row r="36" spans="1:189" ht="15" customHeight="1">
      <c r="A36" s="1423"/>
      <c r="B36" s="5"/>
      <c r="C36" s="5"/>
      <c r="D36" s="5"/>
      <c r="E36" s="5"/>
      <c r="F36" s="5"/>
    </row>
    <row r="37" spans="1:189" ht="24.95" customHeight="1">
      <c r="A37" s="1423"/>
      <c r="B37" s="5"/>
      <c r="C37" s="686"/>
      <c r="D37" s="635"/>
      <c r="E37" s="636" t="s">
        <v>107</v>
      </c>
      <c r="F37" s="1122" t="e">
        <f>+F16+F35</f>
        <v>#REF!</v>
      </c>
    </row>
    <row r="38" spans="1:189" ht="15" customHeight="1">
      <c r="A38" s="406"/>
      <c r="B38" s="12"/>
      <c r="C38" s="51"/>
      <c r="D38" s="76"/>
      <c r="E38" s="66"/>
      <c r="F38" s="66"/>
    </row>
    <row r="39" spans="1:189" ht="24.95" customHeight="1">
      <c r="A39" s="1863" t="e">
        <f>#REF!</f>
        <v>#REF!</v>
      </c>
      <c r="B39" s="1864"/>
      <c r="C39" s="1864"/>
      <c r="D39" s="1864"/>
      <c r="E39" s="1864"/>
      <c r="F39" s="1865"/>
    </row>
    <row r="40" spans="1:189" s="456" customFormat="1">
      <c r="A40" s="755" t="e">
        <f>#REF!</f>
        <v>#REF!</v>
      </c>
      <c r="B40" s="678" t="e">
        <f>#REF!</f>
        <v>#REF!</v>
      </c>
      <c r="C40" s="633"/>
      <c r="D40" s="633"/>
      <c r="E40" s="633"/>
      <c r="F40" s="633"/>
      <c r="H40" s="493"/>
      <c r="I40" s="494"/>
      <c r="J40" s="493"/>
      <c r="K40" s="495"/>
      <c r="L40" s="495"/>
      <c r="M40" s="495"/>
      <c r="N40" s="495"/>
      <c r="O40" s="495"/>
      <c r="P40" s="495"/>
      <c r="Q40" s="495"/>
      <c r="R40" s="495"/>
      <c r="S40" s="495"/>
      <c r="T40" s="495"/>
      <c r="U40" s="495"/>
      <c r="V40" s="495"/>
      <c r="W40" s="495"/>
      <c r="X40" s="495"/>
      <c r="Y40" s="495"/>
      <c r="Z40" s="495"/>
      <c r="AA40" s="495"/>
      <c r="AB40" s="495"/>
      <c r="AC40" s="495"/>
      <c r="AD40" s="495"/>
      <c r="AE40" s="495"/>
      <c r="AF40" s="495"/>
      <c r="AG40" s="495"/>
      <c r="AH40" s="495"/>
      <c r="AI40" s="495"/>
      <c r="AJ40" s="495"/>
      <c r="AK40" s="495"/>
      <c r="AL40" s="495"/>
      <c r="AM40" s="495"/>
      <c r="AN40" s="495"/>
      <c r="AO40" s="495"/>
      <c r="AP40" s="495"/>
      <c r="AQ40" s="495"/>
      <c r="AR40" s="495"/>
      <c r="AS40" s="495"/>
      <c r="AT40" s="495"/>
      <c r="AU40" s="495"/>
      <c r="AV40" s="495"/>
      <c r="AW40" s="495"/>
      <c r="AX40" s="495"/>
      <c r="AY40" s="495"/>
      <c r="AZ40" s="495"/>
      <c r="BA40" s="495"/>
      <c r="BB40" s="495"/>
      <c r="BC40" s="495"/>
      <c r="BD40" s="495"/>
      <c r="BE40" s="495"/>
      <c r="BF40" s="495"/>
      <c r="BG40" s="495"/>
      <c r="BH40" s="495"/>
      <c r="BI40" s="495"/>
      <c r="BJ40" s="495"/>
      <c r="BK40" s="495"/>
      <c r="BL40" s="495"/>
      <c r="BM40" s="495"/>
      <c r="BN40" s="495"/>
      <c r="BO40" s="495"/>
      <c r="BP40" s="495"/>
      <c r="BQ40" s="495"/>
      <c r="BR40" s="495"/>
      <c r="BS40" s="495"/>
      <c r="BT40" s="495"/>
      <c r="BU40" s="495"/>
      <c r="BV40" s="495"/>
      <c r="BW40" s="495"/>
      <c r="BX40" s="495"/>
      <c r="BY40" s="495"/>
      <c r="BZ40" s="495"/>
      <c r="CA40" s="495"/>
      <c r="CB40" s="495"/>
      <c r="CC40" s="495"/>
      <c r="CD40" s="495"/>
      <c r="CE40" s="495"/>
      <c r="CF40" s="495"/>
      <c r="CG40" s="495"/>
      <c r="CH40" s="495"/>
      <c r="CI40" s="495"/>
      <c r="CJ40" s="495"/>
      <c r="CK40" s="495"/>
      <c r="CL40" s="495"/>
      <c r="CM40" s="495"/>
      <c r="CN40" s="495"/>
      <c r="CO40" s="495"/>
      <c r="CP40" s="495"/>
      <c r="CQ40" s="495"/>
      <c r="CR40" s="495"/>
      <c r="CS40" s="495"/>
      <c r="CT40" s="495"/>
      <c r="CU40" s="495"/>
      <c r="CV40" s="495"/>
      <c r="CW40" s="495"/>
      <c r="CX40" s="495"/>
      <c r="CY40" s="495"/>
      <c r="CZ40" s="495"/>
      <c r="DA40" s="495"/>
      <c r="DB40" s="495"/>
      <c r="DC40" s="495"/>
      <c r="DD40" s="495"/>
      <c r="DE40" s="495"/>
      <c r="DF40" s="495"/>
      <c r="DG40" s="495"/>
      <c r="DH40" s="495"/>
      <c r="DI40" s="495"/>
      <c r="DJ40" s="495"/>
      <c r="DK40" s="495"/>
      <c r="DL40" s="495"/>
      <c r="DM40" s="495"/>
      <c r="DN40" s="495"/>
      <c r="DO40" s="495"/>
      <c r="DP40" s="495"/>
      <c r="DQ40" s="495"/>
      <c r="DR40" s="495"/>
      <c r="DS40" s="495"/>
      <c r="DT40" s="495"/>
      <c r="DU40" s="495"/>
      <c r="DV40" s="495"/>
      <c r="DW40" s="495"/>
      <c r="DX40" s="495"/>
      <c r="DY40" s="495"/>
      <c r="DZ40" s="495"/>
      <c r="EA40" s="495"/>
      <c r="EB40" s="495"/>
      <c r="EC40" s="495"/>
      <c r="ED40" s="495"/>
      <c r="EE40" s="495"/>
      <c r="EF40" s="495"/>
      <c r="EG40" s="495"/>
      <c r="EH40" s="495"/>
      <c r="EI40" s="495"/>
      <c r="EJ40" s="495"/>
      <c r="EK40" s="495"/>
      <c r="EL40" s="495"/>
      <c r="EM40" s="495"/>
      <c r="EN40" s="495"/>
      <c r="EO40" s="495"/>
      <c r="EP40" s="495"/>
      <c r="EQ40" s="495"/>
      <c r="ER40" s="495"/>
      <c r="ES40" s="495"/>
      <c r="ET40" s="495"/>
      <c r="EU40" s="495"/>
      <c r="EV40" s="495"/>
      <c r="EW40" s="495"/>
      <c r="EX40" s="495"/>
      <c r="EY40" s="495"/>
      <c r="EZ40" s="495"/>
      <c r="FA40" s="495"/>
      <c r="FB40" s="495"/>
      <c r="FC40" s="495"/>
      <c r="FD40" s="495"/>
      <c r="FE40" s="495"/>
      <c r="FF40" s="495"/>
      <c r="FG40" s="495"/>
      <c r="FH40" s="495"/>
      <c r="FI40" s="495"/>
      <c r="FJ40" s="495"/>
      <c r="FK40" s="495"/>
      <c r="FL40" s="495"/>
      <c r="FM40" s="495"/>
      <c r="FN40" s="495"/>
      <c r="FO40" s="495"/>
      <c r="FP40" s="495"/>
      <c r="FQ40" s="495"/>
      <c r="FR40" s="495"/>
      <c r="FS40" s="495"/>
      <c r="FT40" s="495"/>
      <c r="FU40" s="495"/>
      <c r="FV40" s="495"/>
      <c r="FW40" s="495"/>
      <c r="FX40" s="495"/>
      <c r="FY40" s="495"/>
      <c r="FZ40" s="495"/>
      <c r="GA40" s="495"/>
      <c r="GB40" s="495"/>
      <c r="GC40" s="495"/>
      <c r="GD40" s="495"/>
      <c r="GE40" s="495"/>
      <c r="GF40" s="495"/>
      <c r="GG40" s="495"/>
    </row>
    <row r="41" spans="1:189" s="456" customFormat="1">
      <c r="A41" s="751"/>
      <c r="B41" s="753"/>
      <c r="C41" s="1537" t="e">
        <f>#REF!</f>
        <v>#REF!</v>
      </c>
      <c r="D41" s="647">
        <v>1</v>
      </c>
      <c r="E41" s="527">
        <v>15672373</v>
      </c>
      <c r="F41" s="527">
        <f>+D41*E41</f>
        <v>15672373</v>
      </c>
      <c r="H41" s="493"/>
      <c r="I41" s="494"/>
      <c r="J41" s="493"/>
      <c r="K41" s="495"/>
      <c r="L41" s="495"/>
      <c r="M41" s="495"/>
      <c r="N41" s="495"/>
      <c r="O41" s="495"/>
      <c r="P41" s="495"/>
      <c r="Q41" s="495"/>
      <c r="R41" s="495"/>
      <c r="S41" s="495"/>
      <c r="T41" s="495"/>
      <c r="U41" s="495"/>
      <c r="V41" s="495"/>
      <c r="W41" s="495"/>
      <c r="X41" s="495"/>
      <c r="Y41" s="495"/>
      <c r="Z41" s="495"/>
      <c r="AA41" s="495"/>
      <c r="AB41" s="495"/>
      <c r="AC41" s="495"/>
      <c r="AD41" s="495"/>
      <c r="AE41" s="495"/>
      <c r="AF41" s="495"/>
      <c r="AG41" s="495"/>
      <c r="AH41" s="495"/>
      <c r="AI41" s="495"/>
      <c r="AJ41" s="495"/>
      <c r="AK41" s="495"/>
      <c r="AL41" s="495"/>
      <c r="AM41" s="495"/>
      <c r="AN41" s="495"/>
      <c r="AO41" s="495"/>
      <c r="AP41" s="495"/>
      <c r="AQ41" s="495"/>
      <c r="AR41" s="495"/>
      <c r="AS41" s="495"/>
      <c r="AT41" s="495"/>
      <c r="AU41" s="495"/>
      <c r="AV41" s="495"/>
      <c r="AW41" s="495"/>
      <c r="AX41" s="495"/>
      <c r="AY41" s="495"/>
      <c r="AZ41" s="495"/>
      <c r="BA41" s="495"/>
      <c r="BB41" s="495"/>
      <c r="BC41" s="495"/>
      <c r="BD41" s="495"/>
      <c r="BE41" s="495"/>
      <c r="BF41" s="495"/>
      <c r="BG41" s="495"/>
      <c r="BH41" s="495"/>
      <c r="BI41" s="495"/>
      <c r="BJ41" s="495"/>
      <c r="BK41" s="495"/>
      <c r="BL41" s="495"/>
      <c r="BM41" s="495"/>
      <c r="BN41" s="495"/>
      <c r="BO41" s="495"/>
      <c r="BP41" s="495"/>
      <c r="BQ41" s="495"/>
      <c r="BR41" s="495"/>
      <c r="BS41" s="495"/>
      <c r="BT41" s="495"/>
      <c r="BU41" s="495"/>
      <c r="BV41" s="495"/>
      <c r="BW41" s="495"/>
      <c r="BX41" s="495"/>
      <c r="BY41" s="495"/>
      <c r="BZ41" s="495"/>
      <c r="CA41" s="495"/>
      <c r="CB41" s="495"/>
      <c r="CC41" s="495"/>
      <c r="CD41" s="495"/>
      <c r="CE41" s="495"/>
      <c r="CF41" s="495"/>
      <c r="CG41" s="495"/>
      <c r="CH41" s="495"/>
      <c r="CI41" s="495"/>
      <c r="CJ41" s="495"/>
      <c r="CK41" s="495"/>
      <c r="CL41" s="495"/>
      <c r="CM41" s="495"/>
      <c r="CN41" s="495"/>
      <c r="CO41" s="495"/>
      <c r="CP41" s="495"/>
      <c r="CQ41" s="495"/>
      <c r="CR41" s="495"/>
      <c r="CS41" s="495"/>
      <c r="CT41" s="495"/>
      <c r="CU41" s="495"/>
      <c r="CV41" s="495"/>
      <c r="CW41" s="495"/>
      <c r="CX41" s="495"/>
      <c r="CY41" s="495"/>
      <c r="CZ41" s="495"/>
      <c r="DA41" s="495"/>
      <c r="DB41" s="495"/>
      <c r="DC41" s="495"/>
      <c r="DD41" s="495"/>
      <c r="DE41" s="495"/>
      <c r="DF41" s="495"/>
      <c r="DG41" s="495"/>
      <c r="DH41" s="495"/>
      <c r="DI41" s="495"/>
      <c r="DJ41" s="495"/>
      <c r="DK41" s="495"/>
      <c r="DL41" s="495"/>
      <c r="DM41" s="495"/>
      <c r="DN41" s="495"/>
      <c r="DO41" s="495"/>
      <c r="DP41" s="495"/>
      <c r="DQ41" s="495"/>
      <c r="DR41" s="495"/>
      <c r="DS41" s="495"/>
      <c r="DT41" s="495"/>
      <c r="DU41" s="495"/>
      <c r="DV41" s="495"/>
      <c r="DW41" s="495"/>
      <c r="DX41" s="495"/>
      <c r="DY41" s="495"/>
      <c r="DZ41" s="495"/>
      <c r="EA41" s="495"/>
      <c r="EB41" s="495"/>
      <c r="EC41" s="495"/>
      <c r="ED41" s="495"/>
      <c r="EE41" s="495"/>
      <c r="EF41" s="495"/>
      <c r="EG41" s="495"/>
      <c r="EH41" s="495"/>
      <c r="EI41" s="495"/>
      <c r="EJ41" s="495"/>
      <c r="EK41" s="495"/>
      <c r="EL41" s="495"/>
      <c r="EM41" s="495"/>
      <c r="EN41" s="495"/>
      <c r="EO41" s="495"/>
      <c r="EP41" s="495"/>
      <c r="EQ41" s="495"/>
      <c r="ER41" s="495"/>
      <c r="ES41" s="495"/>
      <c r="ET41" s="495"/>
      <c r="EU41" s="495"/>
      <c r="EV41" s="495"/>
      <c r="EW41" s="495"/>
      <c r="EX41" s="495"/>
      <c r="EY41" s="495"/>
      <c r="EZ41" s="495"/>
      <c r="FA41" s="495"/>
      <c r="FB41" s="495"/>
      <c r="FC41" s="495"/>
      <c r="FD41" s="495"/>
      <c r="FE41" s="495"/>
      <c r="FF41" s="495"/>
      <c r="FG41" s="495"/>
      <c r="FH41" s="495"/>
      <c r="FI41" s="495"/>
      <c r="FJ41" s="495"/>
      <c r="FK41" s="495"/>
      <c r="FL41" s="495"/>
      <c r="FM41" s="495"/>
      <c r="FN41" s="495"/>
      <c r="FO41" s="495"/>
      <c r="FP41" s="495"/>
      <c r="FQ41" s="495"/>
      <c r="FR41" s="495"/>
      <c r="FS41" s="495"/>
      <c r="FT41" s="495"/>
      <c r="FU41" s="495"/>
      <c r="FV41" s="495"/>
      <c r="FW41" s="495"/>
      <c r="FX41" s="495"/>
      <c r="FY41" s="495"/>
      <c r="FZ41" s="495"/>
      <c r="GA41" s="495"/>
      <c r="GB41" s="495"/>
      <c r="GC41" s="495"/>
      <c r="GD41" s="495"/>
      <c r="GE41" s="495"/>
      <c r="GF41" s="495"/>
      <c r="GG41" s="495"/>
    </row>
    <row r="42" spans="1:189" s="456" customFormat="1">
      <c r="A42" s="755" t="e">
        <f>#REF!</f>
        <v>#REF!</v>
      </c>
      <c r="B42" s="678" t="e">
        <f>#REF!</f>
        <v>#REF!</v>
      </c>
      <c r="C42" s="1536"/>
      <c r="D42" s="644"/>
      <c r="E42" s="641"/>
      <c r="F42" s="633"/>
      <c r="H42" s="493"/>
      <c r="I42" s="494"/>
      <c r="J42" s="493"/>
      <c r="K42" s="495"/>
      <c r="L42" s="495"/>
      <c r="M42" s="495"/>
      <c r="N42" s="495"/>
      <c r="O42" s="495"/>
      <c r="P42" s="495"/>
      <c r="Q42" s="495"/>
      <c r="R42" s="495"/>
      <c r="S42" s="495"/>
      <c r="T42" s="495"/>
      <c r="U42" s="495"/>
      <c r="V42" s="495"/>
      <c r="W42" s="495"/>
      <c r="X42" s="495"/>
      <c r="Y42" s="495"/>
      <c r="Z42" s="495"/>
      <c r="AA42" s="495"/>
      <c r="AB42" s="495"/>
      <c r="AC42" s="495"/>
      <c r="AD42" s="495"/>
      <c r="AE42" s="495"/>
      <c r="AF42" s="495"/>
      <c r="AG42" s="495"/>
      <c r="AH42" s="495"/>
      <c r="AI42" s="495"/>
      <c r="AJ42" s="495"/>
      <c r="AK42" s="495"/>
      <c r="AL42" s="495"/>
      <c r="AM42" s="495"/>
      <c r="AN42" s="495"/>
      <c r="AO42" s="495"/>
      <c r="AP42" s="495"/>
      <c r="AQ42" s="495"/>
      <c r="AR42" s="495"/>
      <c r="AS42" s="495"/>
      <c r="AT42" s="495"/>
      <c r="AU42" s="495"/>
      <c r="AV42" s="495"/>
      <c r="AW42" s="495"/>
      <c r="AX42" s="495"/>
      <c r="AY42" s="495"/>
      <c r="AZ42" s="495"/>
      <c r="BA42" s="495"/>
      <c r="BB42" s="495"/>
      <c r="BC42" s="495"/>
      <c r="BD42" s="495"/>
      <c r="BE42" s="495"/>
      <c r="BF42" s="495"/>
      <c r="BG42" s="495"/>
      <c r="BH42" s="495"/>
      <c r="BI42" s="495"/>
      <c r="BJ42" s="495"/>
      <c r="BK42" s="495"/>
      <c r="BL42" s="495"/>
      <c r="BM42" s="495"/>
      <c r="BN42" s="495"/>
      <c r="BO42" s="495"/>
      <c r="BP42" s="495"/>
      <c r="BQ42" s="495"/>
      <c r="BR42" s="495"/>
      <c r="BS42" s="495"/>
      <c r="BT42" s="495"/>
      <c r="BU42" s="495"/>
      <c r="BV42" s="495"/>
      <c r="BW42" s="495"/>
      <c r="BX42" s="495"/>
      <c r="BY42" s="495"/>
      <c r="BZ42" s="495"/>
      <c r="CA42" s="495"/>
      <c r="CB42" s="495"/>
      <c r="CC42" s="495"/>
      <c r="CD42" s="495"/>
      <c r="CE42" s="495"/>
      <c r="CF42" s="495"/>
      <c r="CG42" s="495"/>
      <c r="CH42" s="495"/>
      <c r="CI42" s="495"/>
      <c r="CJ42" s="495"/>
      <c r="CK42" s="495"/>
      <c r="CL42" s="495"/>
      <c r="CM42" s="495"/>
      <c r="CN42" s="495"/>
      <c r="CO42" s="495"/>
      <c r="CP42" s="495"/>
      <c r="CQ42" s="495"/>
      <c r="CR42" s="495"/>
      <c r="CS42" s="495"/>
      <c r="CT42" s="495"/>
      <c r="CU42" s="495"/>
      <c r="CV42" s="495"/>
      <c r="CW42" s="495"/>
      <c r="CX42" s="495"/>
      <c r="CY42" s="495"/>
      <c r="CZ42" s="495"/>
      <c r="DA42" s="495"/>
      <c r="DB42" s="495"/>
      <c r="DC42" s="495"/>
      <c r="DD42" s="495"/>
      <c r="DE42" s="495"/>
      <c r="DF42" s="495"/>
      <c r="DG42" s="495"/>
      <c r="DH42" s="495"/>
      <c r="DI42" s="495"/>
      <c r="DJ42" s="495"/>
      <c r="DK42" s="495"/>
      <c r="DL42" s="495"/>
      <c r="DM42" s="495"/>
      <c r="DN42" s="495"/>
      <c r="DO42" s="495"/>
      <c r="DP42" s="495"/>
      <c r="DQ42" s="495"/>
      <c r="DR42" s="495"/>
      <c r="DS42" s="495"/>
      <c r="DT42" s="495"/>
      <c r="DU42" s="495"/>
      <c r="DV42" s="495"/>
      <c r="DW42" s="495"/>
      <c r="DX42" s="495"/>
      <c r="DY42" s="495"/>
      <c r="DZ42" s="495"/>
      <c r="EA42" s="495"/>
      <c r="EB42" s="495"/>
      <c r="EC42" s="495"/>
      <c r="ED42" s="495"/>
      <c r="EE42" s="495"/>
      <c r="EF42" s="495"/>
      <c r="EG42" s="495"/>
      <c r="EH42" s="495"/>
      <c r="EI42" s="495"/>
      <c r="EJ42" s="495"/>
      <c r="EK42" s="495"/>
      <c r="EL42" s="495"/>
      <c r="EM42" s="495"/>
      <c r="EN42" s="495"/>
      <c r="EO42" s="495"/>
      <c r="EP42" s="495"/>
      <c r="EQ42" s="495"/>
      <c r="ER42" s="495"/>
      <c r="ES42" s="495"/>
      <c r="ET42" s="495"/>
      <c r="EU42" s="495"/>
      <c r="EV42" s="495"/>
      <c r="EW42" s="495"/>
      <c r="EX42" s="495"/>
      <c r="EY42" s="495"/>
      <c r="EZ42" s="495"/>
      <c r="FA42" s="495"/>
      <c r="FB42" s="495"/>
      <c r="FC42" s="495"/>
      <c r="FD42" s="495"/>
      <c r="FE42" s="495"/>
      <c r="FF42" s="495"/>
      <c r="FG42" s="495"/>
      <c r="FH42" s="495"/>
      <c r="FI42" s="495"/>
      <c r="FJ42" s="495"/>
      <c r="FK42" s="495"/>
      <c r="FL42" s="495"/>
      <c r="FM42" s="495"/>
      <c r="FN42" s="495"/>
      <c r="FO42" s="495"/>
      <c r="FP42" s="495"/>
      <c r="FQ42" s="495"/>
      <c r="FR42" s="495"/>
      <c r="FS42" s="495"/>
      <c r="FT42" s="495"/>
      <c r="FU42" s="495"/>
      <c r="FV42" s="495"/>
      <c r="FW42" s="495"/>
      <c r="FX42" s="495"/>
      <c r="FY42" s="495"/>
      <c r="FZ42" s="495"/>
      <c r="GA42" s="495"/>
      <c r="GB42" s="495"/>
      <c r="GC42" s="495"/>
      <c r="GD42" s="495"/>
      <c r="GE42" s="495"/>
      <c r="GF42" s="495"/>
      <c r="GG42" s="495"/>
    </row>
    <row r="43" spans="1:189" s="495" customFormat="1">
      <c r="A43" s="639" t="e">
        <f>#REF!</f>
        <v>#REF!</v>
      </c>
      <c r="B43" s="681" t="e">
        <f>#REF!</f>
        <v>#REF!</v>
      </c>
      <c r="C43" s="1408" t="e">
        <f>#REF!</f>
        <v>#REF!</v>
      </c>
      <c r="D43" s="646">
        <f>J43</f>
        <v>20097</v>
      </c>
      <c r="E43" s="527" t="e">
        <f>#REF!</f>
        <v>#REF!</v>
      </c>
      <c r="F43" s="527" t="e">
        <f>+D43*E43</f>
        <v>#REF!</v>
      </c>
      <c r="G43" s="456"/>
      <c r="H43" s="770">
        <f>H15*12</f>
        <v>19140</v>
      </c>
      <c r="I43" s="494">
        <v>1.05</v>
      </c>
      <c r="J43" s="493">
        <f>H43*I43</f>
        <v>20097</v>
      </c>
    </row>
    <row r="44" spans="1:189" s="495" customFormat="1">
      <c r="A44" s="755" t="e">
        <f>#REF!</f>
        <v>#REF!</v>
      </c>
      <c r="B44" s="678" t="e">
        <f>#REF!</f>
        <v>#REF!</v>
      </c>
      <c r="C44" s="1536"/>
      <c r="D44" s="644"/>
      <c r="E44" s="641"/>
      <c r="F44" s="641"/>
      <c r="G44" s="456"/>
      <c r="H44" s="493"/>
      <c r="I44" s="494"/>
      <c r="J44" s="493"/>
    </row>
    <row r="45" spans="1:189" s="495" customFormat="1">
      <c r="A45" s="1570"/>
      <c r="B45" s="677"/>
      <c r="C45" s="1536" t="e">
        <f>#REF!</f>
        <v>#REF!</v>
      </c>
      <c r="D45" s="647">
        <f>J45</f>
        <v>33.494999999999997</v>
      </c>
      <c r="E45" s="527" t="e">
        <f>#REF!</f>
        <v>#REF!</v>
      </c>
      <c r="F45" s="527" t="e">
        <f>+D45*E45</f>
        <v>#REF!</v>
      </c>
      <c r="G45" s="456"/>
      <c r="H45" s="493">
        <f>50%*H15/25</f>
        <v>31.9</v>
      </c>
      <c r="I45" s="494">
        <v>1.05</v>
      </c>
      <c r="J45" s="493">
        <f>H45*I45</f>
        <v>33.494999999999997</v>
      </c>
    </row>
    <row r="46" spans="1:189" s="495" customFormat="1">
      <c r="A46" s="689" t="e">
        <f>#REF!</f>
        <v>#REF!</v>
      </c>
      <c r="B46" s="711" t="e">
        <f>#REF!</f>
        <v>#REF!</v>
      </c>
      <c r="C46" s="1490"/>
      <c r="D46" s="739"/>
      <c r="E46" s="641"/>
      <c r="F46" s="641"/>
      <c r="G46" s="456"/>
      <c r="H46" s="493"/>
      <c r="I46" s="494"/>
      <c r="J46" s="493"/>
    </row>
    <row r="47" spans="1:189" s="495" customFormat="1">
      <c r="A47" s="750" t="e">
        <f>#REF!</f>
        <v>#REF!</v>
      </c>
      <c r="B47" s="677" t="e">
        <f>#REF!</f>
        <v>#REF!</v>
      </c>
      <c r="C47" s="1501" t="e">
        <f>#REF!</f>
        <v>#REF!</v>
      </c>
      <c r="D47" s="815">
        <v>1</v>
      </c>
      <c r="E47" s="633">
        <v>12560625</v>
      </c>
      <c r="F47" s="633">
        <f>+D47*E47</f>
        <v>12560625</v>
      </c>
      <c r="G47" s="456"/>
      <c r="H47" s="494">
        <f>H15/1000</f>
        <v>1.595</v>
      </c>
      <c r="I47" s="494">
        <f>1.05</f>
        <v>1.05</v>
      </c>
      <c r="J47" s="494">
        <f>H47*I47</f>
        <v>1.67475</v>
      </c>
    </row>
    <row r="48" spans="1:189" s="495" customFormat="1">
      <c r="A48" s="750" t="e">
        <f>#REF!</f>
        <v>#REF!</v>
      </c>
      <c r="B48" s="677" t="e">
        <f>#REF!</f>
        <v>#REF!</v>
      </c>
      <c r="C48" s="1501" t="e">
        <f>#REF!</f>
        <v>#REF!</v>
      </c>
      <c r="D48" s="815">
        <v>1</v>
      </c>
      <c r="E48" s="633">
        <v>10048500</v>
      </c>
      <c r="F48" s="633">
        <f>+D48*E48</f>
        <v>10048500</v>
      </c>
      <c r="G48" s="456"/>
      <c r="H48" s="494">
        <f>H47</f>
        <v>1.595</v>
      </c>
      <c r="I48" s="494">
        <f>1.05</f>
        <v>1.05</v>
      </c>
      <c r="J48" s="494">
        <f>H48*I48</f>
        <v>1.67475</v>
      </c>
    </row>
    <row r="49" spans="1:10" s="495" customFormat="1">
      <c r="A49" s="750" t="e">
        <f>#REF!</f>
        <v>#REF!</v>
      </c>
      <c r="B49" s="677" t="e">
        <f>#REF!</f>
        <v>#REF!</v>
      </c>
      <c r="C49" s="1501" t="e">
        <f>#REF!</f>
        <v>#REF!</v>
      </c>
      <c r="D49" s="728">
        <f>J49</f>
        <v>334.95</v>
      </c>
      <c r="E49" s="633" t="e">
        <f>#REF!</f>
        <v>#REF!</v>
      </c>
      <c r="F49" s="633" t="e">
        <f>+D49*E49</f>
        <v>#REF!</v>
      </c>
      <c r="G49" s="456"/>
      <c r="H49" s="494">
        <f>20%*H15</f>
        <v>319</v>
      </c>
      <c r="I49" s="494">
        <f>1.05</f>
        <v>1.05</v>
      </c>
      <c r="J49" s="494">
        <f>H49*I49</f>
        <v>334.95</v>
      </c>
    </row>
    <row r="50" spans="1:10" s="495" customFormat="1">
      <c r="A50" s="751" t="e">
        <f>#REF!</f>
        <v>#REF!</v>
      </c>
      <c r="B50" s="753" t="e">
        <f>#REF!</f>
        <v>#REF!</v>
      </c>
      <c r="C50" s="1502" t="e">
        <f>#REF!</f>
        <v>#REF!</v>
      </c>
      <c r="D50" s="816">
        <v>1</v>
      </c>
      <c r="E50" s="527">
        <v>2061623.949</v>
      </c>
      <c r="F50" s="527">
        <f>+D50*E50</f>
        <v>2061623.949</v>
      </c>
      <c r="G50" s="456"/>
      <c r="H50" s="494">
        <f>H48</f>
        <v>1.595</v>
      </c>
      <c r="I50" s="494">
        <f>1.05</f>
        <v>1.05</v>
      </c>
      <c r="J50" s="494">
        <f>H50*I50</f>
        <v>1.67475</v>
      </c>
    </row>
    <row r="51" spans="1:10" s="495" customFormat="1">
      <c r="A51" s="755" t="e">
        <f>#REF!</f>
        <v>#REF!</v>
      </c>
      <c r="B51" s="678" t="e">
        <f>#REF!</f>
        <v>#REF!</v>
      </c>
      <c r="C51" s="1539"/>
      <c r="D51" s="707"/>
      <c r="E51" s="641"/>
      <c r="F51" s="633"/>
      <c r="G51" s="456"/>
      <c r="H51" s="493"/>
      <c r="I51" s="494"/>
      <c r="J51" s="493"/>
    </row>
    <row r="52" spans="1:10" s="495" customFormat="1">
      <c r="A52" s="751"/>
      <c r="B52" s="708"/>
      <c r="C52" s="1537" t="e">
        <f>#REF!</f>
        <v>#REF!</v>
      </c>
      <c r="D52" s="647">
        <f>J52</f>
        <v>863.21400000000006</v>
      </c>
      <c r="E52" s="527" t="e">
        <f>#REF!</f>
        <v>#REF!</v>
      </c>
      <c r="F52" s="527" t="e">
        <f>+D52*E52</f>
        <v>#REF!</v>
      </c>
      <c r="G52" s="456"/>
      <c r="H52" s="493">
        <f>5%*H15*9.84</f>
        <v>784.74</v>
      </c>
      <c r="I52" s="494">
        <f>1.1</f>
        <v>1.1000000000000001</v>
      </c>
      <c r="J52" s="493">
        <f>H52*I52</f>
        <v>863.21400000000006</v>
      </c>
    </row>
    <row r="53" spans="1:10" s="495" customFormat="1">
      <c r="A53" s="689" t="e">
        <f>#REF!</f>
        <v>#REF!</v>
      </c>
      <c r="B53" s="711" t="e">
        <f>#REF!</f>
        <v>#REF!</v>
      </c>
      <c r="C53" s="1538"/>
      <c r="D53" s="651"/>
      <c r="E53" s="641"/>
      <c r="F53" s="641"/>
      <c r="G53" s="456"/>
      <c r="H53" s="493"/>
      <c r="I53" s="494"/>
      <c r="J53" s="493"/>
    </row>
    <row r="54" spans="1:10" s="495" customFormat="1">
      <c r="A54" s="751"/>
      <c r="B54" s="708"/>
      <c r="C54" s="1537" t="s">
        <v>1</v>
      </c>
      <c r="D54" s="647">
        <f>J54</f>
        <v>275</v>
      </c>
      <c r="E54" s="527" t="e">
        <f>#REF!</f>
        <v>#REF!</v>
      </c>
      <c r="F54" s="527" t="e">
        <f>+D54*E54</f>
        <v>#REF!</v>
      </c>
      <c r="G54" s="456"/>
      <c r="H54" s="493">
        <f>250</f>
        <v>250</v>
      </c>
      <c r="I54" s="494">
        <f>1.1</f>
        <v>1.1000000000000001</v>
      </c>
      <c r="J54" s="493">
        <f>H54*I54</f>
        <v>275</v>
      </c>
    </row>
    <row r="55" spans="1:10" s="495" customFormat="1">
      <c r="A55" s="689" t="e">
        <f>#REF!</f>
        <v>#REF!</v>
      </c>
      <c r="B55" s="711" t="e">
        <f>#REF!</f>
        <v>#REF!</v>
      </c>
      <c r="C55" s="1538"/>
      <c r="D55" s="651"/>
      <c r="E55" s="641"/>
      <c r="F55" s="641"/>
      <c r="G55" s="456"/>
      <c r="H55" s="493"/>
      <c r="I55" s="494"/>
      <c r="J55" s="493"/>
    </row>
    <row r="56" spans="1:10" s="495" customFormat="1">
      <c r="A56" s="750" t="e">
        <f>#REF!</f>
        <v>#REF!</v>
      </c>
      <c r="B56" s="677" t="e">
        <f>#REF!</f>
        <v>#REF!</v>
      </c>
      <c r="C56" s="1540" t="e">
        <f>#REF!</f>
        <v>#REF!</v>
      </c>
      <c r="D56" s="707">
        <f>J56</f>
        <v>6351.4000000000005</v>
      </c>
      <c r="E56" s="633" t="e">
        <f>#REF!</f>
        <v>#REF!</v>
      </c>
      <c r="F56" s="633" t="e">
        <f>+D56*E56</f>
        <v>#REF!</v>
      </c>
      <c r="G56" s="456"/>
      <c r="H56" s="494">
        <f>1200+620+150+338+273+458+170+240+1205+510+610</f>
        <v>5774</v>
      </c>
      <c r="I56" s="494">
        <v>1.1000000000000001</v>
      </c>
      <c r="J56" s="493">
        <f>H56*I56</f>
        <v>6351.4000000000005</v>
      </c>
    </row>
    <row r="57" spans="1:10" s="495" customFormat="1">
      <c r="A57" s="750" t="e">
        <f>#REF!</f>
        <v>#REF!</v>
      </c>
      <c r="B57" s="677" t="e">
        <f>#REF!</f>
        <v>#REF!</v>
      </c>
      <c r="C57" s="1540" t="e">
        <f>#REF!</f>
        <v>#REF!</v>
      </c>
      <c r="D57" s="707">
        <f>J57</f>
        <v>0</v>
      </c>
      <c r="E57" s="633" t="e">
        <f>#REF!</f>
        <v>#REF!</v>
      </c>
      <c r="F57" s="527" t="e">
        <f>+D57*E57</f>
        <v>#REF!</v>
      </c>
      <c r="G57" s="456"/>
      <c r="H57" s="493">
        <v>0</v>
      </c>
      <c r="I57" s="494">
        <v>1.1000000000000001</v>
      </c>
      <c r="J57" s="493">
        <f>H57*I57</f>
        <v>0</v>
      </c>
    </row>
    <row r="58" spans="1:10" s="495" customFormat="1">
      <c r="A58" s="689" t="e">
        <f>#REF!</f>
        <v>#REF!</v>
      </c>
      <c r="B58" s="711" t="e">
        <f>#REF!</f>
        <v>#REF!</v>
      </c>
      <c r="C58" s="1538"/>
      <c r="D58" s="651"/>
      <c r="E58" s="641"/>
      <c r="F58" s="641"/>
      <c r="G58" s="456"/>
      <c r="H58" s="493"/>
      <c r="I58" s="494"/>
      <c r="J58" s="493"/>
    </row>
    <row r="59" spans="1:10" s="495" customFormat="1">
      <c r="A59" s="751"/>
      <c r="B59" s="708"/>
      <c r="C59" s="1537" t="e">
        <f>#REF!</f>
        <v>#REF!</v>
      </c>
      <c r="D59" s="661">
        <v>0</v>
      </c>
      <c r="E59" s="527" t="e">
        <f>#REF!</f>
        <v>#REF!</v>
      </c>
      <c r="F59" s="527" t="e">
        <f>+D59*E59</f>
        <v>#REF!</v>
      </c>
      <c r="G59" s="456"/>
      <c r="H59" s="493"/>
      <c r="I59" s="494"/>
      <c r="J59" s="493"/>
    </row>
    <row r="60" spans="1:10" s="495" customFormat="1">
      <c r="A60" s="689" t="e">
        <f>#REF!</f>
        <v>#REF!</v>
      </c>
      <c r="B60" s="711" t="e">
        <f>#REF!</f>
        <v>#REF!</v>
      </c>
      <c r="C60" s="1538"/>
      <c r="D60" s="651"/>
      <c r="E60" s="641"/>
      <c r="F60" s="641"/>
      <c r="G60" s="456"/>
      <c r="H60" s="493"/>
      <c r="I60" s="494"/>
      <c r="J60" s="493"/>
    </row>
    <row r="61" spans="1:10" s="495" customFormat="1">
      <c r="A61" s="751"/>
      <c r="B61" s="708"/>
      <c r="C61" s="1537" t="e">
        <f>#REF!</f>
        <v>#REF!</v>
      </c>
      <c r="D61" s="647">
        <f>J61</f>
        <v>0</v>
      </c>
      <c r="E61" s="527" t="e">
        <f>#REF!</f>
        <v>#REF!</v>
      </c>
      <c r="F61" s="527" t="e">
        <f>+D61*E61</f>
        <v>#REF!</v>
      </c>
      <c r="G61" s="456"/>
      <c r="H61" s="493">
        <v>0</v>
      </c>
      <c r="I61" s="494">
        <f>1.1</f>
        <v>1.1000000000000001</v>
      </c>
      <c r="J61" s="493">
        <f>H61*I61</f>
        <v>0</v>
      </c>
    </row>
    <row r="62" spans="1:10" s="495" customFormat="1">
      <c r="A62" s="689" t="e">
        <f>#REF!</f>
        <v>#REF!</v>
      </c>
      <c r="B62" s="711" t="e">
        <f>#REF!</f>
        <v>#REF!</v>
      </c>
      <c r="C62" s="1538"/>
      <c r="D62" s="651"/>
      <c r="E62" s="641"/>
      <c r="F62" s="641"/>
      <c r="G62" s="456"/>
      <c r="H62" s="493"/>
      <c r="I62" s="494"/>
      <c r="J62" s="493"/>
    </row>
    <row r="63" spans="1:10" s="495" customFormat="1">
      <c r="A63" s="751"/>
      <c r="B63" s="708"/>
      <c r="C63" s="1537" t="e">
        <f>#REF!</f>
        <v>#REF!</v>
      </c>
      <c r="D63" s="647">
        <f>J63</f>
        <v>0</v>
      </c>
      <c r="E63" s="527" t="e">
        <f>#REF!</f>
        <v>#REF!</v>
      </c>
      <c r="F63" s="527" t="e">
        <f>+D63*E63</f>
        <v>#REF!</v>
      </c>
      <c r="G63" s="456"/>
      <c r="H63" s="493">
        <v>0</v>
      </c>
      <c r="I63" s="494">
        <v>1.1000000000000001</v>
      </c>
      <c r="J63" s="493">
        <f>H63*I63</f>
        <v>0</v>
      </c>
    </row>
    <row r="64" spans="1:10" s="495" customFormat="1">
      <c r="A64" s="689" t="e">
        <f>#REF!</f>
        <v>#REF!</v>
      </c>
      <c r="B64" s="711" t="e">
        <f>#REF!</f>
        <v>#REF!</v>
      </c>
      <c r="C64" s="1538"/>
      <c r="D64" s="651"/>
      <c r="E64" s="641"/>
      <c r="F64" s="641"/>
      <c r="G64" s="456"/>
      <c r="H64" s="493"/>
      <c r="I64" s="494"/>
      <c r="J64" s="493"/>
    </row>
    <row r="65" spans="1:12" s="495" customFormat="1">
      <c r="A65" s="751"/>
      <c r="B65" s="708"/>
      <c r="C65" s="1537" t="e">
        <f>#REF!</f>
        <v>#REF!</v>
      </c>
      <c r="D65" s="647">
        <f>J65</f>
        <v>0</v>
      </c>
      <c r="E65" s="527" t="e">
        <f>#REF!</f>
        <v>#REF!</v>
      </c>
      <c r="F65" s="527" t="e">
        <f>+D65*E65</f>
        <v>#REF!</v>
      </c>
      <c r="G65" s="456"/>
      <c r="H65" s="493">
        <v>0</v>
      </c>
      <c r="I65" s="494">
        <v>1.1000000000000001</v>
      </c>
      <c r="J65" s="493">
        <f>H65*I65</f>
        <v>0</v>
      </c>
      <c r="K65" s="495">
        <f>450+250+955</f>
        <v>1655</v>
      </c>
    </row>
    <row r="66" spans="1:12" s="495" customFormat="1" ht="18.75">
      <c r="A66" s="763"/>
      <c r="B66" s="464"/>
      <c r="C66" s="686"/>
      <c r="D66" s="635"/>
      <c r="E66" s="636" t="s">
        <v>111</v>
      </c>
      <c r="F66" s="637" t="e">
        <f>SUM(F40:F65)</f>
        <v>#REF!</v>
      </c>
      <c r="G66" s="456"/>
      <c r="H66" s="493"/>
      <c r="I66" s="494"/>
      <c r="J66" s="493"/>
    </row>
    <row r="67" spans="1:12" s="48" customFormat="1" ht="15.75">
      <c r="A67" s="406"/>
      <c r="B67" s="40"/>
      <c r="C67" s="51"/>
      <c r="D67" s="76"/>
      <c r="E67" s="66"/>
      <c r="F67" s="66"/>
      <c r="G67" s="5"/>
      <c r="H67" s="1421"/>
      <c r="I67" s="1422"/>
      <c r="J67" s="1421"/>
    </row>
    <row r="68" spans="1:12" s="779" customFormat="1" ht="24.95" customHeight="1">
      <c r="A68" s="1905" t="e">
        <f>#REF!</f>
        <v>#REF!</v>
      </c>
      <c r="B68" s="1906"/>
      <c r="C68" s="1906"/>
      <c r="D68" s="1906"/>
      <c r="E68" s="1906"/>
      <c r="F68" s="1907"/>
      <c r="G68" s="776"/>
      <c r="H68" s="777"/>
      <c r="I68" s="778"/>
      <c r="J68" s="777"/>
    </row>
    <row r="69" spans="1:12" s="495" customFormat="1">
      <c r="A69" s="689" t="e">
        <f>#REF!</f>
        <v>#REF!</v>
      </c>
      <c r="B69" s="752" t="e">
        <f>#REF!</f>
        <v>#REF!</v>
      </c>
      <c r="C69" s="739"/>
      <c r="D69" s="651"/>
      <c r="E69" s="641"/>
      <c r="F69" s="641"/>
      <c r="G69" s="456"/>
      <c r="H69" s="493"/>
      <c r="I69" s="494"/>
      <c r="J69" s="493"/>
    </row>
    <row r="70" spans="1:12" s="495" customFormat="1">
      <c r="A70" s="751" t="e">
        <f>#REF!</f>
        <v>#REF!</v>
      </c>
      <c r="B70" s="708" t="e">
        <f>#REF!</f>
        <v>#REF!</v>
      </c>
      <c r="C70" s="1560" t="e">
        <f>#REF!</f>
        <v>#REF!</v>
      </c>
      <c r="D70" s="647">
        <f>J70</f>
        <v>14737.800000000001</v>
      </c>
      <c r="E70" s="527" t="e">
        <f>#REF!</f>
        <v>#REF!</v>
      </c>
      <c r="F70" s="527" t="e">
        <f>+D70*E70</f>
        <v>#REF!</v>
      </c>
      <c r="G70" s="456"/>
      <c r="H70" s="700">
        <f>12*(F5+F6+F7)*0.7</f>
        <v>13398</v>
      </c>
      <c r="I70" s="494">
        <v>1.1000000000000001</v>
      </c>
      <c r="J70" s="493">
        <f>H70*I70</f>
        <v>14737.800000000001</v>
      </c>
      <c r="L70" s="495" t="s">
        <v>354</v>
      </c>
    </row>
    <row r="71" spans="1:12" s="495" customFormat="1">
      <c r="A71" s="755" t="e">
        <f>#REF!</f>
        <v>#REF!</v>
      </c>
      <c r="B71" s="678" t="e">
        <f>#REF!</f>
        <v>#REF!</v>
      </c>
      <c r="C71" s="1539"/>
      <c r="D71" s="651"/>
      <c r="E71" s="633"/>
      <c r="F71" s="633"/>
      <c r="G71" s="456"/>
      <c r="H71" s="493"/>
      <c r="I71" s="494"/>
      <c r="J71" s="493">
        <f>J70*0</f>
        <v>0</v>
      </c>
    </row>
    <row r="72" spans="1:12" s="495" customFormat="1">
      <c r="A72" s="751"/>
      <c r="B72" s="708"/>
      <c r="C72" s="1537" t="e">
        <f>#REF!</f>
        <v>#REF!</v>
      </c>
      <c r="D72" s="647">
        <f>D70*0.1</f>
        <v>1473.7800000000002</v>
      </c>
      <c r="E72" s="527" t="e">
        <f>#REF!</f>
        <v>#REF!</v>
      </c>
      <c r="F72" s="527" t="e">
        <f>+D72*E72</f>
        <v>#REF!</v>
      </c>
      <c r="G72" s="456"/>
      <c r="H72" s="493"/>
      <c r="I72" s="494"/>
      <c r="J72" s="493"/>
    </row>
    <row r="73" spans="1:12" s="495" customFormat="1">
      <c r="A73" s="755" t="e">
        <f>#REF!</f>
        <v>#REF!</v>
      </c>
      <c r="B73" s="678" t="e">
        <f>#REF!</f>
        <v>#REF!</v>
      </c>
      <c r="C73" s="1539"/>
      <c r="D73" s="651"/>
      <c r="E73" s="641"/>
      <c r="F73" s="641"/>
      <c r="G73" s="456"/>
      <c r="H73" s="493"/>
      <c r="I73" s="494"/>
      <c r="J73" s="493"/>
    </row>
    <row r="74" spans="1:12" s="495" customFormat="1">
      <c r="A74" s="751"/>
      <c r="B74" s="708"/>
      <c r="C74" s="1537" t="e">
        <f>#REF!</f>
        <v>#REF!</v>
      </c>
      <c r="D74" s="647">
        <f>J76*0+K74</f>
        <v>3851.9249999999997</v>
      </c>
      <c r="E74" s="527" t="e">
        <f>#REF!</f>
        <v>#REF!</v>
      </c>
      <c r="F74" s="527" t="e">
        <f>+D74*E74</f>
        <v>#REF!</v>
      </c>
      <c r="G74" s="456"/>
      <c r="H74" s="493">
        <f>+H70*0.25</f>
        <v>3349.5</v>
      </c>
      <c r="I74" s="494">
        <f>1.15</f>
        <v>1.1499999999999999</v>
      </c>
      <c r="J74" s="493">
        <f>H74*I74</f>
        <v>3851.9249999999997</v>
      </c>
      <c r="K74" s="495">
        <f>J74-J71</f>
        <v>3851.9249999999997</v>
      </c>
    </row>
    <row r="75" spans="1:12" s="538" customFormat="1">
      <c r="A75" s="1281" t="e">
        <f>#REF!</f>
        <v>#REF!</v>
      </c>
      <c r="B75" s="826" t="e">
        <f>#REF!</f>
        <v>#REF!</v>
      </c>
      <c r="C75" s="1167"/>
      <c r="D75" s="651"/>
      <c r="E75" s="544"/>
      <c r="F75" s="544"/>
      <c r="H75" s="539"/>
      <c r="I75" s="540"/>
      <c r="J75" s="539"/>
    </row>
    <row r="76" spans="1:12" s="538" customFormat="1">
      <c r="A76" s="639"/>
      <c r="B76" s="715"/>
      <c r="C76" s="1557" t="e">
        <f>#REF!</f>
        <v>#REF!</v>
      </c>
      <c r="D76" s="647">
        <f>J76</f>
        <v>7018.0000000000009</v>
      </c>
      <c r="E76" s="547" t="e">
        <f>#REF!</f>
        <v>#REF!</v>
      </c>
      <c r="F76" s="547" t="e">
        <f>+D76*E76</f>
        <v>#REF!</v>
      </c>
      <c r="H76" s="539">
        <f>+F8/3*12*1</f>
        <v>6380</v>
      </c>
      <c r="I76" s="540">
        <f>1.1</f>
        <v>1.1000000000000001</v>
      </c>
      <c r="J76" s="539">
        <f>H76*I76</f>
        <v>7018.0000000000009</v>
      </c>
      <c r="K76" s="538" t="s">
        <v>417</v>
      </c>
    </row>
    <row r="77" spans="1:12" s="495" customFormat="1" ht="18.75">
      <c r="A77" s="1278"/>
      <c r="B77" s="500"/>
      <c r="C77" s="686"/>
      <c r="D77" s="635"/>
      <c r="E77" s="636" t="s">
        <v>110</v>
      </c>
      <c r="F77" s="637" t="e">
        <f>SUM(F69:F76)</f>
        <v>#REF!</v>
      </c>
      <c r="G77" s="456"/>
      <c r="H77" s="493"/>
      <c r="I77" s="494"/>
      <c r="J77" s="493"/>
    </row>
    <row r="78" spans="1:12" s="129" customFormat="1" ht="15.95" customHeight="1">
      <c r="A78" s="1423"/>
      <c r="B78" s="501"/>
      <c r="C78" s="501"/>
      <c r="D78" s="501"/>
      <c r="E78" s="501"/>
      <c r="F78" s="501"/>
      <c r="G78" s="142"/>
      <c r="H78" s="255"/>
      <c r="I78" s="262"/>
      <c r="J78" s="255"/>
    </row>
    <row r="79" spans="1:12" s="779" customFormat="1" ht="24.95" customHeight="1">
      <c r="A79" s="1905" t="e">
        <f>#REF!</f>
        <v>#REF!</v>
      </c>
      <c r="B79" s="1906"/>
      <c r="C79" s="1906"/>
      <c r="D79" s="1906"/>
      <c r="E79" s="1906"/>
      <c r="F79" s="1907"/>
      <c r="G79" s="776"/>
      <c r="H79" s="817">
        <f>0.2*7.84*SUM(F5:F7)+0.2*20*20*12+50*50*0.2</f>
        <v>3960.96</v>
      </c>
      <c r="I79" s="778">
        <f>1.1</f>
        <v>1.1000000000000001</v>
      </c>
      <c r="J79" s="777">
        <f>H79*I79</f>
        <v>4357.0560000000005</v>
      </c>
    </row>
    <row r="80" spans="1:12" s="495" customFormat="1">
      <c r="A80" s="755" t="e">
        <f>#REF!</f>
        <v>#REF!</v>
      </c>
      <c r="B80" s="1110" t="e">
        <f>#REF!</f>
        <v>#REF!</v>
      </c>
      <c r="C80" s="1532"/>
      <c r="D80" s="712"/>
      <c r="E80" s="650"/>
      <c r="F80" s="650"/>
      <c r="G80" s="456"/>
      <c r="H80" s="493"/>
      <c r="I80" s="494"/>
      <c r="J80" s="493"/>
      <c r="K80" s="495" t="s">
        <v>273</v>
      </c>
    </row>
    <row r="81" spans="1:13" s="495" customFormat="1">
      <c r="A81" s="751" t="e">
        <f>#REF!</f>
        <v>#REF!</v>
      </c>
      <c r="B81" s="708" t="e">
        <f>#REF!</f>
        <v>#REF!</v>
      </c>
      <c r="C81" s="1529" t="e">
        <f>#REF!</f>
        <v>#REF!</v>
      </c>
      <c r="D81" s="1500">
        <f>J81</f>
        <v>9084.5920000000006</v>
      </c>
      <c r="E81" s="547" t="e">
        <f>#REF!</f>
        <v>#REF!</v>
      </c>
      <c r="F81" s="547" t="e">
        <f>+D81*E81</f>
        <v>#REF!</v>
      </c>
      <c r="G81" s="456"/>
      <c r="H81" s="781">
        <f>0.35*7.84*(H15)+0.2*(12-7.84)*H15+0.35*20*20*12+50*50*0.35</f>
        <v>8258.7199999999993</v>
      </c>
      <c r="I81" s="494">
        <f>1.1</f>
        <v>1.1000000000000001</v>
      </c>
      <c r="J81" s="493">
        <f>H81*I81</f>
        <v>9084.5920000000006</v>
      </c>
    </row>
    <row r="82" spans="1:13" s="495" customFormat="1">
      <c r="A82" s="689" t="e">
        <f>#REF!</f>
        <v>#REF!</v>
      </c>
      <c r="B82" s="752" t="e">
        <f>#REF!</f>
        <v>#REF!</v>
      </c>
      <c r="C82" s="1532"/>
      <c r="D82" s="543"/>
      <c r="E82" s="641"/>
      <c r="F82" s="641"/>
      <c r="G82" s="456"/>
      <c r="H82" s="493"/>
      <c r="I82" s="494"/>
      <c r="J82" s="493"/>
    </row>
    <row r="83" spans="1:13" s="495" customFormat="1">
      <c r="A83" s="751"/>
      <c r="B83" s="708"/>
      <c r="C83" s="1529" t="e">
        <f>#REF!</f>
        <v>#REF!</v>
      </c>
      <c r="D83" s="1500">
        <f>J83</f>
        <v>0</v>
      </c>
      <c r="E83" s="527" t="e">
        <f>#REF!</f>
        <v>#REF!</v>
      </c>
      <c r="F83" s="527" t="e">
        <f>+D83*E83</f>
        <v>#REF!</v>
      </c>
      <c r="G83" s="456"/>
      <c r="H83" s="493">
        <f>(7.84*SUM(F5:F7))*2+(12-7.84)*SUM(F5:F7)+20*20*7.84*2</f>
        <v>37916.800000000003</v>
      </c>
      <c r="I83" s="494">
        <f>1.05*0</f>
        <v>0</v>
      </c>
      <c r="J83" s="493">
        <f>H83*I83</f>
        <v>0</v>
      </c>
    </row>
    <row r="84" spans="1:13" s="495" customFormat="1">
      <c r="A84" s="689" t="e">
        <f>#REF!</f>
        <v>#REF!</v>
      </c>
      <c r="B84" s="752" t="e">
        <f>#REF!</f>
        <v>#REF!</v>
      </c>
      <c r="C84" s="1532"/>
      <c r="D84" s="543"/>
      <c r="E84" s="641"/>
      <c r="F84" s="641"/>
      <c r="G84" s="456"/>
      <c r="H84" s="493"/>
      <c r="I84" s="494"/>
      <c r="J84" s="493"/>
    </row>
    <row r="85" spans="1:13" s="495" customFormat="1">
      <c r="A85" s="751"/>
      <c r="B85" s="708"/>
      <c r="C85" s="1529" t="e">
        <f>#REF!</f>
        <v>#REF!</v>
      </c>
      <c r="D85" s="1500">
        <f>+D83</f>
        <v>0</v>
      </c>
      <c r="E85" s="527" t="e">
        <f>#REF!</f>
        <v>#REF!</v>
      </c>
      <c r="F85" s="527" t="e">
        <f>+D85*E85</f>
        <v>#REF!</v>
      </c>
      <c r="G85" s="456"/>
      <c r="H85" s="493"/>
      <c r="I85" s="494"/>
      <c r="J85" s="493"/>
    </row>
    <row r="86" spans="1:13" s="495" customFormat="1">
      <c r="A86" s="689" t="e">
        <f>#REF!</f>
        <v>#REF!</v>
      </c>
      <c r="B86" s="752" t="e">
        <f>#REF!</f>
        <v>#REF!</v>
      </c>
      <c r="C86" s="1532"/>
      <c r="D86" s="543"/>
      <c r="E86" s="641"/>
      <c r="F86" s="641"/>
      <c r="G86" s="456"/>
      <c r="H86" s="493"/>
      <c r="I86" s="494"/>
      <c r="J86" s="493"/>
    </row>
    <row r="87" spans="1:13" s="495" customFormat="1">
      <c r="A87" s="751"/>
      <c r="B87" s="708"/>
      <c r="C87" s="1528" t="e">
        <f>#REF!</f>
        <v>#REF!</v>
      </c>
      <c r="D87" s="1499">
        <f>J87</f>
        <v>424812.96000000008</v>
      </c>
      <c r="E87" s="633" t="e">
        <f>#REF!</f>
        <v>#REF!</v>
      </c>
      <c r="F87" s="527" t="e">
        <f>+D87*E87</f>
        <v>#REF!</v>
      </c>
      <c r="G87" s="456"/>
      <c r="H87" s="493">
        <f>H79*1950*5%</f>
        <v>386193.60000000003</v>
      </c>
      <c r="I87" s="494">
        <v>1.1000000000000001</v>
      </c>
      <c r="J87" s="493">
        <f>H87*I87</f>
        <v>424812.96000000008</v>
      </c>
    </row>
    <row r="88" spans="1:13" s="495" customFormat="1">
      <c r="A88" s="689" t="e">
        <f>#REF!</f>
        <v>#REF!</v>
      </c>
      <c r="B88" s="711" t="e">
        <f>#REF!</f>
        <v>#REF!</v>
      </c>
      <c r="C88" s="1264"/>
      <c r="D88" s="1498"/>
      <c r="E88" s="641"/>
      <c r="F88" s="641"/>
      <c r="G88" s="456"/>
      <c r="H88" s="493"/>
      <c r="I88" s="494"/>
      <c r="J88" s="493"/>
    </row>
    <row r="89" spans="1:13" s="495" customFormat="1">
      <c r="A89" s="755" t="e">
        <f>#REF!</f>
        <v>#REF!</v>
      </c>
      <c r="B89" s="678" t="e">
        <f>#REF!</f>
        <v>#REF!</v>
      </c>
      <c r="C89" s="1501"/>
      <c r="D89" s="1499"/>
      <c r="E89" s="633"/>
      <c r="F89" s="633"/>
      <c r="G89" s="456"/>
      <c r="H89" s="493"/>
      <c r="I89" s="494"/>
      <c r="J89" s="493"/>
    </row>
    <row r="90" spans="1:13" s="495" customFormat="1">
      <c r="A90" s="750" t="e">
        <f>#REF!</f>
        <v>#REF!</v>
      </c>
      <c r="B90" s="677" t="e">
        <f>#REF!</f>
        <v>#REF!</v>
      </c>
      <c r="C90" s="1501" t="e">
        <f>#REF!</f>
        <v>#REF!</v>
      </c>
      <c r="D90" s="1499">
        <f>+J90*0.9</f>
        <v>14780.556</v>
      </c>
      <c r="E90" s="633" t="e">
        <f>#REF!</f>
        <v>#REF!</v>
      </c>
      <c r="F90" s="650" t="e">
        <f t="shared" ref="F90:F91" si="0">+D90*E90</f>
        <v>#REF!</v>
      </c>
      <c r="G90" s="456"/>
      <c r="H90" s="792">
        <f>7.84*SUM(F5:F7)+20*7.84*20</f>
        <v>15640.8</v>
      </c>
      <c r="I90" s="793">
        <v>1.05</v>
      </c>
      <c r="J90" s="792">
        <f>H90*I90</f>
        <v>16422.84</v>
      </c>
      <c r="K90" s="462"/>
    </row>
    <row r="91" spans="1:13" s="495" customFormat="1">
      <c r="A91" s="750" t="e">
        <f>#REF!</f>
        <v>#REF!</v>
      </c>
      <c r="B91" s="677" t="e">
        <f>#REF!</f>
        <v>#REF!</v>
      </c>
      <c r="C91" s="1501" t="e">
        <f>#REF!</f>
        <v>#REF!</v>
      </c>
      <c r="D91" s="1499">
        <f>+J91*0.83</f>
        <v>9411.5028000000002</v>
      </c>
      <c r="E91" s="633" t="e">
        <f>#REF!</f>
        <v>#REF!</v>
      </c>
      <c r="F91" s="650" t="e">
        <f t="shared" si="0"/>
        <v>#REF!</v>
      </c>
      <c r="G91" s="456"/>
      <c r="H91" s="493">
        <f>(12-7.84)*SUM(F5:F7)+20*(12-7.84)*20+50*50</f>
        <v>10799.2</v>
      </c>
      <c r="I91" s="793">
        <v>1.05</v>
      </c>
      <c r="J91" s="493">
        <f>H91*I91</f>
        <v>11339.160000000002</v>
      </c>
      <c r="K91" s="818" t="s">
        <v>418</v>
      </c>
    </row>
    <row r="92" spans="1:13" s="495" customFormat="1">
      <c r="A92" s="755" t="e">
        <f>#REF!</f>
        <v>#REF!</v>
      </c>
      <c r="B92" s="678" t="e">
        <f>#REF!</f>
        <v>#REF!</v>
      </c>
      <c r="C92" s="1485"/>
      <c r="D92" s="654"/>
      <c r="E92" s="633"/>
      <c r="F92" s="650"/>
      <c r="G92" s="456"/>
      <c r="H92" s="493"/>
      <c r="I92" s="494"/>
      <c r="J92" s="493"/>
      <c r="K92" s="818"/>
    </row>
    <row r="93" spans="1:13" s="462" customFormat="1">
      <c r="A93" s="638" t="e">
        <f>#REF!</f>
        <v>#REF!</v>
      </c>
      <c r="B93" s="749" t="e">
        <f>#REF!</f>
        <v>#REF!</v>
      </c>
      <c r="C93" s="1501" t="e">
        <f>#REF!</f>
        <v>#REF!</v>
      </c>
      <c r="D93" s="1499">
        <f>+D90</f>
        <v>14780.556</v>
      </c>
      <c r="E93" s="650" t="e">
        <f>#REF!</f>
        <v>#REF!</v>
      </c>
      <c r="F93" s="650" t="e">
        <f>+D93*E93</f>
        <v>#REF!</v>
      </c>
    </row>
    <row r="94" spans="1:13" s="495" customFormat="1">
      <c r="A94" s="751" t="e">
        <f>#REF!</f>
        <v>#REF!</v>
      </c>
      <c r="B94" s="753" t="e">
        <f>#REF!</f>
        <v>#REF!</v>
      </c>
      <c r="C94" s="1485" t="e">
        <f>#REF!</f>
        <v>#REF!</v>
      </c>
      <c r="D94" s="1499">
        <f>+D91</f>
        <v>9411.5028000000002</v>
      </c>
      <c r="E94" s="633" t="e">
        <f>#REF!</f>
        <v>#REF!</v>
      </c>
      <c r="F94" s="633" t="e">
        <f>+D94*E94</f>
        <v>#REF!</v>
      </c>
      <c r="G94" s="456"/>
      <c r="M94" s="495">
        <f>18*20</f>
        <v>360</v>
      </c>
    </row>
    <row r="95" spans="1:13" s="495" customFormat="1">
      <c r="A95" s="689" t="e">
        <f>#REF!</f>
        <v>#REF!</v>
      </c>
      <c r="B95" s="711" t="e">
        <f>#REF!</f>
        <v>#REF!</v>
      </c>
      <c r="C95" s="1407"/>
      <c r="D95" s="662"/>
      <c r="E95" s="641"/>
      <c r="F95" s="641"/>
      <c r="G95" s="456"/>
    </row>
    <row r="96" spans="1:13" s="495" customFormat="1">
      <c r="A96" s="755" t="e">
        <f>#REF!</f>
        <v>#REF!</v>
      </c>
      <c r="B96" s="678" t="e">
        <f>#REF!</f>
        <v>#REF!</v>
      </c>
      <c r="C96" s="1485"/>
      <c r="D96" s="654"/>
      <c r="E96" s="633"/>
      <c r="F96" s="633"/>
      <c r="G96" s="456"/>
      <c r="H96" s="493"/>
      <c r="I96" s="494"/>
      <c r="J96" s="493"/>
      <c r="K96" s="818"/>
    </row>
    <row r="97" spans="1:11" s="495" customFormat="1">
      <c r="A97" s="750" t="e">
        <f>#REF!</f>
        <v>#REF!</v>
      </c>
      <c r="B97" s="677" t="e">
        <f>#REF!</f>
        <v>#REF!</v>
      </c>
      <c r="C97" s="1485" t="e">
        <f>#REF!</f>
        <v>#REF!</v>
      </c>
      <c r="D97" s="654">
        <f>+J97</f>
        <v>612</v>
      </c>
      <c r="E97" s="633" t="e">
        <f>#REF!</f>
        <v>#REF!</v>
      </c>
      <c r="F97" s="633" t="e">
        <f>+D97*E97</f>
        <v>#REF!</v>
      </c>
      <c r="G97" s="456"/>
      <c r="H97" s="493">
        <f>20*30</f>
        <v>600</v>
      </c>
      <c r="I97" s="494">
        <v>1.02</v>
      </c>
      <c r="J97" s="493">
        <f>H97*I97</f>
        <v>612</v>
      </c>
      <c r="K97" s="818"/>
    </row>
    <row r="98" spans="1:11" s="495" customFormat="1">
      <c r="A98" s="750" t="e">
        <f>#REF!</f>
        <v>#REF!</v>
      </c>
      <c r="B98" s="677" t="e">
        <f>#REF!</f>
        <v>#REF!</v>
      </c>
      <c r="C98" s="1485" t="e">
        <f>#REF!</f>
        <v>#REF!</v>
      </c>
      <c r="D98" s="654">
        <f t="shared" ref="D98:D100" si="1">+J98</f>
        <v>3440</v>
      </c>
      <c r="E98" s="633" t="e">
        <f>#REF!</f>
        <v>#REF!</v>
      </c>
      <c r="F98" s="633" t="e">
        <f t="shared" ref="F98:F100" si="2">+D98*E98</f>
        <v>#REF!</v>
      </c>
      <c r="G98" s="456"/>
      <c r="H98" s="493">
        <f>2*SUM(F5:F7)+50*50/10</f>
        <v>3440</v>
      </c>
      <c r="I98" s="494">
        <v>1</v>
      </c>
      <c r="J98" s="493">
        <f>H98*I98</f>
        <v>3440</v>
      </c>
      <c r="K98" s="818"/>
    </row>
    <row r="99" spans="1:11" s="495" customFormat="1">
      <c r="A99" s="750" t="e">
        <f>#REF!</f>
        <v>#REF!</v>
      </c>
      <c r="B99" s="677" t="e">
        <f>#REF!</f>
        <v>#REF!</v>
      </c>
      <c r="C99" s="1485" t="e">
        <f>#REF!</f>
        <v>#REF!</v>
      </c>
      <c r="D99" s="654">
        <f t="shared" si="1"/>
        <v>0</v>
      </c>
      <c r="E99" s="633" t="e">
        <f>#REF!</f>
        <v>#REF!</v>
      </c>
      <c r="F99" s="633" t="e">
        <f t="shared" si="2"/>
        <v>#REF!</v>
      </c>
      <c r="G99" s="456"/>
      <c r="K99" s="818"/>
    </row>
    <row r="100" spans="1:11" s="495" customFormat="1">
      <c r="A100" s="750" t="e">
        <f>#REF!</f>
        <v>#REF!</v>
      </c>
      <c r="B100" s="677" t="e">
        <f>#REF!</f>
        <v>#REF!</v>
      </c>
      <c r="C100" s="1485" t="e">
        <f>#REF!</f>
        <v>#REF!</v>
      </c>
      <c r="D100" s="654">
        <f t="shared" si="1"/>
        <v>3661.8</v>
      </c>
      <c r="E100" s="633" t="e">
        <f>#REF!</f>
        <v>#REF!</v>
      </c>
      <c r="F100" s="633" t="e">
        <f t="shared" si="2"/>
        <v>#REF!</v>
      </c>
      <c r="G100" s="456"/>
      <c r="H100" s="700">
        <f>+F8*2+20*2*10</f>
        <v>3590</v>
      </c>
      <c r="I100" s="494">
        <v>1.02</v>
      </c>
      <c r="J100" s="493">
        <f>H100*I100</f>
        <v>3661.8</v>
      </c>
      <c r="K100" s="818"/>
    </row>
    <row r="101" spans="1:11" s="495" customFormat="1">
      <c r="A101" s="755" t="e">
        <f>#REF!</f>
        <v>#REF!</v>
      </c>
      <c r="B101" s="678" t="e">
        <f>#REF!</f>
        <v>#REF!</v>
      </c>
      <c r="C101" s="1507"/>
      <c r="D101" s="757"/>
      <c r="E101" s="633"/>
      <c r="F101" s="633"/>
      <c r="G101" s="456"/>
      <c r="H101" s="493"/>
      <c r="I101" s="494"/>
      <c r="J101" s="493"/>
    </row>
    <row r="102" spans="1:11" s="495" customFormat="1">
      <c r="A102" s="750" t="e">
        <f>#REF!</f>
        <v>#REF!</v>
      </c>
      <c r="B102" s="677" t="e">
        <f>#REF!</f>
        <v>#REF!</v>
      </c>
      <c r="C102" s="1486" t="e">
        <f>#REF!</f>
        <v>#REF!</v>
      </c>
      <c r="D102" s="757">
        <f>+D97</f>
        <v>612</v>
      </c>
      <c r="E102" s="633" t="e">
        <f>#REF!</f>
        <v>#REF!</v>
      </c>
      <c r="F102" s="633" t="e">
        <f>+D102*E102</f>
        <v>#REF!</v>
      </c>
      <c r="G102" s="456"/>
    </row>
    <row r="103" spans="1:11" s="495" customFormat="1">
      <c r="A103" s="750" t="e">
        <f>#REF!</f>
        <v>#REF!</v>
      </c>
      <c r="B103" s="677" t="e">
        <f>#REF!</f>
        <v>#REF!</v>
      </c>
      <c r="C103" s="1486" t="e">
        <f>#REF!</f>
        <v>#REF!</v>
      </c>
      <c r="D103" s="757">
        <f t="shared" ref="D103:D105" si="3">+D98</f>
        <v>3440</v>
      </c>
      <c r="E103" s="633" t="e">
        <f>#REF!</f>
        <v>#REF!</v>
      </c>
      <c r="F103" s="633" t="e">
        <f>+D103*E103</f>
        <v>#REF!</v>
      </c>
      <c r="G103" s="456"/>
    </row>
    <row r="104" spans="1:11" s="495" customFormat="1">
      <c r="A104" s="750" t="e">
        <f>#REF!</f>
        <v>#REF!</v>
      </c>
      <c r="B104" s="677" t="e">
        <f>#REF!</f>
        <v>#REF!</v>
      </c>
      <c r="C104" s="1486" t="e">
        <f>#REF!</f>
        <v>#REF!</v>
      </c>
      <c r="D104" s="757">
        <f t="shared" si="3"/>
        <v>0</v>
      </c>
      <c r="E104" s="633" t="e">
        <f>#REF!</f>
        <v>#REF!</v>
      </c>
      <c r="F104" s="633" t="e">
        <f>+D104*E104</f>
        <v>#REF!</v>
      </c>
      <c r="G104" s="456"/>
    </row>
    <row r="105" spans="1:11" s="495" customFormat="1">
      <c r="A105" s="750" t="e">
        <f>#REF!</f>
        <v>#REF!</v>
      </c>
      <c r="B105" s="677" t="e">
        <f>#REF!</f>
        <v>#REF!</v>
      </c>
      <c r="C105" s="1486" t="e">
        <f>#REF!</f>
        <v>#REF!</v>
      </c>
      <c r="D105" s="757">
        <f t="shared" si="3"/>
        <v>3661.8</v>
      </c>
      <c r="E105" s="633" t="e">
        <f>#REF!</f>
        <v>#REF!</v>
      </c>
      <c r="F105" s="633" t="e">
        <f>+D105*E105</f>
        <v>#REF!</v>
      </c>
      <c r="G105" s="456"/>
    </row>
    <row r="106" spans="1:11" s="495" customFormat="1" ht="30" customHeight="1">
      <c r="A106" s="689" t="e">
        <f>#REF!</f>
        <v>#REF!</v>
      </c>
      <c r="B106" s="1270" t="e">
        <f>#REF!</f>
        <v>#REF!</v>
      </c>
      <c r="C106" s="1487"/>
      <c r="D106" s="784"/>
      <c r="E106" s="641"/>
      <c r="F106" s="740"/>
      <c r="G106" s="456"/>
      <c r="H106" s="700"/>
      <c r="I106" s="494"/>
      <c r="J106" s="493"/>
    </row>
    <row r="107" spans="1:11" s="495" customFormat="1">
      <c r="A107" s="755" t="e">
        <f>#REF!</f>
        <v>#REF!</v>
      </c>
      <c r="B107" s="748" t="e">
        <f>#REF!</f>
        <v>#REF!</v>
      </c>
      <c r="C107" s="1486"/>
      <c r="D107" s="757"/>
      <c r="E107" s="633"/>
      <c r="F107" s="655"/>
      <c r="G107" s="456"/>
      <c r="H107" s="700"/>
      <c r="I107" s="494"/>
      <c r="J107" s="493"/>
    </row>
    <row r="108" spans="1:11" s="495" customFormat="1">
      <c r="A108" s="750" t="e">
        <f>#REF!</f>
        <v>#REF!</v>
      </c>
      <c r="B108" s="677" t="e">
        <f>#REF!</f>
        <v>#REF!</v>
      </c>
      <c r="C108" s="1486" t="e">
        <f>#REF!</f>
        <v>#REF!</v>
      </c>
      <c r="D108" s="757">
        <f>+D90*0.1</f>
        <v>1478.0556000000001</v>
      </c>
      <c r="E108" s="633" t="e">
        <f>#REF!</f>
        <v>#REF!</v>
      </c>
      <c r="F108" s="655" t="e">
        <f>+D108*E108</f>
        <v>#REF!</v>
      </c>
      <c r="G108" s="456"/>
      <c r="H108" s="700"/>
      <c r="I108" s="494"/>
      <c r="J108" s="493"/>
    </row>
    <row r="109" spans="1:11" s="495" customFormat="1">
      <c r="A109" s="750" t="e">
        <f>#REF!</f>
        <v>#REF!</v>
      </c>
      <c r="B109" s="677" t="e">
        <f>#REF!</f>
        <v>#REF!</v>
      </c>
      <c r="C109" s="1486" t="e">
        <f>#REF!</f>
        <v>#REF!</v>
      </c>
      <c r="D109" s="757">
        <f>+D94*0.2</f>
        <v>1882.3005600000001</v>
      </c>
      <c r="E109" s="633" t="e">
        <f>#REF!</f>
        <v>#REF!</v>
      </c>
      <c r="F109" s="655" t="e">
        <f t="shared" ref="F109:F112" si="4">+D109*E109</f>
        <v>#REF!</v>
      </c>
      <c r="G109" s="456"/>
      <c r="H109" s="700"/>
      <c r="I109" s="494"/>
      <c r="J109" s="493"/>
    </row>
    <row r="110" spans="1:11" s="495" customFormat="1">
      <c r="A110" s="755" t="e">
        <f>#REF!</f>
        <v>#REF!</v>
      </c>
      <c r="B110" s="748" t="e">
        <f>#REF!</f>
        <v>#REF!</v>
      </c>
      <c r="C110" s="1486"/>
      <c r="D110" s="757"/>
      <c r="E110" s="633"/>
      <c r="F110" s="655"/>
      <c r="G110" s="456"/>
      <c r="H110" s="700"/>
      <c r="I110" s="494"/>
      <c r="J110" s="493"/>
    </row>
    <row r="111" spans="1:11" s="495" customFormat="1">
      <c r="A111" s="750" t="e">
        <f>#REF!</f>
        <v>#REF!</v>
      </c>
      <c r="B111" s="677" t="e">
        <f>#REF!</f>
        <v>#REF!</v>
      </c>
      <c r="C111" s="1486" t="e">
        <f>#REF!</f>
        <v>#REF!</v>
      </c>
      <c r="D111" s="757">
        <f>+D108</f>
        <v>1478.0556000000001</v>
      </c>
      <c r="E111" s="633" t="e">
        <f>#REF!</f>
        <v>#REF!</v>
      </c>
      <c r="F111" s="655" t="e">
        <f t="shared" si="4"/>
        <v>#REF!</v>
      </c>
      <c r="G111" s="456"/>
      <c r="H111" s="700"/>
      <c r="I111" s="494"/>
      <c r="J111" s="493"/>
    </row>
    <row r="112" spans="1:11" s="495" customFormat="1">
      <c r="A112" s="751" t="e">
        <f>#REF!</f>
        <v>#REF!</v>
      </c>
      <c r="B112" s="753" t="e">
        <f>#REF!</f>
        <v>#REF!</v>
      </c>
      <c r="C112" s="1482" t="e">
        <f>#REF!</f>
        <v>#REF!</v>
      </c>
      <c r="D112" s="758">
        <f>+D109</f>
        <v>1882.3005600000001</v>
      </c>
      <c r="E112" s="527" t="e">
        <f>#REF!</f>
        <v>#REF!</v>
      </c>
      <c r="F112" s="741" t="e">
        <f t="shared" si="4"/>
        <v>#REF!</v>
      </c>
      <c r="G112" s="456"/>
      <c r="H112" s="700"/>
      <c r="I112" s="494"/>
      <c r="J112" s="493"/>
    </row>
    <row r="113" spans="1:14" s="495" customFormat="1" ht="18.75">
      <c r="A113" s="763"/>
      <c r="B113" s="460"/>
      <c r="C113" s="686"/>
      <c r="D113" s="635"/>
      <c r="E113" s="636" t="s">
        <v>109</v>
      </c>
      <c r="F113" s="1122" t="e">
        <f>SUM(F80:F112)</f>
        <v>#REF!</v>
      </c>
      <c r="G113" s="456"/>
      <c r="H113" s="493"/>
      <c r="I113" s="494"/>
      <c r="J113" s="493"/>
    </row>
    <row r="114" spans="1:14" s="48" customFormat="1" ht="15.95" customHeight="1">
      <c r="A114" s="406"/>
      <c r="B114" s="12"/>
      <c r="C114" s="51"/>
      <c r="D114" s="76"/>
      <c r="E114" s="91"/>
      <c r="F114" s="91"/>
      <c r="G114" s="5"/>
      <c r="H114" s="1421"/>
      <c r="I114" s="1422"/>
      <c r="J114" s="1421"/>
      <c r="L114" s="48">
        <f>5.9/2</f>
        <v>2.95</v>
      </c>
    </row>
    <row r="115" spans="1:14" s="779" customFormat="1" ht="24.95" customHeight="1">
      <c r="A115" s="1905" t="e">
        <f>#REF!</f>
        <v>#REF!</v>
      </c>
      <c r="B115" s="1906"/>
      <c r="C115" s="1906"/>
      <c r="D115" s="1906"/>
      <c r="E115" s="1906"/>
      <c r="F115" s="1907"/>
      <c r="G115" s="776"/>
      <c r="H115" s="777"/>
      <c r="I115" s="778"/>
      <c r="J115" s="777"/>
      <c r="L115" s="779">
        <f>2.95*2</f>
        <v>5.9</v>
      </c>
    </row>
    <row r="116" spans="1:14" s="495" customFormat="1">
      <c r="A116" s="745" t="e">
        <f>#REF!</f>
        <v>#REF!</v>
      </c>
      <c r="B116" s="768" t="e">
        <f>#REF!</f>
        <v>#REF!</v>
      </c>
      <c r="C116" s="1479"/>
      <c r="D116" s="548"/>
      <c r="E116" s="641"/>
      <c r="F116" s="1142"/>
      <c r="G116" s="456"/>
      <c r="H116" s="493"/>
      <c r="I116" s="494"/>
      <c r="J116" s="493"/>
      <c r="L116" s="495">
        <v>6.1</v>
      </c>
    </row>
    <row r="117" spans="1:14" s="495" customFormat="1">
      <c r="A117" s="639"/>
      <c r="B117" s="715"/>
      <c r="C117" s="1529" t="e">
        <f>#REF!</f>
        <v>#REF!</v>
      </c>
      <c r="D117" s="661">
        <f>J117</f>
        <v>21669.5</v>
      </c>
      <c r="E117" s="527" t="e">
        <f>#REF!</f>
        <v>#REF!</v>
      </c>
      <c r="F117" s="527" t="e">
        <f>+D117*E117</f>
        <v>#REF!</v>
      </c>
      <c r="G117" s="456"/>
      <c r="H117" s="700">
        <f>(3.6+0.3*3+0.1*2+0.6*2)*(1.6+0.1+0.3*2)*F4+(0.6+0.4*2+0.2*2+0.1*2)*(0.1+0.2+0.6+0.2)*(F3+20*2*20)</f>
        <v>21669.5</v>
      </c>
      <c r="I117" s="494">
        <v>1</v>
      </c>
      <c r="J117" s="493">
        <f>H117*I117</f>
        <v>21669.5</v>
      </c>
      <c r="L117" s="495">
        <f>2*9</f>
        <v>18</v>
      </c>
    </row>
    <row r="118" spans="1:14" s="495" customFormat="1">
      <c r="A118" s="745" t="e">
        <f>#REF!</f>
        <v>#REF!</v>
      </c>
      <c r="B118" s="768" t="e">
        <f>#REF!</f>
        <v>#REF!</v>
      </c>
      <c r="C118" s="1533"/>
      <c r="D118" s="1565"/>
      <c r="E118" s="641"/>
      <c r="F118" s="1564"/>
      <c r="G118" s="456"/>
      <c r="H118" s="493"/>
      <c r="I118" s="494"/>
      <c r="J118" s="493"/>
      <c r="L118" s="495">
        <f>2*2</f>
        <v>4</v>
      </c>
    </row>
    <row r="119" spans="1:14" s="495" customFormat="1">
      <c r="A119" s="639"/>
      <c r="B119" s="795"/>
      <c r="C119" s="1529" t="e">
        <f>#REF!</f>
        <v>#REF!</v>
      </c>
      <c r="D119" s="661">
        <f>J119</f>
        <v>15049.1</v>
      </c>
      <c r="E119" s="527" t="e">
        <f>#REF!</f>
        <v>#REF!</v>
      </c>
      <c r="F119" s="527" t="e">
        <f>+D119*E119</f>
        <v>#REF!</v>
      </c>
      <c r="G119" s="456"/>
      <c r="H119" s="700">
        <f>H117-3.6*1.6*F4-0.6*0.6*F3</f>
        <v>15049.1</v>
      </c>
      <c r="I119" s="494">
        <v>1</v>
      </c>
      <c r="J119" s="493">
        <f>H119*I119</f>
        <v>15049.1</v>
      </c>
      <c r="L119" s="495">
        <f>2*3</f>
        <v>6</v>
      </c>
    </row>
    <row r="120" spans="1:14" s="495" customFormat="1">
      <c r="A120" s="755" t="e">
        <f>#REF!</f>
        <v>#REF!</v>
      </c>
      <c r="B120" s="678" t="e">
        <f>#REF!</f>
        <v>#REF!</v>
      </c>
      <c r="C120" s="1494"/>
      <c r="D120" s="660"/>
      <c r="E120" s="641"/>
      <c r="F120" s="633"/>
      <c r="G120" s="456"/>
      <c r="H120" s="493"/>
      <c r="I120" s="494"/>
      <c r="J120" s="493"/>
    </row>
    <row r="121" spans="1:14" s="495" customFormat="1">
      <c r="A121" s="751"/>
      <c r="B121" s="753"/>
      <c r="C121" s="1557" t="e">
        <f>#REF!</f>
        <v>#REF!</v>
      </c>
      <c r="D121" s="661">
        <v>50</v>
      </c>
      <c r="E121" s="527" t="e">
        <f>#REF!</f>
        <v>#REF!</v>
      </c>
      <c r="F121" s="527" t="e">
        <f>+D121*E121</f>
        <v>#REF!</v>
      </c>
      <c r="G121" s="456"/>
      <c r="H121" s="493"/>
      <c r="I121" s="494"/>
      <c r="J121" s="493"/>
    </row>
    <row r="122" spans="1:14" s="495" customFormat="1">
      <c r="A122" s="689" t="e">
        <f>#REF!</f>
        <v>#REF!</v>
      </c>
      <c r="B122" s="711" t="e">
        <f>#REF!</f>
        <v>#REF!</v>
      </c>
      <c r="C122" s="1490"/>
      <c r="D122" s="784"/>
      <c r="E122" s="641"/>
      <c r="F122" s="641"/>
      <c r="G122" s="456"/>
      <c r="H122" s="493"/>
      <c r="I122" s="494"/>
      <c r="J122" s="493"/>
    </row>
    <row r="123" spans="1:14" s="495" customFormat="1">
      <c r="A123" s="750"/>
      <c r="B123" s="677"/>
      <c r="C123" s="1408" t="e">
        <f>#REF!</f>
        <v>#REF!</v>
      </c>
      <c r="D123" s="648">
        <v>550</v>
      </c>
      <c r="E123" s="527" t="e">
        <f>#REF!</f>
        <v>#REF!</v>
      </c>
      <c r="F123" s="527" t="e">
        <f>+D123*E123</f>
        <v>#REF!</v>
      </c>
      <c r="G123" s="456"/>
      <c r="H123" s="493"/>
      <c r="I123" s="494"/>
      <c r="J123" s="493">
        <f>6.2+2</f>
        <v>8.1999999999999993</v>
      </c>
      <c r="K123" s="495">
        <f>2</f>
        <v>2</v>
      </c>
    </row>
    <row r="124" spans="1:14" s="495" customFormat="1">
      <c r="A124" s="689" t="e">
        <f>#REF!</f>
        <v>#REF!</v>
      </c>
      <c r="B124" s="752" t="e">
        <f>#REF!</f>
        <v>#REF!</v>
      </c>
      <c r="C124" s="1518"/>
      <c r="D124" s="651"/>
      <c r="E124" s="641"/>
      <c r="F124" s="641"/>
      <c r="G124" s="456"/>
      <c r="H124" s="493"/>
      <c r="I124" s="494"/>
      <c r="J124" s="493"/>
      <c r="K124" s="495">
        <f>J123*K123/2</f>
        <v>8.1999999999999993</v>
      </c>
    </row>
    <row r="125" spans="1:14" s="495" customFormat="1">
      <c r="A125" s="751" t="e">
        <f>#REF!</f>
        <v>#REF!</v>
      </c>
      <c r="B125" s="708" t="e">
        <f>#REF!</f>
        <v>#REF!</v>
      </c>
      <c r="C125" s="1547" t="e">
        <f>#REF!</f>
        <v>#REF!</v>
      </c>
      <c r="D125" s="1433">
        <f>(D129)*110</f>
        <v>16500</v>
      </c>
      <c r="E125" s="527" t="e">
        <f>#REF!</f>
        <v>#REF!</v>
      </c>
      <c r="F125" s="527" t="e">
        <f>+D125*E125</f>
        <v>#REF!</v>
      </c>
      <c r="G125" s="456"/>
      <c r="H125" s="493"/>
      <c r="I125" s="494"/>
      <c r="J125" s="493"/>
    </row>
    <row r="126" spans="1:14" s="495" customFormat="1">
      <c r="A126" s="755" t="e">
        <f>#REF!</f>
        <v>#REF!</v>
      </c>
      <c r="B126" s="754" t="e">
        <f>#REF!</f>
        <v>#REF!</v>
      </c>
      <c r="C126" s="1543"/>
      <c r="D126" s="707"/>
      <c r="E126" s="633"/>
      <c r="F126" s="633"/>
      <c r="G126" s="456"/>
      <c r="H126" s="493"/>
      <c r="I126" s="494"/>
      <c r="J126" s="493"/>
      <c r="L126" s="495">
        <f>0.1+0.25+0.25+0.25+0.1</f>
        <v>0.95</v>
      </c>
    </row>
    <row r="127" spans="1:14" s="495" customFormat="1">
      <c r="A127" s="751"/>
      <c r="B127" s="708"/>
      <c r="C127" s="1546" t="e">
        <f>#REF!</f>
        <v>#REF!</v>
      </c>
      <c r="D127" s="648">
        <v>80</v>
      </c>
      <c r="E127" s="734" t="e">
        <f>#REF!</f>
        <v>#REF!</v>
      </c>
      <c r="F127" s="527" t="e">
        <f>+D127*E127</f>
        <v>#REF!</v>
      </c>
      <c r="G127" s="456"/>
      <c r="H127" s="493"/>
      <c r="I127" s="494"/>
      <c r="J127" s="493"/>
      <c r="L127" s="495">
        <f>1*2+L126</f>
        <v>2.95</v>
      </c>
      <c r="N127" s="495">
        <f>0.1+0.25+1.8+0.25</f>
        <v>2.4</v>
      </c>
    </row>
    <row r="128" spans="1:14" s="495" customFormat="1">
      <c r="A128" s="689" t="e">
        <f>#REF!</f>
        <v>#REF!</v>
      </c>
      <c r="B128" s="752" t="e">
        <f>#REF!</f>
        <v>#REF!</v>
      </c>
      <c r="C128" s="1543"/>
      <c r="D128" s="707"/>
      <c r="E128" s="641"/>
      <c r="F128" s="641"/>
      <c r="G128" s="456"/>
      <c r="H128" s="493"/>
      <c r="I128" s="494"/>
      <c r="J128" s="493"/>
    </row>
    <row r="129" spans="1:189" s="495" customFormat="1">
      <c r="A129" s="751"/>
      <c r="B129" s="708"/>
      <c r="C129" s="1546" t="e">
        <f>#REF!</f>
        <v>#REF!</v>
      </c>
      <c r="D129" s="644">
        <v>150</v>
      </c>
      <c r="E129" s="527" t="e">
        <f>#REF!</f>
        <v>#REF!</v>
      </c>
      <c r="F129" s="527" t="e">
        <f>+D129*E129</f>
        <v>#REF!</v>
      </c>
      <c r="G129" s="456"/>
      <c r="H129" s="493"/>
      <c r="I129" s="494"/>
      <c r="J129" s="493"/>
    </row>
    <row r="130" spans="1:189" s="495" customFormat="1" ht="30" customHeight="1">
      <c r="A130" s="689" t="e">
        <f>#REF!</f>
        <v>#REF!</v>
      </c>
      <c r="B130" s="782" t="e">
        <f>#REF!</f>
        <v>#REF!</v>
      </c>
      <c r="C130" s="1518"/>
      <c r="D130" s="651"/>
      <c r="E130" s="641"/>
      <c r="F130" s="641"/>
      <c r="G130" s="456"/>
      <c r="H130" s="493"/>
      <c r="I130" s="494"/>
      <c r="J130" s="493"/>
    </row>
    <row r="131" spans="1:189" s="495" customFormat="1">
      <c r="A131" s="750" t="e">
        <f>#REF!</f>
        <v>#REF!</v>
      </c>
      <c r="B131" s="729" t="e">
        <f>#REF!</f>
        <v>#REF!</v>
      </c>
      <c r="C131" s="1542" t="e">
        <f>#REF!</f>
        <v>#REF!</v>
      </c>
      <c r="D131" s="707">
        <f>J131</f>
        <v>698.65400000000011</v>
      </c>
      <c r="E131" s="633" t="e">
        <f>#REF!</f>
        <v>#REF!</v>
      </c>
      <c r="F131" s="633" t="e">
        <f>+D131*E131</f>
        <v>#REF!</v>
      </c>
      <c r="G131" s="456"/>
      <c r="H131" s="493">
        <f>10%*J56</f>
        <v>635.1400000000001</v>
      </c>
      <c r="I131" s="494">
        <v>1.1000000000000001</v>
      </c>
      <c r="J131" s="493">
        <f>H131*I131</f>
        <v>698.65400000000011</v>
      </c>
    </row>
    <row r="132" spans="1:189" s="495" customFormat="1">
      <c r="A132" s="750" t="e">
        <f>#REF!</f>
        <v>#REF!</v>
      </c>
      <c r="B132" s="729" t="e">
        <f>#REF!</f>
        <v>#REF!</v>
      </c>
      <c r="C132" s="1542" t="e">
        <f>#REF!</f>
        <v>#REF!</v>
      </c>
      <c r="D132" s="707">
        <f>J132</f>
        <v>127.02800000000002</v>
      </c>
      <c r="E132" s="633" t="e">
        <f>#REF!</f>
        <v>#REF!</v>
      </c>
      <c r="F132" s="633" t="e">
        <f>+D132*E132</f>
        <v>#REF!</v>
      </c>
      <c r="G132" s="456"/>
      <c r="H132" s="493">
        <f>2%*H56</f>
        <v>115.48</v>
      </c>
      <c r="I132" s="494">
        <v>1.1000000000000001</v>
      </c>
      <c r="J132" s="493">
        <f>H132*I132</f>
        <v>127.02800000000002</v>
      </c>
    </row>
    <row r="133" spans="1:189" s="495" customFormat="1">
      <c r="A133" s="751" t="e">
        <f>#REF!</f>
        <v>#REF!</v>
      </c>
      <c r="B133" s="708" t="e">
        <f>#REF!</f>
        <v>#REF!</v>
      </c>
      <c r="C133" s="1546" t="e">
        <f>#REF!</f>
        <v>#REF!</v>
      </c>
      <c r="D133" s="757">
        <f>H133</f>
        <v>0</v>
      </c>
      <c r="E133" s="633" t="e">
        <f>#REF!</f>
        <v>#REF!</v>
      </c>
      <c r="F133" s="633" t="e">
        <f>+D133*E133</f>
        <v>#REF!</v>
      </c>
      <c r="G133" s="456"/>
      <c r="H133" s="493"/>
      <c r="I133" s="494"/>
      <c r="J133" s="493"/>
    </row>
    <row r="134" spans="1:189" s="466" customFormat="1">
      <c r="A134" s="689" t="e">
        <f>#REF!</f>
        <v>#REF!</v>
      </c>
      <c r="B134" s="782" t="e">
        <f>#REF!</f>
        <v>#REF!</v>
      </c>
      <c r="C134" s="1566"/>
      <c r="D134" s="662"/>
      <c r="E134" s="641"/>
      <c r="F134" s="641"/>
      <c r="H134" s="496"/>
      <c r="I134" s="497"/>
      <c r="J134" s="496"/>
      <c r="K134" s="498"/>
      <c r="L134" s="498"/>
      <c r="M134" s="498"/>
      <c r="N134" s="498"/>
      <c r="O134" s="498"/>
      <c r="P134" s="498"/>
      <c r="Q134" s="498"/>
      <c r="R134" s="498"/>
      <c r="S134" s="498"/>
      <c r="T134" s="498"/>
      <c r="U134" s="498"/>
      <c r="V134" s="498"/>
      <c r="W134" s="498"/>
      <c r="X134" s="498"/>
      <c r="Y134" s="498"/>
      <c r="Z134" s="498"/>
      <c r="AA134" s="498"/>
      <c r="AB134" s="498"/>
      <c r="AC134" s="498"/>
      <c r="AD134" s="498"/>
      <c r="AE134" s="498"/>
      <c r="AF134" s="498"/>
      <c r="AG134" s="498"/>
      <c r="AH134" s="498"/>
      <c r="AI134" s="498"/>
      <c r="AJ134" s="498"/>
      <c r="AK134" s="498"/>
      <c r="AL134" s="498"/>
      <c r="AM134" s="498"/>
      <c r="AN134" s="498"/>
      <c r="AO134" s="498"/>
      <c r="AP134" s="498"/>
      <c r="AQ134" s="498"/>
      <c r="AR134" s="498"/>
      <c r="AS134" s="498"/>
      <c r="AT134" s="498"/>
      <c r="AU134" s="498"/>
      <c r="AV134" s="498"/>
      <c r="AW134" s="498"/>
      <c r="AX134" s="498"/>
      <c r="AY134" s="498"/>
      <c r="AZ134" s="498"/>
      <c r="BA134" s="498"/>
      <c r="BB134" s="498"/>
      <c r="BC134" s="498"/>
      <c r="BD134" s="498"/>
      <c r="BE134" s="498"/>
      <c r="BF134" s="498"/>
      <c r="BG134" s="498"/>
      <c r="BH134" s="498"/>
      <c r="BI134" s="498"/>
      <c r="BJ134" s="498"/>
      <c r="BK134" s="498"/>
      <c r="BL134" s="498"/>
      <c r="BM134" s="498"/>
      <c r="BN134" s="498"/>
      <c r="BO134" s="498"/>
      <c r="BP134" s="498"/>
      <c r="BQ134" s="498"/>
      <c r="BR134" s="498"/>
      <c r="BS134" s="498"/>
      <c r="BT134" s="498"/>
      <c r="BU134" s="498"/>
      <c r="BV134" s="498"/>
      <c r="BW134" s="498"/>
      <c r="BX134" s="498"/>
      <c r="BY134" s="498"/>
      <c r="BZ134" s="498"/>
      <c r="CA134" s="498"/>
      <c r="CB134" s="498"/>
      <c r="CC134" s="498"/>
      <c r="CD134" s="498"/>
      <c r="CE134" s="498"/>
      <c r="CF134" s="498"/>
      <c r="CG134" s="498"/>
      <c r="CH134" s="498"/>
      <c r="CI134" s="498"/>
      <c r="CJ134" s="498"/>
      <c r="CK134" s="498"/>
      <c r="CL134" s="498"/>
      <c r="CM134" s="498"/>
      <c r="CN134" s="498"/>
      <c r="CO134" s="498"/>
      <c r="CP134" s="498"/>
      <c r="CQ134" s="498"/>
      <c r="CR134" s="498"/>
      <c r="CS134" s="498"/>
      <c r="CT134" s="498"/>
      <c r="CU134" s="498"/>
      <c r="CV134" s="498"/>
      <c r="CW134" s="498"/>
      <c r="CX134" s="498"/>
      <c r="CY134" s="498"/>
      <c r="CZ134" s="498"/>
      <c r="DA134" s="498"/>
      <c r="DB134" s="498"/>
      <c r="DC134" s="498"/>
      <c r="DD134" s="498"/>
      <c r="DE134" s="498"/>
      <c r="DF134" s="498"/>
      <c r="DG134" s="498"/>
      <c r="DH134" s="498"/>
      <c r="DI134" s="498"/>
      <c r="DJ134" s="498"/>
      <c r="DK134" s="498"/>
      <c r="DL134" s="498"/>
      <c r="DM134" s="498"/>
      <c r="DN134" s="498"/>
      <c r="DO134" s="498"/>
      <c r="DP134" s="498"/>
      <c r="DQ134" s="498"/>
      <c r="DR134" s="498"/>
      <c r="DS134" s="498"/>
      <c r="DT134" s="498"/>
      <c r="DU134" s="498"/>
      <c r="DV134" s="498"/>
      <c r="DW134" s="498"/>
      <c r="DX134" s="498"/>
      <c r="DY134" s="498"/>
      <c r="DZ134" s="498"/>
      <c r="EA134" s="498"/>
      <c r="EB134" s="498"/>
      <c r="EC134" s="498"/>
      <c r="ED134" s="498"/>
      <c r="EE134" s="498"/>
      <c r="EF134" s="498"/>
      <c r="EG134" s="498"/>
      <c r="EH134" s="498"/>
      <c r="EI134" s="498"/>
      <c r="EJ134" s="498"/>
      <c r="EK134" s="498"/>
      <c r="EL134" s="498"/>
      <c r="EM134" s="498"/>
      <c r="EN134" s="498"/>
      <c r="EO134" s="498"/>
      <c r="EP134" s="498"/>
      <c r="EQ134" s="498"/>
      <c r="ER134" s="498"/>
      <c r="ES134" s="498"/>
      <c r="ET134" s="498"/>
      <c r="EU134" s="498"/>
      <c r="EV134" s="498"/>
      <c r="EW134" s="498"/>
      <c r="EX134" s="498"/>
      <c r="EY134" s="498"/>
      <c r="EZ134" s="498"/>
      <c r="FA134" s="498"/>
      <c r="FB134" s="498"/>
      <c r="FC134" s="498"/>
      <c r="FD134" s="498"/>
      <c r="FE134" s="498"/>
      <c r="FF134" s="498"/>
      <c r="FG134" s="498"/>
      <c r="FH134" s="498"/>
      <c r="FI134" s="498"/>
      <c r="FJ134" s="498"/>
      <c r="FK134" s="498"/>
      <c r="FL134" s="498"/>
      <c r="FM134" s="498"/>
      <c r="FN134" s="498"/>
      <c r="FO134" s="498"/>
      <c r="FP134" s="498"/>
      <c r="FQ134" s="498"/>
      <c r="FR134" s="498"/>
      <c r="FS134" s="498"/>
      <c r="FT134" s="498"/>
      <c r="FU134" s="498"/>
      <c r="FV134" s="498"/>
      <c r="FW134" s="498"/>
      <c r="FX134" s="498"/>
      <c r="FY134" s="498"/>
      <c r="FZ134" s="498"/>
      <c r="GA134" s="498"/>
      <c r="GB134" s="498"/>
      <c r="GC134" s="498"/>
      <c r="GD134" s="498"/>
      <c r="GE134" s="498"/>
      <c r="GF134" s="498"/>
      <c r="GG134" s="498"/>
    </row>
    <row r="135" spans="1:189" s="466" customFormat="1">
      <c r="A135" s="750" t="e">
        <f>#REF!</f>
        <v>#REF!</v>
      </c>
      <c r="B135" s="729" t="e">
        <f>#REF!</f>
        <v>#REF!</v>
      </c>
      <c r="C135" s="1558" t="e">
        <f>#REF!</f>
        <v>#REF!</v>
      </c>
      <c r="D135" s="654">
        <f>J135</f>
        <v>4189.9000000000005</v>
      </c>
      <c r="E135" s="633" t="e">
        <f>#REF!</f>
        <v>#REF!</v>
      </c>
      <c r="F135" s="633" t="e">
        <f>+D135*E135</f>
        <v>#REF!</v>
      </c>
      <c r="H135" s="496">
        <f>2609+20*2*30</f>
        <v>3809</v>
      </c>
      <c r="I135" s="497">
        <v>1.1000000000000001</v>
      </c>
      <c r="J135" s="496">
        <f>H135*I135</f>
        <v>4189.9000000000005</v>
      </c>
      <c r="K135" s="498"/>
      <c r="L135" s="498"/>
      <c r="M135" s="498"/>
      <c r="N135" s="498"/>
      <c r="O135" s="498"/>
      <c r="P135" s="498"/>
      <c r="Q135" s="498"/>
      <c r="R135" s="498"/>
      <c r="S135" s="498"/>
      <c r="T135" s="498"/>
      <c r="U135" s="498"/>
      <c r="V135" s="498"/>
      <c r="W135" s="498"/>
      <c r="X135" s="498"/>
      <c r="Y135" s="498"/>
      <c r="Z135" s="498"/>
      <c r="AA135" s="498"/>
      <c r="AB135" s="498"/>
      <c r="AC135" s="498"/>
      <c r="AD135" s="498"/>
      <c r="AE135" s="498"/>
      <c r="AF135" s="498"/>
      <c r="AG135" s="498"/>
      <c r="AH135" s="498"/>
      <c r="AI135" s="498"/>
      <c r="AJ135" s="498"/>
      <c r="AK135" s="498"/>
      <c r="AL135" s="498"/>
      <c r="AM135" s="498"/>
      <c r="AN135" s="498"/>
      <c r="AO135" s="498"/>
      <c r="AP135" s="498"/>
      <c r="AQ135" s="498"/>
      <c r="AR135" s="498"/>
      <c r="AS135" s="498"/>
      <c r="AT135" s="498"/>
      <c r="AU135" s="498"/>
      <c r="AV135" s="498"/>
      <c r="AW135" s="498"/>
      <c r="AX135" s="498"/>
      <c r="AY135" s="498"/>
      <c r="AZ135" s="498"/>
      <c r="BA135" s="498"/>
      <c r="BB135" s="498"/>
      <c r="BC135" s="498"/>
      <c r="BD135" s="498"/>
      <c r="BE135" s="498"/>
      <c r="BF135" s="498"/>
      <c r="BG135" s="498"/>
      <c r="BH135" s="498"/>
      <c r="BI135" s="498"/>
      <c r="BJ135" s="498"/>
      <c r="BK135" s="498"/>
      <c r="BL135" s="498"/>
      <c r="BM135" s="498"/>
      <c r="BN135" s="498"/>
      <c r="BO135" s="498"/>
      <c r="BP135" s="498"/>
      <c r="BQ135" s="498"/>
      <c r="BR135" s="498"/>
      <c r="BS135" s="498"/>
      <c r="BT135" s="498"/>
      <c r="BU135" s="498"/>
      <c r="BV135" s="498"/>
      <c r="BW135" s="498"/>
      <c r="BX135" s="498"/>
      <c r="BY135" s="498"/>
      <c r="BZ135" s="498"/>
      <c r="CA135" s="498"/>
      <c r="CB135" s="498"/>
      <c r="CC135" s="498"/>
      <c r="CD135" s="498"/>
      <c r="CE135" s="498"/>
      <c r="CF135" s="498"/>
      <c r="CG135" s="498"/>
      <c r="CH135" s="498"/>
      <c r="CI135" s="498"/>
      <c r="CJ135" s="498"/>
      <c r="CK135" s="498"/>
      <c r="CL135" s="498"/>
      <c r="CM135" s="498"/>
      <c r="CN135" s="498"/>
      <c r="CO135" s="498"/>
      <c r="CP135" s="498"/>
      <c r="CQ135" s="498"/>
      <c r="CR135" s="498"/>
      <c r="CS135" s="498"/>
      <c r="CT135" s="498"/>
      <c r="CU135" s="498"/>
      <c r="CV135" s="498"/>
      <c r="CW135" s="498"/>
      <c r="CX135" s="498"/>
      <c r="CY135" s="498"/>
      <c r="CZ135" s="498"/>
      <c r="DA135" s="498"/>
      <c r="DB135" s="498"/>
      <c r="DC135" s="498"/>
      <c r="DD135" s="498"/>
      <c r="DE135" s="498"/>
      <c r="DF135" s="498"/>
      <c r="DG135" s="498"/>
      <c r="DH135" s="498"/>
      <c r="DI135" s="498"/>
      <c r="DJ135" s="498"/>
      <c r="DK135" s="498"/>
      <c r="DL135" s="498"/>
      <c r="DM135" s="498"/>
      <c r="DN135" s="498"/>
      <c r="DO135" s="498"/>
      <c r="DP135" s="498"/>
      <c r="DQ135" s="498"/>
      <c r="DR135" s="498"/>
      <c r="DS135" s="498"/>
      <c r="DT135" s="498"/>
      <c r="DU135" s="498"/>
      <c r="DV135" s="498"/>
      <c r="DW135" s="498"/>
      <c r="DX135" s="498"/>
      <c r="DY135" s="498"/>
      <c r="DZ135" s="498"/>
      <c r="EA135" s="498"/>
      <c r="EB135" s="498"/>
      <c r="EC135" s="498"/>
      <c r="ED135" s="498"/>
      <c r="EE135" s="498"/>
      <c r="EF135" s="498"/>
      <c r="EG135" s="498"/>
      <c r="EH135" s="498"/>
      <c r="EI135" s="498"/>
      <c r="EJ135" s="498"/>
      <c r="EK135" s="498"/>
      <c r="EL135" s="498"/>
      <c r="EM135" s="498"/>
      <c r="EN135" s="498"/>
      <c r="EO135" s="498"/>
      <c r="EP135" s="498"/>
      <c r="EQ135" s="498"/>
      <c r="ER135" s="498"/>
      <c r="ES135" s="498"/>
      <c r="ET135" s="498"/>
      <c r="EU135" s="498"/>
      <c r="EV135" s="498"/>
      <c r="EW135" s="498"/>
      <c r="EX135" s="498"/>
      <c r="EY135" s="498"/>
      <c r="EZ135" s="498"/>
      <c r="FA135" s="498"/>
      <c r="FB135" s="498"/>
      <c r="FC135" s="498"/>
      <c r="FD135" s="498"/>
      <c r="FE135" s="498"/>
      <c r="FF135" s="498"/>
      <c r="FG135" s="498"/>
      <c r="FH135" s="498"/>
      <c r="FI135" s="498"/>
      <c r="FJ135" s="498"/>
      <c r="FK135" s="498"/>
      <c r="FL135" s="498"/>
      <c r="FM135" s="498"/>
      <c r="FN135" s="498"/>
      <c r="FO135" s="498"/>
      <c r="FP135" s="498"/>
      <c r="FQ135" s="498"/>
      <c r="FR135" s="498"/>
      <c r="FS135" s="498"/>
      <c r="FT135" s="498"/>
      <c r="FU135" s="498"/>
      <c r="FV135" s="498"/>
      <c r="FW135" s="498"/>
      <c r="FX135" s="498"/>
      <c r="FY135" s="498"/>
      <c r="FZ135" s="498"/>
      <c r="GA135" s="498"/>
      <c r="GB135" s="498"/>
      <c r="GC135" s="498"/>
      <c r="GD135" s="498"/>
      <c r="GE135" s="498"/>
      <c r="GF135" s="498"/>
      <c r="GG135" s="498"/>
    </row>
    <row r="136" spans="1:189" s="466" customFormat="1">
      <c r="A136" s="755" t="e">
        <f>#REF!</f>
        <v>#REF!</v>
      </c>
      <c r="B136" s="754" t="e">
        <f>#REF!</f>
        <v>#REF!</v>
      </c>
      <c r="C136" s="1558"/>
      <c r="D136" s="654"/>
      <c r="E136" s="633"/>
      <c r="F136" s="633"/>
      <c r="H136" s="496">
        <v>35</v>
      </c>
      <c r="I136" s="497">
        <v>1.1000000000000001</v>
      </c>
      <c r="J136" s="496">
        <f>H136*I136</f>
        <v>38.5</v>
      </c>
      <c r="K136" s="498"/>
      <c r="L136" s="498"/>
      <c r="M136" s="498"/>
      <c r="N136" s="498"/>
      <c r="O136" s="498"/>
      <c r="P136" s="498"/>
      <c r="Q136" s="498"/>
      <c r="R136" s="498"/>
      <c r="S136" s="498"/>
      <c r="T136" s="498"/>
      <c r="U136" s="498"/>
      <c r="V136" s="498"/>
      <c r="W136" s="498"/>
      <c r="X136" s="498"/>
      <c r="Y136" s="498"/>
      <c r="Z136" s="498"/>
      <c r="AA136" s="498"/>
      <c r="AB136" s="498"/>
      <c r="AC136" s="498"/>
      <c r="AD136" s="498"/>
      <c r="AE136" s="498"/>
      <c r="AF136" s="498"/>
      <c r="AG136" s="498"/>
      <c r="AH136" s="498"/>
      <c r="AI136" s="498"/>
      <c r="AJ136" s="498"/>
      <c r="AK136" s="498"/>
      <c r="AL136" s="498"/>
      <c r="AM136" s="498"/>
      <c r="AN136" s="498"/>
      <c r="AO136" s="498"/>
      <c r="AP136" s="498"/>
      <c r="AQ136" s="498"/>
      <c r="AR136" s="498"/>
      <c r="AS136" s="498"/>
      <c r="AT136" s="498"/>
      <c r="AU136" s="498"/>
      <c r="AV136" s="498"/>
      <c r="AW136" s="498"/>
      <c r="AX136" s="498"/>
      <c r="AY136" s="498"/>
      <c r="AZ136" s="498"/>
      <c r="BA136" s="498"/>
      <c r="BB136" s="498"/>
      <c r="BC136" s="498"/>
      <c r="BD136" s="498"/>
      <c r="BE136" s="498"/>
      <c r="BF136" s="498"/>
      <c r="BG136" s="498"/>
      <c r="BH136" s="498"/>
      <c r="BI136" s="498"/>
      <c r="BJ136" s="498"/>
      <c r="BK136" s="498"/>
      <c r="BL136" s="498"/>
      <c r="BM136" s="498"/>
      <c r="BN136" s="498"/>
      <c r="BO136" s="498"/>
      <c r="BP136" s="498"/>
      <c r="BQ136" s="498"/>
      <c r="BR136" s="498"/>
      <c r="BS136" s="498"/>
      <c r="BT136" s="498"/>
      <c r="BU136" s="498"/>
      <c r="BV136" s="498"/>
      <c r="BW136" s="498"/>
      <c r="BX136" s="498"/>
      <c r="BY136" s="498"/>
      <c r="BZ136" s="498"/>
      <c r="CA136" s="498"/>
      <c r="CB136" s="498"/>
      <c r="CC136" s="498"/>
      <c r="CD136" s="498"/>
      <c r="CE136" s="498"/>
      <c r="CF136" s="498"/>
      <c r="CG136" s="498"/>
      <c r="CH136" s="498"/>
      <c r="CI136" s="498"/>
      <c r="CJ136" s="498"/>
      <c r="CK136" s="498"/>
      <c r="CL136" s="498"/>
      <c r="CM136" s="498"/>
      <c r="CN136" s="498"/>
      <c r="CO136" s="498"/>
      <c r="CP136" s="498"/>
      <c r="CQ136" s="498"/>
      <c r="CR136" s="498"/>
      <c r="CS136" s="498"/>
      <c r="CT136" s="498"/>
      <c r="CU136" s="498"/>
      <c r="CV136" s="498"/>
      <c r="CW136" s="498"/>
      <c r="CX136" s="498"/>
      <c r="CY136" s="498"/>
      <c r="CZ136" s="498"/>
      <c r="DA136" s="498"/>
      <c r="DB136" s="498"/>
      <c r="DC136" s="498"/>
      <c r="DD136" s="498"/>
      <c r="DE136" s="498"/>
      <c r="DF136" s="498"/>
      <c r="DG136" s="498"/>
      <c r="DH136" s="498"/>
      <c r="DI136" s="498"/>
      <c r="DJ136" s="498"/>
      <c r="DK136" s="498"/>
      <c r="DL136" s="498"/>
      <c r="DM136" s="498"/>
      <c r="DN136" s="498"/>
      <c r="DO136" s="498"/>
      <c r="DP136" s="498"/>
      <c r="DQ136" s="498"/>
      <c r="DR136" s="498"/>
      <c r="DS136" s="498"/>
      <c r="DT136" s="498"/>
      <c r="DU136" s="498"/>
      <c r="DV136" s="498"/>
      <c r="DW136" s="498"/>
      <c r="DX136" s="498"/>
      <c r="DY136" s="498"/>
      <c r="DZ136" s="498"/>
      <c r="EA136" s="498"/>
      <c r="EB136" s="498"/>
      <c r="EC136" s="498"/>
      <c r="ED136" s="498"/>
      <c r="EE136" s="498"/>
      <c r="EF136" s="498"/>
      <c r="EG136" s="498"/>
      <c r="EH136" s="498"/>
      <c r="EI136" s="498"/>
      <c r="EJ136" s="498"/>
      <c r="EK136" s="498"/>
      <c r="EL136" s="498"/>
      <c r="EM136" s="498"/>
      <c r="EN136" s="498"/>
      <c r="EO136" s="498"/>
      <c r="EP136" s="498"/>
      <c r="EQ136" s="498"/>
      <c r="ER136" s="498"/>
      <c r="ES136" s="498"/>
      <c r="ET136" s="498"/>
      <c r="EU136" s="498"/>
      <c r="EV136" s="498"/>
      <c r="EW136" s="498"/>
      <c r="EX136" s="498"/>
      <c r="EY136" s="498"/>
      <c r="EZ136" s="498"/>
      <c r="FA136" s="498"/>
      <c r="FB136" s="498"/>
      <c r="FC136" s="498"/>
      <c r="FD136" s="498"/>
      <c r="FE136" s="498"/>
      <c r="FF136" s="498"/>
      <c r="FG136" s="498"/>
      <c r="FH136" s="498"/>
      <c r="FI136" s="498"/>
      <c r="FJ136" s="498"/>
      <c r="FK136" s="498"/>
      <c r="FL136" s="498"/>
      <c r="FM136" s="498"/>
      <c r="FN136" s="498"/>
      <c r="FO136" s="498"/>
      <c r="FP136" s="498"/>
      <c r="FQ136" s="498"/>
      <c r="FR136" s="498"/>
      <c r="FS136" s="498"/>
      <c r="FT136" s="498"/>
      <c r="FU136" s="498"/>
      <c r="FV136" s="498"/>
      <c r="FW136" s="498"/>
      <c r="FX136" s="498"/>
      <c r="FY136" s="498"/>
      <c r="FZ136" s="498"/>
      <c r="GA136" s="498"/>
      <c r="GB136" s="498"/>
      <c r="GC136" s="498"/>
      <c r="GD136" s="498"/>
      <c r="GE136" s="498"/>
      <c r="GF136" s="498"/>
      <c r="GG136" s="498"/>
    </row>
    <row r="137" spans="1:189" s="466" customFormat="1">
      <c r="A137" s="750" t="e">
        <f>#REF!</f>
        <v>#REF!</v>
      </c>
      <c r="B137" s="729" t="e">
        <f>#REF!</f>
        <v>#REF!</v>
      </c>
      <c r="C137" s="1558" t="e">
        <f>#REF!</f>
        <v>#REF!</v>
      </c>
      <c r="D137" s="654">
        <f>+J136</f>
        <v>38.5</v>
      </c>
      <c r="E137" s="633" t="e">
        <f>+#REF!</f>
        <v>#REF!</v>
      </c>
      <c r="F137" s="633" t="e">
        <f>+D137*E137</f>
        <v>#REF!</v>
      </c>
      <c r="H137" s="496">
        <v>35</v>
      </c>
      <c r="I137" s="497">
        <v>1</v>
      </c>
      <c r="J137" s="496">
        <f>H137*I137</f>
        <v>35</v>
      </c>
      <c r="K137" s="498"/>
      <c r="L137" s="498"/>
      <c r="M137" s="498"/>
      <c r="N137" s="498"/>
      <c r="O137" s="498"/>
      <c r="P137" s="498"/>
      <c r="Q137" s="498"/>
      <c r="R137" s="498"/>
      <c r="S137" s="498"/>
      <c r="T137" s="498"/>
      <c r="U137" s="498"/>
      <c r="V137" s="498"/>
      <c r="W137" s="498"/>
      <c r="X137" s="498"/>
      <c r="Y137" s="498"/>
      <c r="Z137" s="498"/>
      <c r="AA137" s="498"/>
      <c r="AB137" s="498"/>
      <c r="AC137" s="498"/>
      <c r="AD137" s="498"/>
      <c r="AE137" s="498"/>
      <c r="AF137" s="498"/>
      <c r="AG137" s="498"/>
      <c r="AH137" s="498"/>
      <c r="AI137" s="498"/>
      <c r="AJ137" s="498"/>
      <c r="AK137" s="498"/>
      <c r="AL137" s="498"/>
      <c r="AM137" s="498"/>
      <c r="AN137" s="498"/>
      <c r="AO137" s="498"/>
      <c r="AP137" s="498"/>
      <c r="AQ137" s="498"/>
      <c r="AR137" s="498"/>
      <c r="AS137" s="498"/>
      <c r="AT137" s="498"/>
      <c r="AU137" s="498"/>
      <c r="AV137" s="498"/>
      <c r="AW137" s="498"/>
      <c r="AX137" s="498"/>
      <c r="AY137" s="498"/>
      <c r="AZ137" s="498"/>
      <c r="BA137" s="498"/>
      <c r="BB137" s="498"/>
      <c r="BC137" s="498"/>
      <c r="BD137" s="498"/>
      <c r="BE137" s="498"/>
      <c r="BF137" s="498"/>
      <c r="BG137" s="498"/>
      <c r="BH137" s="498"/>
      <c r="BI137" s="498"/>
      <c r="BJ137" s="498"/>
      <c r="BK137" s="498"/>
      <c r="BL137" s="498"/>
      <c r="BM137" s="498"/>
      <c r="BN137" s="498"/>
      <c r="BO137" s="498"/>
      <c r="BP137" s="498"/>
      <c r="BQ137" s="498"/>
      <c r="BR137" s="498"/>
      <c r="BS137" s="498"/>
      <c r="BT137" s="498"/>
      <c r="BU137" s="498"/>
      <c r="BV137" s="498"/>
      <c r="BW137" s="498"/>
      <c r="BX137" s="498"/>
      <c r="BY137" s="498"/>
      <c r="BZ137" s="498"/>
      <c r="CA137" s="498"/>
      <c r="CB137" s="498"/>
      <c r="CC137" s="498"/>
      <c r="CD137" s="498"/>
      <c r="CE137" s="498"/>
      <c r="CF137" s="498"/>
      <c r="CG137" s="498"/>
      <c r="CH137" s="498"/>
      <c r="CI137" s="498"/>
      <c r="CJ137" s="498"/>
      <c r="CK137" s="498"/>
      <c r="CL137" s="498"/>
      <c r="CM137" s="498"/>
      <c r="CN137" s="498"/>
      <c r="CO137" s="498"/>
      <c r="CP137" s="498"/>
      <c r="CQ137" s="498"/>
      <c r="CR137" s="498"/>
      <c r="CS137" s="498"/>
      <c r="CT137" s="498"/>
      <c r="CU137" s="498"/>
      <c r="CV137" s="498"/>
      <c r="CW137" s="498"/>
      <c r="CX137" s="498"/>
      <c r="CY137" s="498"/>
      <c r="CZ137" s="498"/>
      <c r="DA137" s="498"/>
      <c r="DB137" s="498"/>
      <c r="DC137" s="498"/>
      <c r="DD137" s="498"/>
      <c r="DE137" s="498"/>
      <c r="DF137" s="498"/>
      <c r="DG137" s="498"/>
      <c r="DH137" s="498"/>
      <c r="DI137" s="498"/>
      <c r="DJ137" s="498"/>
      <c r="DK137" s="498"/>
      <c r="DL137" s="498"/>
      <c r="DM137" s="498"/>
      <c r="DN137" s="498"/>
      <c r="DO137" s="498"/>
      <c r="DP137" s="498"/>
      <c r="DQ137" s="498"/>
      <c r="DR137" s="498"/>
      <c r="DS137" s="498"/>
      <c r="DT137" s="498"/>
      <c r="DU137" s="498"/>
      <c r="DV137" s="498"/>
      <c r="DW137" s="498"/>
      <c r="DX137" s="498"/>
      <c r="DY137" s="498"/>
      <c r="DZ137" s="498"/>
      <c r="EA137" s="498"/>
      <c r="EB137" s="498"/>
      <c r="EC137" s="498"/>
      <c r="ED137" s="498"/>
      <c r="EE137" s="498"/>
      <c r="EF137" s="498"/>
      <c r="EG137" s="498"/>
      <c r="EH137" s="498"/>
      <c r="EI137" s="498"/>
      <c r="EJ137" s="498"/>
      <c r="EK137" s="498"/>
      <c r="EL137" s="498"/>
      <c r="EM137" s="498"/>
      <c r="EN137" s="498"/>
      <c r="EO137" s="498"/>
      <c r="EP137" s="498"/>
      <c r="EQ137" s="498"/>
      <c r="ER137" s="498"/>
      <c r="ES137" s="498"/>
      <c r="ET137" s="498"/>
      <c r="EU137" s="498"/>
      <c r="EV137" s="498"/>
      <c r="EW137" s="498"/>
      <c r="EX137" s="498"/>
      <c r="EY137" s="498"/>
      <c r="EZ137" s="498"/>
      <c r="FA137" s="498"/>
      <c r="FB137" s="498"/>
      <c r="FC137" s="498"/>
      <c r="FD137" s="498"/>
      <c r="FE137" s="498"/>
      <c r="FF137" s="498"/>
      <c r="FG137" s="498"/>
      <c r="FH137" s="498"/>
      <c r="FI137" s="498"/>
      <c r="FJ137" s="498"/>
      <c r="FK137" s="498"/>
      <c r="FL137" s="498"/>
      <c r="FM137" s="498"/>
      <c r="FN137" s="498"/>
      <c r="FO137" s="498"/>
      <c r="FP137" s="498"/>
      <c r="FQ137" s="498"/>
      <c r="FR137" s="498"/>
      <c r="FS137" s="498"/>
      <c r="FT137" s="498"/>
      <c r="FU137" s="498"/>
      <c r="FV137" s="498"/>
      <c r="FW137" s="498"/>
      <c r="FX137" s="498"/>
      <c r="FY137" s="498"/>
      <c r="FZ137" s="498"/>
      <c r="GA137" s="498"/>
      <c r="GB137" s="498"/>
      <c r="GC137" s="498"/>
      <c r="GD137" s="498"/>
      <c r="GE137" s="498"/>
      <c r="GF137" s="498"/>
      <c r="GG137" s="498"/>
    </row>
    <row r="138" spans="1:189" s="466" customFormat="1">
      <c r="A138" s="751" t="e">
        <f>#REF!</f>
        <v>#REF!</v>
      </c>
      <c r="B138" s="708" t="e">
        <f>#REF!</f>
        <v>#REF!</v>
      </c>
      <c r="C138" s="1558" t="e">
        <f>#REF!</f>
        <v>#REF!</v>
      </c>
      <c r="D138" s="654">
        <f>J138</f>
        <v>1045</v>
      </c>
      <c r="E138" s="633" t="e">
        <f>+#REF!</f>
        <v>#REF!</v>
      </c>
      <c r="F138" s="633" t="e">
        <f>+D138*E138</f>
        <v>#REF!</v>
      </c>
      <c r="H138" s="496">
        <f>F4</f>
        <v>950</v>
      </c>
      <c r="I138" s="497">
        <v>1.1000000000000001</v>
      </c>
      <c r="J138" s="496">
        <f>H138*I138</f>
        <v>1045</v>
      </c>
      <c r="K138" s="498"/>
      <c r="L138" s="498"/>
      <c r="M138" s="498"/>
      <c r="N138" s="498"/>
      <c r="O138" s="498"/>
      <c r="P138" s="498"/>
      <c r="Q138" s="498"/>
      <c r="R138" s="498"/>
      <c r="S138" s="498"/>
      <c r="T138" s="498"/>
      <c r="U138" s="498"/>
      <c r="V138" s="498"/>
      <c r="W138" s="498"/>
      <c r="X138" s="498"/>
      <c r="Y138" s="498"/>
      <c r="Z138" s="498"/>
      <c r="AA138" s="498"/>
      <c r="AB138" s="498"/>
      <c r="AC138" s="498"/>
      <c r="AD138" s="498"/>
      <c r="AE138" s="498"/>
      <c r="AF138" s="498"/>
      <c r="AG138" s="498"/>
      <c r="AH138" s="498"/>
      <c r="AI138" s="498"/>
      <c r="AJ138" s="498"/>
      <c r="AK138" s="498"/>
      <c r="AL138" s="498"/>
      <c r="AM138" s="498"/>
      <c r="AN138" s="498"/>
      <c r="AO138" s="498"/>
      <c r="AP138" s="498"/>
      <c r="AQ138" s="498"/>
      <c r="AR138" s="498"/>
      <c r="AS138" s="498"/>
      <c r="AT138" s="498"/>
      <c r="AU138" s="498"/>
      <c r="AV138" s="498"/>
      <c r="AW138" s="498"/>
      <c r="AX138" s="498"/>
      <c r="AY138" s="498"/>
      <c r="AZ138" s="498"/>
      <c r="BA138" s="498"/>
      <c r="BB138" s="498"/>
      <c r="BC138" s="498"/>
      <c r="BD138" s="498"/>
      <c r="BE138" s="498"/>
      <c r="BF138" s="498"/>
      <c r="BG138" s="498"/>
      <c r="BH138" s="498"/>
      <c r="BI138" s="498"/>
      <c r="BJ138" s="498"/>
      <c r="BK138" s="498"/>
      <c r="BL138" s="498"/>
      <c r="BM138" s="498"/>
      <c r="BN138" s="498"/>
      <c r="BO138" s="498"/>
      <c r="BP138" s="498"/>
      <c r="BQ138" s="498"/>
      <c r="BR138" s="498"/>
      <c r="BS138" s="498"/>
      <c r="BT138" s="498"/>
      <c r="BU138" s="498"/>
      <c r="BV138" s="498"/>
      <c r="BW138" s="498"/>
      <c r="BX138" s="498"/>
      <c r="BY138" s="498"/>
      <c r="BZ138" s="498"/>
      <c r="CA138" s="498"/>
      <c r="CB138" s="498"/>
      <c r="CC138" s="498"/>
      <c r="CD138" s="498"/>
      <c r="CE138" s="498"/>
      <c r="CF138" s="498"/>
      <c r="CG138" s="498"/>
      <c r="CH138" s="498"/>
      <c r="CI138" s="498"/>
      <c r="CJ138" s="498"/>
      <c r="CK138" s="498"/>
      <c r="CL138" s="498"/>
      <c r="CM138" s="498"/>
      <c r="CN138" s="498"/>
      <c r="CO138" s="498"/>
      <c r="CP138" s="498"/>
      <c r="CQ138" s="498"/>
      <c r="CR138" s="498"/>
      <c r="CS138" s="498"/>
      <c r="CT138" s="498"/>
      <c r="CU138" s="498"/>
      <c r="CV138" s="498"/>
      <c r="CW138" s="498"/>
      <c r="CX138" s="498"/>
      <c r="CY138" s="498"/>
      <c r="CZ138" s="498"/>
      <c r="DA138" s="498"/>
      <c r="DB138" s="498"/>
      <c r="DC138" s="498"/>
      <c r="DD138" s="498"/>
      <c r="DE138" s="498"/>
      <c r="DF138" s="498"/>
      <c r="DG138" s="498"/>
      <c r="DH138" s="498"/>
      <c r="DI138" s="498"/>
      <c r="DJ138" s="498"/>
      <c r="DK138" s="498"/>
      <c r="DL138" s="498"/>
      <c r="DM138" s="498"/>
      <c r="DN138" s="498"/>
      <c r="DO138" s="498"/>
      <c r="DP138" s="498"/>
      <c r="DQ138" s="498"/>
      <c r="DR138" s="498"/>
      <c r="DS138" s="498"/>
      <c r="DT138" s="498"/>
      <c r="DU138" s="498"/>
      <c r="DV138" s="498"/>
      <c r="DW138" s="498"/>
      <c r="DX138" s="498"/>
      <c r="DY138" s="498"/>
      <c r="DZ138" s="498"/>
      <c r="EA138" s="498"/>
      <c r="EB138" s="498"/>
      <c r="EC138" s="498"/>
      <c r="ED138" s="498"/>
      <c r="EE138" s="498"/>
      <c r="EF138" s="498"/>
      <c r="EG138" s="498"/>
      <c r="EH138" s="498"/>
      <c r="EI138" s="498"/>
      <c r="EJ138" s="498"/>
      <c r="EK138" s="498"/>
      <c r="EL138" s="498"/>
      <c r="EM138" s="498"/>
      <c r="EN138" s="498"/>
      <c r="EO138" s="498"/>
      <c r="EP138" s="498"/>
      <c r="EQ138" s="498"/>
      <c r="ER138" s="498"/>
      <c r="ES138" s="498"/>
      <c r="ET138" s="498"/>
      <c r="EU138" s="498"/>
      <c r="EV138" s="498"/>
      <c r="EW138" s="498"/>
      <c r="EX138" s="498"/>
      <c r="EY138" s="498"/>
      <c r="EZ138" s="498"/>
      <c r="FA138" s="498"/>
      <c r="FB138" s="498"/>
      <c r="FC138" s="498"/>
      <c r="FD138" s="498"/>
      <c r="FE138" s="498"/>
      <c r="FF138" s="498"/>
      <c r="FG138" s="498"/>
      <c r="FH138" s="498"/>
      <c r="FI138" s="498"/>
      <c r="FJ138" s="498"/>
      <c r="FK138" s="498"/>
      <c r="FL138" s="498"/>
      <c r="FM138" s="498"/>
      <c r="FN138" s="498"/>
      <c r="FO138" s="498"/>
      <c r="FP138" s="498"/>
      <c r="FQ138" s="498"/>
      <c r="FR138" s="498"/>
      <c r="FS138" s="498"/>
      <c r="FT138" s="498"/>
      <c r="FU138" s="498"/>
      <c r="FV138" s="498"/>
      <c r="FW138" s="498"/>
      <c r="FX138" s="498"/>
      <c r="FY138" s="498"/>
      <c r="FZ138" s="498"/>
      <c r="GA138" s="498"/>
      <c r="GB138" s="498"/>
      <c r="GC138" s="498"/>
      <c r="GD138" s="498"/>
      <c r="GE138" s="498"/>
      <c r="GF138" s="498"/>
      <c r="GG138" s="498"/>
    </row>
    <row r="139" spans="1:189" s="699" customFormat="1">
      <c r="A139" s="689" t="e">
        <f>#REF!</f>
        <v>#REF!</v>
      </c>
      <c r="B139" s="752" t="e">
        <f>#REF!</f>
        <v>#REF!</v>
      </c>
      <c r="C139" s="1566"/>
      <c r="D139" s="662"/>
      <c r="E139" s="641"/>
      <c r="F139" s="641"/>
      <c r="G139" s="466"/>
      <c r="H139" s="496"/>
      <c r="I139" s="497"/>
      <c r="J139" s="496"/>
      <c r="K139" s="702"/>
      <c r="L139" s="702"/>
      <c r="M139" s="702"/>
      <c r="N139" s="702"/>
      <c r="O139" s="702"/>
      <c r="P139" s="702"/>
      <c r="Q139" s="702"/>
      <c r="R139" s="702"/>
      <c r="S139" s="702"/>
      <c r="T139" s="702"/>
      <c r="U139" s="702"/>
      <c r="V139" s="702"/>
      <c r="W139" s="702"/>
      <c r="X139" s="702"/>
      <c r="Y139" s="702"/>
      <c r="Z139" s="702"/>
      <c r="AA139" s="702"/>
      <c r="AB139" s="702"/>
      <c r="AC139" s="702"/>
      <c r="AD139" s="702"/>
      <c r="AE139" s="702"/>
      <c r="AF139" s="702"/>
      <c r="AG139" s="702"/>
      <c r="AH139" s="702"/>
      <c r="AI139" s="702"/>
      <c r="AJ139" s="702"/>
      <c r="AK139" s="702"/>
      <c r="AL139" s="702"/>
      <c r="AM139" s="702"/>
      <c r="AN139" s="702"/>
      <c r="AO139" s="702"/>
      <c r="AP139" s="702"/>
      <c r="AQ139" s="702"/>
      <c r="AR139" s="702"/>
      <c r="AS139" s="702"/>
      <c r="AT139" s="702"/>
      <c r="AU139" s="702"/>
      <c r="AV139" s="702"/>
      <c r="AW139" s="702"/>
      <c r="AX139" s="702"/>
      <c r="AY139" s="702"/>
      <c r="AZ139" s="702"/>
      <c r="BA139" s="702"/>
      <c r="BB139" s="702"/>
      <c r="BC139" s="702"/>
      <c r="BD139" s="702"/>
      <c r="BE139" s="702"/>
      <c r="BF139" s="702"/>
      <c r="BG139" s="702"/>
      <c r="BH139" s="702"/>
      <c r="BI139" s="702"/>
      <c r="BJ139" s="702"/>
      <c r="BK139" s="702"/>
      <c r="BL139" s="702"/>
      <c r="BM139" s="702"/>
      <c r="BN139" s="702"/>
      <c r="BO139" s="702"/>
      <c r="BP139" s="702"/>
      <c r="BQ139" s="702"/>
      <c r="BR139" s="702"/>
      <c r="BS139" s="702"/>
      <c r="BT139" s="702"/>
      <c r="BU139" s="702"/>
      <c r="BV139" s="702"/>
      <c r="BW139" s="702"/>
      <c r="BX139" s="702"/>
      <c r="BY139" s="702"/>
      <c r="BZ139" s="702"/>
      <c r="CA139" s="702"/>
      <c r="CB139" s="702"/>
      <c r="CC139" s="702"/>
      <c r="CD139" s="702"/>
      <c r="CE139" s="702"/>
      <c r="CF139" s="702"/>
      <c r="CG139" s="702"/>
      <c r="CH139" s="702"/>
      <c r="CI139" s="702"/>
      <c r="CJ139" s="702"/>
      <c r="CK139" s="702"/>
      <c r="CL139" s="702"/>
      <c r="CM139" s="702"/>
      <c r="CN139" s="702"/>
      <c r="CO139" s="702"/>
      <c r="CP139" s="702"/>
      <c r="CQ139" s="702"/>
      <c r="CR139" s="702"/>
      <c r="CS139" s="702"/>
      <c r="CT139" s="702"/>
      <c r="CU139" s="702"/>
      <c r="CV139" s="702"/>
      <c r="CW139" s="702"/>
      <c r="CX139" s="702"/>
      <c r="CY139" s="702"/>
      <c r="CZ139" s="702"/>
      <c r="DA139" s="702"/>
      <c r="DB139" s="702"/>
      <c r="DC139" s="702"/>
      <c r="DD139" s="702"/>
      <c r="DE139" s="702"/>
      <c r="DF139" s="702"/>
      <c r="DG139" s="702"/>
      <c r="DH139" s="702"/>
      <c r="DI139" s="702"/>
      <c r="DJ139" s="702"/>
      <c r="DK139" s="702"/>
      <c r="DL139" s="702"/>
      <c r="DM139" s="702"/>
      <c r="DN139" s="702"/>
      <c r="DO139" s="702"/>
      <c r="DP139" s="702"/>
      <c r="DQ139" s="702"/>
      <c r="DR139" s="702"/>
      <c r="DS139" s="702"/>
      <c r="DT139" s="702"/>
      <c r="DU139" s="702"/>
      <c r="DV139" s="702"/>
      <c r="DW139" s="702"/>
      <c r="DX139" s="702"/>
      <c r="DY139" s="702"/>
      <c r="DZ139" s="702"/>
      <c r="EA139" s="702"/>
      <c r="EB139" s="702"/>
      <c r="EC139" s="702"/>
      <c r="ED139" s="702"/>
      <c r="EE139" s="702"/>
      <c r="EF139" s="702"/>
      <c r="EG139" s="702"/>
      <c r="EH139" s="702"/>
      <c r="EI139" s="702"/>
      <c r="EJ139" s="702"/>
      <c r="EK139" s="702"/>
      <c r="EL139" s="702"/>
      <c r="EM139" s="702"/>
      <c r="EN139" s="702"/>
      <c r="EO139" s="702"/>
      <c r="EP139" s="702"/>
      <c r="EQ139" s="702"/>
      <c r="ER139" s="702"/>
      <c r="ES139" s="702"/>
      <c r="ET139" s="702"/>
      <c r="EU139" s="702"/>
      <c r="EV139" s="702"/>
      <c r="EW139" s="702"/>
      <c r="EX139" s="702"/>
      <c r="EY139" s="702"/>
      <c r="EZ139" s="702"/>
      <c r="FA139" s="702"/>
      <c r="FB139" s="702"/>
      <c r="FC139" s="702"/>
      <c r="FD139" s="702"/>
      <c r="FE139" s="702"/>
      <c r="FF139" s="702"/>
      <c r="FG139" s="702"/>
      <c r="FH139" s="702"/>
      <c r="FI139" s="702"/>
      <c r="FJ139" s="702"/>
      <c r="FK139" s="702"/>
      <c r="FL139" s="702"/>
      <c r="FM139" s="702"/>
      <c r="FN139" s="702"/>
      <c r="FO139" s="702"/>
      <c r="FP139" s="702"/>
      <c r="FQ139" s="702"/>
      <c r="FR139" s="702"/>
      <c r="FS139" s="702"/>
      <c r="FT139" s="702"/>
      <c r="FU139" s="702"/>
      <c r="FV139" s="702"/>
      <c r="FW139" s="702"/>
      <c r="FX139" s="702"/>
      <c r="FY139" s="702"/>
      <c r="FZ139" s="702"/>
      <c r="GA139" s="702"/>
      <c r="GB139" s="702"/>
      <c r="GC139" s="702"/>
      <c r="GD139" s="702"/>
      <c r="GE139" s="702"/>
      <c r="GF139" s="702"/>
      <c r="GG139" s="702"/>
    </row>
    <row r="140" spans="1:189" s="466" customFormat="1">
      <c r="A140" s="638" t="e">
        <f>#REF!</f>
        <v>#REF!</v>
      </c>
      <c r="B140" s="735" t="e">
        <f>#REF!</f>
        <v>#REF!</v>
      </c>
      <c r="C140" s="1558" t="e">
        <f>#REF!</f>
        <v>#REF!</v>
      </c>
      <c r="D140" s="654">
        <f>J140</f>
        <v>0</v>
      </c>
      <c r="E140" s="650" t="e">
        <f>#REF!</f>
        <v>#REF!</v>
      </c>
      <c r="F140" s="633" t="e">
        <f>+D140*E140</f>
        <v>#REF!</v>
      </c>
      <c r="H140" s="496">
        <v>0</v>
      </c>
      <c r="I140" s="497">
        <v>1.05</v>
      </c>
      <c r="J140" s="496">
        <f>H140*I140</f>
        <v>0</v>
      </c>
      <c r="K140" s="498"/>
      <c r="L140" s="498"/>
      <c r="M140" s="498"/>
      <c r="N140" s="498"/>
      <c r="O140" s="498"/>
      <c r="P140" s="498"/>
      <c r="Q140" s="498"/>
      <c r="R140" s="498"/>
      <c r="S140" s="498"/>
      <c r="T140" s="498"/>
      <c r="U140" s="498"/>
      <c r="V140" s="498"/>
      <c r="W140" s="498"/>
      <c r="X140" s="498"/>
      <c r="Y140" s="498"/>
      <c r="Z140" s="498"/>
      <c r="AA140" s="498"/>
      <c r="AB140" s="498"/>
      <c r="AC140" s="498"/>
      <c r="AD140" s="498"/>
      <c r="AE140" s="498"/>
      <c r="AF140" s="498"/>
      <c r="AG140" s="498"/>
      <c r="AH140" s="498"/>
      <c r="AI140" s="498"/>
      <c r="AJ140" s="498"/>
      <c r="AK140" s="498"/>
      <c r="AL140" s="498"/>
      <c r="AM140" s="498"/>
      <c r="AN140" s="498"/>
      <c r="AO140" s="498"/>
      <c r="AP140" s="498"/>
      <c r="AQ140" s="498"/>
      <c r="AR140" s="498"/>
      <c r="AS140" s="498"/>
      <c r="AT140" s="498"/>
      <c r="AU140" s="498"/>
      <c r="AV140" s="498"/>
      <c r="AW140" s="498"/>
      <c r="AX140" s="498"/>
      <c r="AY140" s="498"/>
      <c r="AZ140" s="498"/>
      <c r="BA140" s="498"/>
      <c r="BB140" s="498"/>
      <c r="BC140" s="498"/>
      <c r="BD140" s="498"/>
      <c r="BE140" s="498"/>
      <c r="BF140" s="498"/>
      <c r="BG140" s="498"/>
      <c r="BH140" s="498"/>
      <c r="BI140" s="498"/>
      <c r="BJ140" s="498"/>
      <c r="BK140" s="498"/>
      <c r="BL140" s="498"/>
      <c r="BM140" s="498"/>
      <c r="BN140" s="498"/>
      <c r="BO140" s="498"/>
      <c r="BP140" s="498"/>
      <c r="BQ140" s="498"/>
      <c r="BR140" s="498"/>
      <c r="BS140" s="498"/>
      <c r="BT140" s="498"/>
      <c r="BU140" s="498"/>
      <c r="BV140" s="498"/>
      <c r="BW140" s="498"/>
      <c r="BX140" s="498"/>
      <c r="BY140" s="498"/>
      <c r="BZ140" s="498"/>
      <c r="CA140" s="498"/>
      <c r="CB140" s="498"/>
      <c r="CC140" s="498"/>
      <c r="CD140" s="498"/>
      <c r="CE140" s="498"/>
      <c r="CF140" s="498"/>
      <c r="CG140" s="498"/>
      <c r="CH140" s="498"/>
      <c r="CI140" s="498"/>
      <c r="CJ140" s="498"/>
      <c r="CK140" s="498"/>
      <c r="CL140" s="498"/>
      <c r="CM140" s="498"/>
      <c r="CN140" s="498"/>
      <c r="CO140" s="498"/>
      <c r="CP140" s="498"/>
      <c r="CQ140" s="498"/>
      <c r="CR140" s="498"/>
      <c r="CS140" s="498"/>
      <c r="CT140" s="498"/>
      <c r="CU140" s="498"/>
      <c r="CV140" s="498"/>
      <c r="CW140" s="498"/>
      <c r="CX140" s="498"/>
      <c r="CY140" s="498"/>
      <c r="CZ140" s="498"/>
      <c r="DA140" s="498"/>
      <c r="DB140" s="498"/>
      <c r="DC140" s="498"/>
      <c r="DD140" s="498"/>
      <c r="DE140" s="498"/>
      <c r="DF140" s="498"/>
      <c r="DG140" s="498"/>
      <c r="DH140" s="498"/>
      <c r="DI140" s="498"/>
      <c r="DJ140" s="498"/>
      <c r="DK140" s="498"/>
      <c r="DL140" s="498"/>
      <c r="DM140" s="498"/>
      <c r="DN140" s="498"/>
      <c r="DO140" s="498"/>
      <c r="DP140" s="498"/>
      <c r="DQ140" s="498"/>
      <c r="DR140" s="498"/>
      <c r="DS140" s="498"/>
      <c r="DT140" s="498"/>
      <c r="DU140" s="498"/>
      <c r="DV140" s="498"/>
      <c r="DW140" s="498"/>
      <c r="DX140" s="498"/>
      <c r="DY140" s="498"/>
      <c r="DZ140" s="498"/>
      <c r="EA140" s="498"/>
      <c r="EB140" s="498"/>
      <c r="EC140" s="498"/>
      <c r="ED140" s="498"/>
      <c r="EE140" s="498"/>
      <c r="EF140" s="498"/>
      <c r="EG140" s="498"/>
      <c r="EH140" s="498"/>
      <c r="EI140" s="498"/>
      <c r="EJ140" s="498"/>
      <c r="EK140" s="498"/>
      <c r="EL140" s="498"/>
      <c r="EM140" s="498"/>
      <c r="EN140" s="498"/>
      <c r="EO140" s="498"/>
      <c r="EP140" s="498"/>
      <c r="EQ140" s="498"/>
      <c r="ER140" s="498"/>
      <c r="ES140" s="498"/>
      <c r="ET140" s="498"/>
      <c r="EU140" s="498"/>
      <c r="EV140" s="498"/>
      <c r="EW140" s="498"/>
      <c r="EX140" s="498"/>
      <c r="EY140" s="498"/>
      <c r="EZ140" s="498"/>
      <c r="FA140" s="498"/>
      <c r="FB140" s="498"/>
      <c r="FC140" s="498"/>
      <c r="FD140" s="498"/>
      <c r="FE140" s="498"/>
      <c r="FF140" s="498"/>
      <c r="FG140" s="498"/>
      <c r="FH140" s="498"/>
      <c r="FI140" s="498"/>
      <c r="FJ140" s="498"/>
      <c r="FK140" s="498"/>
      <c r="FL140" s="498"/>
      <c r="FM140" s="498"/>
      <c r="FN140" s="498"/>
      <c r="FO140" s="498"/>
      <c r="FP140" s="498"/>
      <c r="FQ140" s="498"/>
      <c r="FR140" s="498"/>
      <c r="FS140" s="498"/>
      <c r="FT140" s="498"/>
      <c r="FU140" s="498"/>
      <c r="FV140" s="498"/>
      <c r="FW140" s="498"/>
      <c r="FX140" s="498"/>
      <c r="FY140" s="498"/>
      <c r="FZ140" s="498"/>
      <c r="GA140" s="498"/>
      <c r="GB140" s="498"/>
      <c r="GC140" s="498"/>
      <c r="GD140" s="498"/>
      <c r="GE140" s="498"/>
      <c r="GF140" s="498"/>
      <c r="GG140" s="498"/>
    </row>
    <row r="141" spans="1:189" s="699" customFormat="1">
      <c r="A141" s="689" t="e">
        <f>#REF!</f>
        <v>#REF!</v>
      </c>
      <c r="B141" s="752" t="e">
        <f>#REF!</f>
        <v>#REF!</v>
      </c>
      <c r="C141" s="1566"/>
      <c r="D141" s="662"/>
      <c r="E141" s="641"/>
      <c r="F141" s="641"/>
      <c r="G141" s="466"/>
      <c r="H141" s="496"/>
      <c r="I141" s="497"/>
      <c r="J141" s="496"/>
      <c r="K141" s="702"/>
      <c r="L141" s="702"/>
      <c r="M141" s="702"/>
      <c r="N141" s="702"/>
      <c r="O141" s="702"/>
      <c r="P141" s="702"/>
      <c r="Q141" s="702"/>
      <c r="R141" s="702"/>
      <c r="S141" s="702"/>
      <c r="T141" s="702"/>
      <c r="U141" s="702"/>
      <c r="V141" s="702"/>
      <c r="W141" s="702"/>
      <c r="X141" s="702"/>
      <c r="Y141" s="702"/>
      <c r="Z141" s="702"/>
      <c r="AA141" s="702"/>
      <c r="AB141" s="702"/>
      <c r="AC141" s="702"/>
      <c r="AD141" s="702"/>
      <c r="AE141" s="702"/>
      <c r="AF141" s="702"/>
      <c r="AG141" s="702"/>
      <c r="AH141" s="702"/>
      <c r="AI141" s="702"/>
      <c r="AJ141" s="702"/>
      <c r="AK141" s="702"/>
      <c r="AL141" s="702"/>
      <c r="AM141" s="702"/>
      <c r="AN141" s="702"/>
      <c r="AO141" s="702"/>
      <c r="AP141" s="702"/>
      <c r="AQ141" s="702"/>
      <c r="AR141" s="702"/>
      <c r="AS141" s="702"/>
      <c r="AT141" s="702"/>
      <c r="AU141" s="702"/>
      <c r="AV141" s="702"/>
      <c r="AW141" s="702"/>
      <c r="AX141" s="702"/>
      <c r="AY141" s="702"/>
      <c r="AZ141" s="702"/>
      <c r="BA141" s="702"/>
      <c r="BB141" s="702"/>
      <c r="BC141" s="702"/>
      <c r="BD141" s="702"/>
      <c r="BE141" s="702"/>
      <c r="BF141" s="702"/>
      <c r="BG141" s="702"/>
      <c r="BH141" s="702"/>
      <c r="BI141" s="702"/>
      <c r="BJ141" s="702"/>
      <c r="BK141" s="702"/>
      <c r="BL141" s="702"/>
      <c r="BM141" s="702"/>
      <c r="BN141" s="702"/>
      <c r="BO141" s="702"/>
      <c r="BP141" s="702"/>
      <c r="BQ141" s="702"/>
      <c r="BR141" s="702"/>
      <c r="BS141" s="702"/>
      <c r="BT141" s="702"/>
      <c r="BU141" s="702"/>
      <c r="BV141" s="702"/>
      <c r="BW141" s="702"/>
      <c r="BX141" s="702"/>
      <c r="BY141" s="702"/>
      <c r="BZ141" s="702"/>
      <c r="CA141" s="702"/>
      <c r="CB141" s="702"/>
      <c r="CC141" s="702"/>
      <c r="CD141" s="702"/>
      <c r="CE141" s="702"/>
      <c r="CF141" s="702"/>
      <c r="CG141" s="702"/>
      <c r="CH141" s="702"/>
      <c r="CI141" s="702"/>
      <c r="CJ141" s="702"/>
      <c r="CK141" s="702"/>
      <c r="CL141" s="702"/>
      <c r="CM141" s="702"/>
      <c r="CN141" s="702"/>
      <c r="CO141" s="702"/>
      <c r="CP141" s="702"/>
      <c r="CQ141" s="702"/>
      <c r="CR141" s="702"/>
      <c r="CS141" s="702"/>
      <c r="CT141" s="702"/>
      <c r="CU141" s="702"/>
      <c r="CV141" s="702"/>
      <c r="CW141" s="702"/>
      <c r="CX141" s="702"/>
      <c r="CY141" s="702"/>
      <c r="CZ141" s="702"/>
      <c r="DA141" s="702"/>
      <c r="DB141" s="702"/>
      <c r="DC141" s="702"/>
      <c r="DD141" s="702"/>
      <c r="DE141" s="702"/>
      <c r="DF141" s="702"/>
      <c r="DG141" s="702"/>
      <c r="DH141" s="702"/>
      <c r="DI141" s="702"/>
      <c r="DJ141" s="702"/>
      <c r="DK141" s="702"/>
      <c r="DL141" s="702"/>
      <c r="DM141" s="702"/>
      <c r="DN141" s="702"/>
      <c r="DO141" s="702"/>
      <c r="DP141" s="702"/>
      <c r="DQ141" s="702"/>
      <c r="DR141" s="702"/>
      <c r="DS141" s="702"/>
      <c r="DT141" s="702"/>
      <c r="DU141" s="702"/>
      <c r="DV141" s="702"/>
      <c r="DW141" s="702"/>
      <c r="DX141" s="702"/>
      <c r="DY141" s="702"/>
      <c r="DZ141" s="702"/>
      <c r="EA141" s="702"/>
      <c r="EB141" s="702"/>
      <c r="EC141" s="702"/>
      <c r="ED141" s="702"/>
      <c r="EE141" s="702"/>
      <c r="EF141" s="702"/>
      <c r="EG141" s="702"/>
      <c r="EH141" s="702"/>
      <c r="EI141" s="702"/>
      <c r="EJ141" s="702"/>
      <c r="EK141" s="702"/>
      <c r="EL141" s="702"/>
      <c r="EM141" s="702"/>
      <c r="EN141" s="702"/>
      <c r="EO141" s="702"/>
      <c r="EP141" s="702"/>
      <c r="EQ141" s="702"/>
      <c r="ER141" s="702"/>
      <c r="ES141" s="702"/>
      <c r="ET141" s="702"/>
      <c r="EU141" s="702"/>
      <c r="EV141" s="702"/>
      <c r="EW141" s="702"/>
      <c r="EX141" s="702"/>
      <c r="EY141" s="702"/>
      <c r="EZ141" s="702"/>
      <c r="FA141" s="702"/>
      <c r="FB141" s="702"/>
      <c r="FC141" s="702"/>
      <c r="FD141" s="702"/>
      <c r="FE141" s="702"/>
      <c r="FF141" s="702"/>
      <c r="FG141" s="702"/>
      <c r="FH141" s="702"/>
      <c r="FI141" s="702"/>
      <c r="FJ141" s="702"/>
      <c r="FK141" s="702"/>
      <c r="FL141" s="702"/>
      <c r="FM141" s="702"/>
      <c r="FN141" s="702"/>
      <c r="FO141" s="702"/>
      <c r="FP141" s="702"/>
      <c r="FQ141" s="702"/>
      <c r="FR141" s="702"/>
      <c r="FS141" s="702"/>
      <c r="FT141" s="702"/>
      <c r="FU141" s="702"/>
      <c r="FV141" s="702"/>
      <c r="FW141" s="702"/>
      <c r="FX141" s="702"/>
      <c r="FY141" s="702"/>
      <c r="FZ141" s="702"/>
      <c r="GA141" s="702"/>
      <c r="GB141" s="702"/>
      <c r="GC141" s="702"/>
      <c r="GD141" s="702"/>
      <c r="GE141" s="702"/>
      <c r="GF141" s="702"/>
      <c r="GG141" s="702"/>
    </row>
    <row r="142" spans="1:189" s="466" customFormat="1">
      <c r="A142" s="1418"/>
      <c r="B142" s="715"/>
      <c r="C142" s="1558" t="e">
        <f>#REF!</f>
        <v>#REF!</v>
      </c>
      <c r="D142" s="654">
        <v>1</v>
      </c>
      <c r="E142" s="650" t="e">
        <f>#REF!</f>
        <v>#REF!</v>
      </c>
      <c r="F142" s="633" t="e">
        <f>+D142*E142</f>
        <v>#REF!</v>
      </c>
      <c r="H142" s="496">
        <v>0</v>
      </c>
      <c r="I142" s="497">
        <v>1.05</v>
      </c>
      <c r="J142" s="496">
        <f>H142*I142</f>
        <v>0</v>
      </c>
      <c r="K142" s="498"/>
      <c r="L142" s="498"/>
      <c r="M142" s="498"/>
      <c r="N142" s="498"/>
      <c r="O142" s="498"/>
      <c r="P142" s="498"/>
      <c r="Q142" s="498"/>
      <c r="R142" s="498"/>
      <c r="S142" s="498"/>
      <c r="T142" s="498"/>
      <c r="U142" s="498"/>
      <c r="V142" s="498"/>
      <c r="W142" s="498"/>
      <c r="X142" s="498"/>
      <c r="Y142" s="498"/>
      <c r="Z142" s="498"/>
      <c r="AA142" s="498"/>
      <c r="AB142" s="498"/>
      <c r="AC142" s="498"/>
      <c r="AD142" s="498"/>
      <c r="AE142" s="498"/>
      <c r="AF142" s="498"/>
      <c r="AG142" s="498"/>
      <c r="AH142" s="498"/>
      <c r="AI142" s="498"/>
      <c r="AJ142" s="498"/>
      <c r="AK142" s="498"/>
      <c r="AL142" s="498"/>
      <c r="AM142" s="498"/>
      <c r="AN142" s="498"/>
      <c r="AO142" s="498"/>
      <c r="AP142" s="498"/>
      <c r="AQ142" s="498"/>
      <c r="AR142" s="498"/>
      <c r="AS142" s="498"/>
      <c r="AT142" s="498"/>
      <c r="AU142" s="498"/>
      <c r="AV142" s="498"/>
      <c r="AW142" s="498"/>
      <c r="AX142" s="498"/>
      <c r="AY142" s="498"/>
      <c r="AZ142" s="498"/>
      <c r="BA142" s="498"/>
      <c r="BB142" s="498"/>
      <c r="BC142" s="498"/>
      <c r="BD142" s="498"/>
      <c r="BE142" s="498"/>
      <c r="BF142" s="498"/>
      <c r="BG142" s="498"/>
      <c r="BH142" s="498"/>
      <c r="BI142" s="498"/>
      <c r="BJ142" s="498"/>
      <c r="BK142" s="498"/>
      <c r="BL142" s="498"/>
      <c r="BM142" s="498"/>
      <c r="BN142" s="498"/>
      <c r="BO142" s="498"/>
      <c r="BP142" s="498"/>
      <c r="BQ142" s="498"/>
      <c r="BR142" s="498"/>
      <c r="BS142" s="498"/>
      <c r="BT142" s="498"/>
      <c r="BU142" s="498"/>
      <c r="BV142" s="498"/>
      <c r="BW142" s="498"/>
      <c r="BX142" s="498"/>
      <c r="BY142" s="498"/>
      <c r="BZ142" s="498"/>
      <c r="CA142" s="498"/>
      <c r="CB142" s="498"/>
      <c r="CC142" s="498"/>
      <c r="CD142" s="498"/>
      <c r="CE142" s="498"/>
      <c r="CF142" s="498"/>
      <c r="CG142" s="498"/>
      <c r="CH142" s="498"/>
      <c r="CI142" s="498"/>
      <c r="CJ142" s="498"/>
      <c r="CK142" s="498"/>
      <c r="CL142" s="498"/>
      <c r="CM142" s="498"/>
      <c r="CN142" s="498"/>
      <c r="CO142" s="498"/>
      <c r="CP142" s="498"/>
      <c r="CQ142" s="498"/>
      <c r="CR142" s="498"/>
      <c r="CS142" s="498"/>
      <c r="CT142" s="498"/>
      <c r="CU142" s="498"/>
      <c r="CV142" s="498"/>
      <c r="CW142" s="498"/>
      <c r="CX142" s="498"/>
      <c r="CY142" s="498"/>
      <c r="CZ142" s="498"/>
      <c r="DA142" s="498"/>
      <c r="DB142" s="498"/>
      <c r="DC142" s="498"/>
      <c r="DD142" s="498"/>
      <c r="DE142" s="498"/>
      <c r="DF142" s="498"/>
      <c r="DG142" s="498"/>
      <c r="DH142" s="498"/>
      <c r="DI142" s="498"/>
      <c r="DJ142" s="498"/>
      <c r="DK142" s="498"/>
      <c r="DL142" s="498"/>
      <c r="DM142" s="498"/>
      <c r="DN142" s="498"/>
      <c r="DO142" s="498"/>
      <c r="DP142" s="498"/>
      <c r="DQ142" s="498"/>
      <c r="DR142" s="498"/>
      <c r="DS142" s="498"/>
      <c r="DT142" s="498"/>
      <c r="DU142" s="498"/>
      <c r="DV142" s="498"/>
      <c r="DW142" s="498"/>
      <c r="DX142" s="498"/>
      <c r="DY142" s="498"/>
      <c r="DZ142" s="498"/>
      <c r="EA142" s="498"/>
      <c r="EB142" s="498"/>
      <c r="EC142" s="498"/>
      <c r="ED142" s="498"/>
      <c r="EE142" s="498"/>
      <c r="EF142" s="498"/>
      <c r="EG142" s="498"/>
      <c r="EH142" s="498"/>
      <c r="EI142" s="498"/>
      <c r="EJ142" s="498"/>
      <c r="EK142" s="498"/>
      <c r="EL142" s="498"/>
      <c r="EM142" s="498"/>
      <c r="EN142" s="498"/>
      <c r="EO142" s="498"/>
      <c r="EP142" s="498"/>
      <c r="EQ142" s="498"/>
      <c r="ER142" s="498"/>
      <c r="ES142" s="498"/>
      <c r="ET142" s="498"/>
      <c r="EU142" s="498"/>
      <c r="EV142" s="498"/>
      <c r="EW142" s="498"/>
      <c r="EX142" s="498"/>
      <c r="EY142" s="498"/>
      <c r="EZ142" s="498"/>
      <c r="FA142" s="498"/>
      <c r="FB142" s="498"/>
      <c r="FC142" s="498"/>
      <c r="FD142" s="498"/>
      <c r="FE142" s="498"/>
      <c r="FF142" s="498"/>
      <c r="FG142" s="498"/>
      <c r="FH142" s="498"/>
      <c r="FI142" s="498"/>
      <c r="FJ142" s="498"/>
      <c r="FK142" s="498"/>
      <c r="FL142" s="498"/>
      <c r="FM142" s="498"/>
      <c r="FN142" s="498"/>
      <c r="FO142" s="498"/>
      <c r="FP142" s="498"/>
      <c r="FQ142" s="498"/>
      <c r="FR142" s="498"/>
      <c r="FS142" s="498"/>
      <c r="FT142" s="498"/>
      <c r="FU142" s="498"/>
      <c r="FV142" s="498"/>
      <c r="FW142" s="498"/>
      <c r="FX142" s="498"/>
      <c r="FY142" s="498"/>
      <c r="FZ142" s="498"/>
      <c r="GA142" s="498"/>
      <c r="GB142" s="498"/>
      <c r="GC142" s="498"/>
      <c r="GD142" s="498"/>
      <c r="GE142" s="498"/>
      <c r="GF142" s="498"/>
      <c r="GG142" s="498"/>
    </row>
    <row r="143" spans="1:189" s="466" customFormat="1">
      <c r="A143" s="689" t="e">
        <f>#REF!</f>
        <v>#REF!</v>
      </c>
      <c r="B143" s="752" t="e">
        <f>#REF!</f>
        <v>#REF!</v>
      </c>
      <c r="C143" s="1566"/>
      <c r="D143" s="662"/>
      <c r="E143" s="641"/>
      <c r="F143" s="641"/>
      <c r="H143" s="496"/>
      <c r="I143" s="497"/>
      <c r="J143" s="496"/>
      <c r="K143" s="498"/>
      <c r="L143" s="498"/>
      <c r="M143" s="498"/>
      <c r="N143" s="498"/>
      <c r="O143" s="498"/>
      <c r="P143" s="498"/>
      <c r="Q143" s="498"/>
      <c r="R143" s="498"/>
      <c r="S143" s="498"/>
      <c r="T143" s="498"/>
      <c r="U143" s="498"/>
      <c r="V143" s="498"/>
      <c r="W143" s="498"/>
      <c r="X143" s="498"/>
      <c r="Y143" s="498"/>
      <c r="Z143" s="498"/>
      <c r="AA143" s="498"/>
      <c r="AB143" s="498"/>
      <c r="AC143" s="498"/>
      <c r="AD143" s="498"/>
      <c r="AE143" s="498"/>
      <c r="AF143" s="498"/>
      <c r="AG143" s="498"/>
      <c r="AH143" s="498"/>
      <c r="AI143" s="498"/>
      <c r="AJ143" s="498"/>
      <c r="AK143" s="498"/>
      <c r="AL143" s="498"/>
      <c r="AM143" s="498"/>
      <c r="AN143" s="498"/>
      <c r="AO143" s="498"/>
      <c r="AP143" s="498"/>
      <c r="AQ143" s="498"/>
      <c r="AR143" s="498"/>
      <c r="AS143" s="498"/>
      <c r="AT143" s="498"/>
      <c r="AU143" s="498"/>
      <c r="AV143" s="498"/>
      <c r="AW143" s="498"/>
      <c r="AX143" s="498"/>
      <c r="AY143" s="498"/>
      <c r="AZ143" s="498"/>
      <c r="BA143" s="498"/>
      <c r="BB143" s="498"/>
      <c r="BC143" s="498"/>
      <c r="BD143" s="498"/>
      <c r="BE143" s="498"/>
      <c r="BF143" s="498"/>
      <c r="BG143" s="498"/>
      <c r="BH143" s="498"/>
      <c r="BI143" s="498"/>
      <c r="BJ143" s="498"/>
      <c r="BK143" s="498"/>
      <c r="BL143" s="498"/>
      <c r="BM143" s="498"/>
      <c r="BN143" s="498"/>
      <c r="BO143" s="498"/>
      <c r="BP143" s="498"/>
      <c r="BQ143" s="498"/>
      <c r="BR143" s="498"/>
      <c r="BS143" s="498"/>
      <c r="BT143" s="498"/>
      <c r="BU143" s="498"/>
      <c r="BV143" s="498"/>
      <c r="BW143" s="498"/>
      <c r="BX143" s="498"/>
      <c r="BY143" s="498"/>
      <c r="BZ143" s="498"/>
      <c r="CA143" s="498"/>
      <c r="CB143" s="498"/>
      <c r="CC143" s="498"/>
      <c r="CD143" s="498"/>
      <c r="CE143" s="498"/>
      <c r="CF143" s="498"/>
      <c r="CG143" s="498"/>
      <c r="CH143" s="498"/>
      <c r="CI143" s="498"/>
      <c r="CJ143" s="498"/>
      <c r="CK143" s="498"/>
      <c r="CL143" s="498"/>
      <c r="CM143" s="498"/>
      <c r="CN143" s="498"/>
      <c r="CO143" s="498"/>
      <c r="CP143" s="498"/>
      <c r="CQ143" s="498"/>
      <c r="CR143" s="498"/>
      <c r="CS143" s="498"/>
      <c r="CT143" s="498"/>
      <c r="CU143" s="498"/>
      <c r="CV143" s="498"/>
      <c r="CW143" s="498"/>
      <c r="CX143" s="498"/>
      <c r="CY143" s="498"/>
      <c r="CZ143" s="498"/>
      <c r="DA143" s="498"/>
      <c r="DB143" s="498"/>
      <c r="DC143" s="498"/>
      <c r="DD143" s="498"/>
      <c r="DE143" s="498"/>
      <c r="DF143" s="498"/>
      <c r="DG143" s="498"/>
      <c r="DH143" s="498"/>
      <c r="DI143" s="498"/>
      <c r="DJ143" s="498"/>
      <c r="DK143" s="498"/>
      <c r="DL143" s="498"/>
      <c r="DM143" s="498"/>
      <c r="DN143" s="498"/>
      <c r="DO143" s="498"/>
      <c r="DP143" s="498"/>
      <c r="DQ143" s="498"/>
      <c r="DR143" s="498"/>
      <c r="DS143" s="498"/>
      <c r="DT143" s="498"/>
      <c r="DU143" s="498"/>
      <c r="DV143" s="498"/>
      <c r="DW143" s="498"/>
      <c r="DX143" s="498"/>
      <c r="DY143" s="498"/>
      <c r="DZ143" s="498"/>
      <c r="EA143" s="498"/>
      <c r="EB143" s="498"/>
      <c r="EC143" s="498"/>
      <c r="ED143" s="498"/>
      <c r="EE143" s="498"/>
      <c r="EF143" s="498"/>
      <c r="EG143" s="498"/>
      <c r="EH143" s="498"/>
      <c r="EI143" s="498"/>
      <c r="EJ143" s="498"/>
      <c r="EK143" s="498"/>
      <c r="EL143" s="498"/>
      <c r="EM143" s="498"/>
      <c r="EN143" s="498"/>
      <c r="EO143" s="498"/>
      <c r="EP143" s="498"/>
      <c r="EQ143" s="498"/>
      <c r="ER143" s="498"/>
      <c r="ES143" s="498"/>
      <c r="ET143" s="498"/>
      <c r="EU143" s="498"/>
      <c r="EV143" s="498"/>
      <c r="EW143" s="498"/>
      <c r="EX143" s="498"/>
      <c r="EY143" s="498"/>
      <c r="EZ143" s="498"/>
      <c r="FA143" s="498"/>
      <c r="FB143" s="498"/>
      <c r="FC143" s="498"/>
      <c r="FD143" s="498"/>
      <c r="FE143" s="498"/>
      <c r="FF143" s="498"/>
      <c r="FG143" s="498"/>
      <c r="FH143" s="498"/>
      <c r="FI143" s="498"/>
      <c r="FJ143" s="498"/>
      <c r="FK143" s="498"/>
      <c r="FL143" s="498"/>
      <c r="FM143" s="498"/>
      <c r="FN143" s="498"/>
      <c r="FO143" s="498"/>
      <c r="FP143" s="498"/>
      <c r="FQ143" s="498"/>
      <c r="FR143" s="498"/>
      <c r="FS143" s="498"/>
      <c r="FT143" s="498"/>
      <c r="FU143" s="498"/>
      <c r="FV143" s="498"/>
      <c r="FW143" s="498"/>
      <c r="FX143" s="498"/>
      <c r="FY143" s="498"/>
      <c r="FZ143" s="498"/>
      <c r="GA143" s="498"/>
      <c r="GB143" s="498"/>
      <c r="GC143" s="498"/>
      <c r="GD143" s="498"/>
      <c r="GE143" s="498"/>
      <c r="GF143" s="498"/>
      <c r="GG143" s="498"/>
    </row>
    <row r="144" spans="1:189" s="466" customFormat="1" ht="30" customHeight="1">
      <c r="A144" s="785" t="e">
        <f>#REF!</f>
        <v>#REF!</v>
      </c>
      <c r="B144" s="786" t="e">
        <f>#REF!</f>
        <v>#REF!</v>
      </c>
      <c r="C144" s="1558" t="e">
        <f>#REF!</f>
        <v>#REF!</v>
      </c>
      <c r="D144" s="654">
        <f>J144</f>
        <v>29.337000000000003</v>
      </c>
      <c r="E144" s="633" t="e">
        <f>#REF!</f>
        <v>#REF!</v>
      </c>
      <c r="F144" s="633" t="e">
        <f>+D144*E144</f>
        <v>#REF!</v>
      </c>
      <c r="H144" s="496">
        <f>SUM(D137:D138)/50+5</f>
        <v>26.67</v>
      </c>
      <c r="I144" s="497">
        <v>1.1000000000000001</v>
      </c>
      <c r="J144" s="496">
        <f>H144*I144</f>
        <v>29.337000000000003</v>
      </c>
      <c r="K144" s="498"/>
      <c r="L144" s="498"/>
      <c r="M144" s="498"/>
      <c r="N144" s="498"/>
      <c r="O144" s="498"/>
      <c r="P144" s="498"/>
      <c r="Q144" s="498"/>
      <c r="R144" s="498"/>
      <c r="S144" s="498"/>
      <c r="T144" s="498"/>
      <c r="U144" s="498"/>
      <c r="V144" s="498"/>
      <c r="W144" s="498"/>
      <c r="X144" s="498"/>
      <c r="Y144" s="498"/>
      <c r="Z144" s="498"/>
      <c r="AA144" s="498"/>
      <c r="AB144" s="498"/>
      <c r="AC144" s="498"/>
      <c r="AD144" s="498"/>
      <c r="AE144" s="498"/>
      <c r="AF144" s="498"/>
      <c r="AG144" s="498"/>
      <c r="AH144" s="498"/>
      <c r="AI144" s="498"/>
      <c r="AJ144" s="498"/>
      <c r="AK144" s="498"/>
      <c r="AL144" s="498"/>
      <c r="AM144" s="498"/>
      <c r="AN144" s="498"/>
      <c r="AO144" s="498"/>
      <c r="AP144" s="498"/>
      <c r="AQ144" s="498"/>
      <c r="AR144" s="498"/>
      <c r="AS144" s="498"/>
      <c r="AT144" s="498"/>
      <c r="AU144" s="498"/>
      <c r="AV144" s="498"/>
      <c r="AW144" s="498"/>
      <c r="AX144" s="498"/>
      <c r="AY144" s="498"/>
      <c r="AZ144" s="498"/>
      <c r="BA144" s="498"/>
      <c r="BB144" s="498"/>
      <c r="BC144" s="498"/>
      <c r="BD144" s="498"/>
      <c r="BE144" s="498"/>
      <c r="BF144" s="498"/>
      <c r="BG144" s="498"/>
      <c r="BH144" s="498"/>
      <c r="BI144" s="498"/>
      <c r="BJ144" s="498"/>
      <c r="BK144" s="498"/>
      <c r="BL144" s="498"/>
      <c r="BM144" s="498"/>
      <c r="BN144" s="498"/>
      <c r="BO144" s="498"/>
      <c r="BP144" s="498"/>
      <c r="BQ144" s="498"/>
      <c r="BR144" s="498"/>
      <c r="BS144" s="498"/>
      <c r="BT144" s="498"/>
      <c r="BU144" s="498"/>
      <c r="BV144" s="498"/>
      <c r="BW144" s="498"/>
      <c r="BX144" s="498"/>
      <c r="BY144" s="498"/>
      <c r="BZ144" s="498"/>
      <c r="CA144" s="498"/>
      <c r="CB144" s="498"/>
      <c r="CC144" s="498"/>
      <c r="CD144" s="498"/>
      <c r="CE144" s="498"/>
      <c r="CF144" s="498"/>
      <c r="CG144" s="498"/>
      <c r="CH144" s="498"/>
      <c r="CI144" s="498"/>
      <c r="CJ144" s="498"/>
      <c r="CK144" s="498"/>
      <c r="CL144" s="498"/>
      <c r="CM144" s="498"/>
      <c r="CN144" s="498"/>
      <c r="CO144" s="498"/>
      <c r="CP144" s="498"/>
      <c r="CQ144" s="498"/>
      <c r="CR144" s="498"/>
      <c r="CS144" s="498"/>
      <c r="CT144" s="498"/>
      <c r="CU144" s="498"/>
      <c r="CV144" s="498"/>
      <c r="CW144" s="498"/>
      <c r="CX144" s="498"/>
      <c r="CY144" s="498"/>
      <c r="CZ144" s="498"/>
      <c r="DA144" s="498"/>
      <c r="DB144" s="498"/>
      <c r="DC144" s="498"/>
      <c r="DD144" s="498"/>
      <c r="DE144" s="498"/>
      <c r="DF144" s="498"/>
      <c r="DG144" s="498"/>
      <c r="DH144" s="498"/>
      <c r="DI144" s="498"/>
      <c r="DJ144" s="498"/>
      <c r="DK144" s="498"/>
      <c r="DL144" s="498"/>
      <c r="DM144" s="498"/>
      <c r="DN144" s="498"/>
      <c r="DO144" s="498"/>
      <c r="DP144" s="498"/>
      <c r="DQ144" s="498"/>
      <c r="DR144" s="498"/>
      <c r="DS144" s="498"/>
      <c r="DT144" s="498"/>
      <c r="DU144" s="498"/>
      <c r="DV144" s="498"/>
      <c r="DW144" s="498"/>
      <c r="DX144" s="498"/>
      <c r="DY144" s="498"/>
      <c r="DZ144" s="498"/>
      <c r="EA144" s="498"/>
      <c r="EB144" s="498"/>
      <c r="EC144" s="498"/>
      <c r="ED144" s="498"/>
      <c r="EE144" s="498"/>
      <c r="EF144" s="498"/>
      <c r="EG144" s="498"/>
      <c r="EH144" s="498"/>
      <c r="EI144" s="498"/>
      <c r="EJ144" s="498"/>
      <c r="EK144" s="498"/>
      <c r="EL144" s="498"/>
      <c r="EM144" s="498"/>
      <c r="EN144" s="498"/>
      <c r="EO144" s="498"/>
      <c r="EP144" s="498"/>
      <c r="EQ144" s="498"/>
      <c r="ER144" s="498"/>
      <c r="ES144" s="498"/>
      <c r="ET144" s="498"/>
      <c r="EU144" s="498"/>
      <c r="EV144" s="498"/>
      <c r="EW144" s="498"/>
      <c r="EX144" s="498"/>
      <c r="EY144" s="498"/>
      <c r="EZ144" s="498"/>
      <c r="FA144" s="498"/>
      <c r="FB144" s="498"/>
      <c r="FC144" s="498"/>
      <c r="FD144" s="498"/>
      <c r="FE144" s="498"/>
      <c r="FF144" s="498"/>
      <c r="FG144" s="498"/>
      <c r="FH144" s="498"/>
      <c r="FI144" s="498"/>
      <c r="FJ144" s="498"/>
      <c r="FK144" s="498"/>
      <c r="FL144" s="498"/>
      <c r="FM144" s="498"/>
      <c r="FN144" s="498"/>
      <c r="FO144" s="498"/>
      <c r="FP144" s="498"/>
      <c r="FQ144" s="498"/>
      <c r="FR144" s="498"/>
      <c r="FS144" s="498"/>
      <c r="FT144" s="498"/>
      <c r="FU144" s="498"/>
      <c r="FV144" s="498"/>
      <c r="FW144" s="498"/>
      <c r="FX144" s="498"/>
      <c r="FY144" s="498"/>
      <c r="FZ144" s="498"/>
      <c r="GA144" s="498"/>
      <c r="GB144" s="498"/>
      <c r="GC144" s="498"/>
      <c r="GD144" s="498"/>
      <c r="GE144" s="498"/>
      <c r="GF144" s="498"/>
      <c r="GG144" s="498"/>
    </row>
    <row r="145" spans="1:189" s="466" customFormat="1">
      <c r="A145" s="765" t="e">
        <f>#REF!</f>
        <v>#REF!</v>
      </c>
      <c r="B145" s="766" t="e">
        <f>#REF!</f>
        <v>#REF!</v>
      </c>
      <c r="C145" s="1560" t="e">
        <f>#REF!</f>
        <v>#REF!</v>
      </c>
      <c r="D145" s="648">
        <f>J145</f>
        <v>737.42240000000015</v>
      </c>
      <c r="E145" s="527" t="e">
        <f>#REF!</f>
        <v>#REF!</v>
      </c>
      <c r="F145" s="527" t="e">
        <f>+D145*E145</f>
        <v>#REF!</v>
      </c>
      <c r="H145" s="496">
        <f>SUM(D135)/12.5*2</f>
        <v>670.38400000000013</v>
      </c>
      <c r="I145" s="497">
        <v>1.1000000000000001</v>
      </c>
      <c r="J145" s="496">
        <f>H145*I145</f>
        <v>737.42240000000015</v>
      </c>
      <c r="K145" s="498"/>
      <c r="L145" s="498"/>
      <c r="M145" s="498"/>
      <c r="N145" s="498"/>
      <c r="O145" s="498"/>
      <c r="P145" s="498"/>
      <c r="Q145" s="498"/>
      <c r="R145" s="498"/>
      <c r="S145" s="498"/>
      <c r="T145" s="498"/>
      <c r="U145" s="498"/>
      <c r="V145" s="498"/>
      <c r="W145" s="498"/>
      <c r="X145" s="498"/>
      <c r="Y145" s="498"/>
      <c r="Z145" s="498"/>
      <c r="AA145" s="498"/>
      <c r="AB145" s="498"/>
      <c r="AC145" s="498"/>
      <c r="AD145" s="498"/>
      <c r="AE145" s="498"/>
      <c r="AF145" s="498"/>
      <c r="AG145" s="498"/>
      <c r="AH145" s="498"/>
      <c r="AI145" s="498"/>
      <c r="AJ145" s="498"/>
      <c r="AK145" s="498"/>
      <c r="AL145" s="498"/>
      <c r="AM145" s="498"/>
      <c r="AN145" s="498"/>
      <c r="AO145" s="498"/>
      <c r="AP145" s="498"/>
      <c r="AQ145" s="498"/>
      <c r="AR145" s="498"/>
      <c r="AS145" s="498"/>
      <c r="AT145" s="498"/>
      <c r="AU145" s="498"/>
      <c r="AV145" s="498"/>
      <c r="AW145" s="498"/>
      <c r="AX145" s="498"/>
      <c r="AY145" s="498"/>
      <c r="AZ145" s="498"/>
      <c r="BA145" s="498"/>
      <c r="BB145" s="498"/>
      <c r="BC145" s="498"/>
      <c r="BD145" s="498"/>
      <c r="BE145" s="498"/>
      <c r="BF145" s="498"/>
      <c r="BG145" s="498"/>
      <c r="BH145" s="498"/>
      <c r="BI145" s="498"/>
      <c r="BJ145" s="498"/>
      <c r="BK145" s="498"/>
      <c r="BL145" s="498"/>
      <c r="BM145" s="498"/>
      <c r="BN145" s="498"/>
      <c r="BO145" s="498"/>
      <c r="BP145" s="498"/>
      <c r="BQ145" s="498"/>
      <c r="BR145" s="498"/>
      <c r="BS145" s="498"/>
      <c r="BT145" s="498"/>
      <c r="BU145" s="498"/>
      <c r="BV145" s="498"/>
      <c r="BW145" s="498"/>
      <c r="BX145" s="498"/>
      <c r="BY145" s="498"/>
      <c r="BZ145" s="498"/>
      <c r="CA145" s="498"/>
      <c r="CB145" s="498"/>
      <c r="CC145" s="498"/>
      <c r="CD145" s="498"/>
      <c r="CE145" s="498"/>
      <c r="CF145" s="498"/>
      <c r="CG145" s="498"/>
      <c r="CH145" s="498"/>
      <c r="CI145" s="498"/>
      <c r="CJ145" s="498"/>
      <c r="CK145" s="498"/>
      <c r="CL145" s="498"/>
      <c r="CM145" s="498"/>
      <c r="CN145" s="498"/>
      <c r="CO145" s="498"/>
      <c r="CP145" s="498"/>
      <c r="CQ145" s="498"/>
      <c r="CR145" s="498"/>
      <c r="CS145" s="498"/>
      <c r="CT145" s="498"/>
      <c r="CU145" s="498"/>
      <c r="CV145" s="498"/>
      <c r="CW145" s="498"/>
      <c r="CX145" s="498"/>
      <c r="CY145" s="498"/>
      <c r="CZ145" s="498"/>
      <c r="DA145" s="498"/>
      <c r="DB145" s="498"/>
      <c r="DC145" s="498"/>
      <c r="DD145" s="498"/>
      <c r="DE145" s="498"/>
      <c r="DF145" s="498"/>
      <c r="DG145" s="498"/>
      <c r="DH145" s="498"/>
      <c r="DI145" s="498"/>
      <c r="DJ145" s="498"/>
      <c r="DK145" s="498"/>
      <c r="DL145" s="498"/>
      <c r="DM145" s="498"/>
      <c r="DN145" s="498"/>
      <c r="DO145" s="498"/>
      <c r="DP145" s="498"/>
      <c r="DQ145" s="498"/>
      <c r="DR145" s="498"/>
      <c r="DS145" s="498"/>
      <c r="DT145" s="498"/>
      <c r="DU145" s="498"/>
      <c r="DV145" s="498"/>
      <c r="DW145" s="498"/>
      <c r="DX145" s="498"/>
      <c r="DY145" s="498"/>
      <c r="DZ145" s="498"/>
      <c r="EA145" s="498"/>
      <c r="EB145" s="498"/>
      <c r="EC145" s="498"/>
      <c r="ED145" s="498"/>
      <c r="EE145" s="498"/>
      <c r="EF145" s="498"/>
      <c r="EG145" s="498"/>
      <c r="EH145" s="498"/>
      <c r="EI145" s="498"/>
      <c r="EJ145" s="498"/>
      <c r="EK145" s="498"/>
      <c r="EL145" s="498"/>
      <c r="EM145" s="498"/>
      <c r="EN145" s="498"/>
      <c r="EO145" s="498"/>
      <c r="EP145" s="498"/>
      <c r="EQ145" s="498"/>
      <c r="ER145" s="498"/>
      <c r="ES145" s="498"/>
      <c r="ET145" s="498"/>
      <c r="EU145" s="498"/>
      <c r="EV145" s="498"/>
      <c r="EW145" s="498"/>
      <c r="EX145" s="498"/>
      <c r="EY145" s="498"/>
      <c r="EZ145" s="498"/>
      <c r="FA145" s="498"/>
      <c r="FB145" s="498"/>
      <c r="FC145" s="498"/>
      <c r="FD145" s="498"/>
      <c r="FE145" s="498"/>
      <c r="FF145" s="498"/>
      <c r="FG145" s="498"/>
      <c r="FH145" s="498"/>
      <c r="FI145" s="498"/>
      <c r="FJ145" s="498"/>
      <c r="FK145" s="498"/>
      <c r="FL145" s="498"/>
      <c r="FM145" s="498"/>
      <c r="FN145" s="498"/>
      <c r="FO145" s="498"/>
      <c r="FP145" s="498"/>
      <c r="FQ145" s="498"/>
      <c r="FR145" s="498"/>
      <c r="FS145" s="498"/>
      <c r="FT145" s="498"/>
      <c r="FU145" s="498"/>
      <c r="FV145" s="498"/>
      <c r="FW145" s="498"/>
      <c r="FX145" s="498"/>
      <c r="FY145" s="498"/>
      <c r="FZ145" s="498"/>
      <c r="GA145" s="498"/>
      <c r="GB145" s="498"/>
      <c r="GC145" s="498"/>
      <c r="GD145" s="498"/>
      <c r="GE145" s="498"/>
      <c r="GF145" s="498"/>
      <c r="GG145" s="498"/>
    </row>
    <row r="146" spans="1:189" s="466" customFormat="1">
      <c r="A146" s="689" t="e">
        <f>+#REF!</f>
        <v>#REF!</v>
      </c>
      <c r="B146" s="752" t="e">
        <f>+#REF!</f>
        <v>#REF!</v>
      </c>
      <c r="C146" s="1545"/>
      <c r="D146" s="664"/>
      <c r="E146" s="641"/>
      <c r="F146" s="641"/>
      <c r="H146" s="496"/>
      <c r="I146" s="497"/>
      <c r="J146" s="496"/>
      <c r="K146" s="498"/>
      <c r="L146" s="498"/>
      <c r="M146" s="498"/>
      <c r="N146" s="498"/>
      <c r="O146" s="498"/>
      <c r="P146" s="498"/>
      <c r="Q146" s="498"/>
      <c r="R146" s="498"/>
      <c r="S146" s="498"/>
      <c r="T146" s="498"/>
      <c r="U146" s="498"/>
      <c r="V146" s="498"/>
      <c r="W146" s="498"/>
      <c r="X146" s="498"/>
      <c r="Y146" s="498"/>
      <c r="Z146" s="498"/>
      <c r="AA146" s="498"/>
      <c r="AB146" s="498"/>
      <c r="AC146" s="498"/>
      <c r="AD146" s="498"/>
      <c r="AE146" s="498"/>
      <c r="AF146" s="498"/>
      <c r="AG146" s="498"/>
      <c r="AH146" s="498"/>
      <c r="AI146" s="498"/>
      <c r="AJ146" s="498"/>
      <c r="AK146" s="498"/>
      <c r="AL146" s="498"/>
      <c r="AM146" s="498"/>
      <c r="AN146" s="498"/>
      <c r="AO146" s="498"/>
      <c r="AP146" s="498"/>
      <c r="AQ146" s="498"/>
      <c r="AR146" s="498"/>
      <c r="AS146" s="498"/>
      <c r="AT146" s="498"/>
      <c r="AU146" s="498"/>
      <c r="AV146" s="498"/>
      <c r="AW146" s="498"/>
      <c r="AX146" s="498"/>
      <c r="AY146" s="498"/>
      <c r="AZ146" s="498"/>
      <c r="BA146" s="498"/>
      <c r="BB146" s="498"/>
      <c r="BC146" s="498"/>
      <c r="BD146" s="498"/>
      <c r="BE146" s="498"/>
      <c r="BF146" s="498"/>
      <c r="BG146" s="498"/>
      <c r="BH146" s="498"/>
      <c r="BI146" s="498"/>
      <c r="BJ146" s="498"/>
      <c r="BK146" s="498"/>
      <c r="BL146" s="498"/>
      <c r="BM146" s="498"/>
      <c r="BN146" s="498"/>
      <c r="BO146" s="498"/>
      <c r="BP146" s="498"/>
      <c r="BQ146" s="498"/>
      <c r="BR146" s="498"/>
      <c r="BS146" s="498"/>
      <c r="BT146" s="498"/>
      <c r="BU146" s="498"/>
      <c r="BV146" s="498"/>
      <c r="BW146" s="498"/>
      <c r="BX146" s="498"/>
      <c r="BY146" s="498"/>
      <c r="BZ146" s="498"/>
      <c r="CA146" s="498"/>
      <c r="CB146" s="498"/>
      <c r="CC146" s="498"/>
      <c r="CD146" s="498"/>
      <c r="CE146" s="498"/>
      <c r="CF146" s="498"/>
      <c r="CG146" s="498"/>
      <c r="CH146" s="498"/>
      <c r="CI146" s="498"/>
      <c r="CJ146" s="498"/>
      <c r="CK146" s="498"/>
      <c r="CL146" s="498"/>
      <c r="CM146" s="498"/>
      <c r="CN146" s="498"/>
      <c r="CO146" s="498"/>
      <c r="CP146" s="498"/>
      <c r="CQ146" s="498"/>
      <c r="CR146" s="498"/>
      <c r="CS146" s="498"/>
      <c r="CT146" s="498"/>
      <c r="CU146" s="498"/>
      <c r="CV146" s="498"/>
      <c r="CW146" s="498"/>
      <c r="CX146" s="498"/>
      <c r="CY146" s="498"/>
      <c r="CZ146" s="498"/>
      <c r="DA146" s="498"/>
      <c r="DB146" s="498"/>
      <c r="DC146" s="498"/>
      <c r="DD146" s="498"/>
      <c r="DE146" s="498"/>
      <c r="DF146" s="498"/>
      <c r="DG146" s="498"/>
      <c r="DH146" s="498"/>
      <c r="DI146" s="498"/>
      <c r="DJ146" s="498"/>
      <c r="DK146" s="498"/>
      <c r="DL146" s="498"/>
      <c r="DM146" s="498"/>
      <c r="DN146" s="498"/>
      <c r="DO146" s="498"/>
      <c r="DP146" s="498"/>
      <c r="DQ146" s="498"/>
      <c r="DR146" s="498"/>
      <c r="DS146" s="498"/>
      <c r="DT146" s="498"/>
      <c r="DU146" s="498"/>
      <c r="DV146" s="498"/>
      <c r="DW146" s="498"/>
      <c r="DX146" s="498"/>
      <c r="DY146" s="498"/>
      <c r="DZ146" s="498"/>
      <c r="EA146" s="498"/>
      <c r="EB146" s="498"/>
      <c r="EC146" s="498"/>
      <c r="ED146" s="498"/>
      <c r="EE146" s="498"/>
      <c r="EF146" s="498"/>
      <c r="EG146" s="498"/>
      <c r="EH146" s="498"/>
      <c r="EI146" s="498"/>
      <c r="EJ146" s="498"/>
      <c r="EK146" s="498"/>
      <c r="EL146" s="498"/>
      <c r="EM146" s="498"/>
      <c r="EN146" s="498"/>
      <c r="EO146" s="498"/>
      <c r="EP146" s="498"/>
      <c r="EQ146" s="498"/>
      <c r="ER146" s="498"/>
      <c r="ES146" s="498"/>
      <c r="ET146" s="498"/>
      <c r="EU146" s="498"/>
      <c r="EV146" s="498"/>
      <c r="EW146" s="498"/>
      <c r="EX146" s="498"/>
      <c r="EY146" s="498"/>
      <c r="EZ146" s="498"/>
      <c r="FA146" s="498"/>
      <c r="FB146" s="498"/>
      <c r="FC146" s="498"/>
      <c r="FD146" s="498"/>
      <c r="FE146" s="498"/>
      <c r="FF146" s="498"/>
      <c r="FG146" s="498"/>
      <c r="FH146" s="498"/>
      <c r="FI146" s="498"/>
      <c r="FJ146" s="498"/>
      <c r="FK146" s="498"/>
      <c r="FL146" s="498"/>
      <c r="FM146" s="498"/>
      <c r="FN146" s="498"/>
      <c r="FO146" s="498"/>
      <c r="FP146" s="498"/>
      <c r="FQ146" s="498"/>
      <c r="FR146" s="498"/>
      <c r="FS146" s="498"/>
      <c r="FT146" s="498"/>
      <c r="FU146" s="498"/>
      <c r="FV146" s="498"/>
      <c r="FW146" s="498"/>
      <c r="FX146" s="498"/>
      <c r="FY146" s="498"/>
      <c r="FZ146" s="498"/>
      <c r="GA146" s="498"/>
      <c r="GB146" s="498"/>
      <c r="GC146" s="498"/>
      <c r="GD146" s="498"/>
      <c r="GE146" s="498"/>
      <c r="GF146" s="498"/>
      <c r="GG146" s="498"/>
    </row>
    <row r="147" spans="1:189" s="466" customFormat="1">
      <c r="A147" s="639" t="e">
        <f>+#REF!</f>
        <v>#REF!</v>
      </c>
      <c r="B147" s="715" t="e">
        <f>+#REF!</f>
        <v>#REF!</v>
      </c>
      <c r="C147" s="1546" t="e">
        <f>#REF!</f>
        <v>#REF!</v>
      </c>
      <c r="D147" s="648">
        <f>J147</f>
        <v>0</v>
      </c>
      <c r="E147" s="527" t="e">
        <f>#REF!</f>
        <v>#REF!</v>
      </c>
      <c r="F147" s="527" t="e">
        <f>+D147*E147</f>
        <v>#REF!</v>
      </c>
      <c r="H147" s="496">
        <f>H138*0</f>
        <v>0</v>
      </c>
      <c r="I147" s="497">
        <v>1.1000000000000001</v>
      </c>
      <c r="J147" s="496">
        <f>H147*I147</f>
        <v>0</v>
      </c>
      <c r="K147" s="498"/>
      <c r="L147" s="498"/>
      <c r="M147" s="498"/>
      <c r="N147" s="498"/>
      <c r="O147" s="498"/>
      <c r="P147" s="498"/>
      <c r="Q147" s="498"/>
      <c r="R147" s="498"/>
      <c r="S147" s="498"/>
      <c r="T147" s="498"/>
      <c r="U147" s="498"/>
      <c r="V147" s="498"/>
      <c r="W147" s="498"/>
      <c r="X147" s="498"/>
      <c r="Y147" s="498"/>
      <c r="Z147" s="498"/>
      <c r="AA147" s="498"/>
      <c r="AB147" s="498"/>
      <c r="AC147" s="498"/>
      <c r="AD147" s="498"/>
      <c r="AE147" s="498"/>
      <c r="AF147" s="498"/>
      <c r="AG147" s="498"/>
      <c r="AH147" s="498"/>
      <c r="AI147" s="498"/>
      <c r="AJ147" s="498"/>
      <c r="AK147" s="498"/>
      <c r="AL147" s="498"/>
      <c r="AM147" s="498"/>
      <c r="AN147" s="498"/>
      <c r="AO147" s="498"/>
      <c r="AP147" s="498"/>
      <c r="AQ147" s="498"/>
      <c r="AR147" s="498"/>
      <c r="AS147" s="498"/>
      <c r="AT147" s="498"/>
      <c r="AU147" s="498"/>
      <c r="AV147" s="498"/>
      <c r="AW147" s="498"/>
      <c r="AX147" s="498"/>
      <c r="AY147" s="498"/>
      <c r="AZ147" s="498"/>
      <c r="BA147" s="498"/>
      <c r="BB147" s="498"/>
      <c r="BC147" s="498"/>
      <c r="BD147" s="498"/>
      <c r="BE147" s="498"/>
      <c r="BF147" s="498"/>
      <c r="BG147" s="498"/>
      <c r="BH147" s="498"/>
      <c r="BI147" s="498"/>
      <c r="BJ147" s="498"/>
      <c r="BK147" s="498"/>
      <c r="BL147" s="498"/>
      <c r="BM147" s="498"/>
      <c r="BN147" s="498"/>
      <c r="BO147" s="498"/>
      <c r="BP147" s="498"/>
      <c r="BQ147" s="498"/>
      <c r="BR147" s="498"/>
      <c r="BS147" s="498"/>
      <c r="BT147" s="498"/>
      <c r="BU147" s="498"/>
      <c r="BV147" s="498"/>
      <c r="BW147" s="498"/>
      <c r="BX147" s="498"/>
      <c r="BY147" s="498"/>
      <c r="BZ147" s="498"/>
      <c r="CA147" s="498"/>
      <c r="CB147" s="498"/>
      <c r="CC147" s="498"/>
      <c r="CD147" s="498"/>
      <c r="CE147" s="498"/>
      <c r="CF147" s="498"/>
      <c r="CG147" s="498"/>
      <c r="CH147" s="498"/>
      <c r="CI147" s="498"/>
      <c r="CJ147" s="498"/>
      <c r="CK147" s="498"/>
      <c r="CL147" s="498"/>
      <c r="CM147" s="498"/>
      <c r="CN147" s="498"/>
      <c r="CO147" s="498"/>
      <c r="CP147" s="498"/>
      <c r="CQ147" s="498"/>
      <c r="CR147" s="498"/>
      <c r="CS147" s="498"/>
      <c r="CT147" s="498"/>
      <c r="CU147" s="498"/>
      <c r="CV147" s="498"/>
      <c r="CW147" s="498"/>
      <c r="CX147" s="498"/>
      <c r="CY147" s="498"/>
      <c r="CZ147" s="498"/>
      <c r="DA147" s="498"/>
      <c r="DB147" s="498"/>
      <c r="DC147" s="498"/>
      <c r="DD147" s="498"/>
      <c r="DE147" s="498"/>
      <c r="DF147" s="498"/>
      <c r="DG147" s="498"/>
      <c r="DH147" s="498"/>
      <c r="DI147" s="498"/>
      <c r="DJ147" s="498"/>
      <c r="DK147" s="498"/>
      <c r="DL147" s="498"/>
      <c r="DM147" s="498"/>
      <c r="DN147" s="498"/>
      <c r="DO147" s="498"/>
      <c r="DP147" s="498"/>
      <c r="DQ147" s="498"/>
      <c r="DR147" s="498"/>
      <c r="DS147" s="498"/>
      <c r="DT147" s="498"/>
      <c r="DU147" s="498"/>
      <c r="DV147" s="498"/>
      <c r="DW147" s="498"/>
      <c r="DX147" s="498"/>
      <c r="DY147" s="498"/>
      <c r="DZ147" s="498"/>
      <c r="EA147" s="498"/>
      <c r="EB147" s="498"/>
      <c r="EC147" s="498"/>
      <c r="ED147" s="498"/>
      <c r="EE147" s="498"/>
      <c r="EF147" s="498"/>
      <c r="EG147" s="498"/>
      <c r="EH147" s="498"/>
      <c r="EI147" s="498"/>
      <c r="EJ147" s="498"/>
      <c r="EK147" s="498"/>
      <c r="EL147" s="498"/>
      <c r="EM147" s="498"/>
      <c r="EN147" s="498"/>
      <c r="EO147" s="498"/>
      <c r="EP147" s="498"/>
      <c r="EQ147" s="498"/>
      <c r="ER147" s="498"/>
      <c r="ES147" s="498"/>
      <c r="ET147" s="498"/>
      <c r="EU147" s="498"/>
      <c r="EV147" s="498"/>
      <c r="EW147" s="498"/>
      <c r="EX147" s="498"/>
      <c r="EY147" s="498"/>
      <c r="EZ147" s="498"/>
      <c r="FA147" s="498"/>
      <c r="FB147" s="498"/>
      <c r="FC147" s="498"/>
      <c r="FD147" s="498"/>
      <c r="FE147" s="498"/>
      <c r="FF147" s="498"/>
      <c r="FG147" s="498"/>
      <c r="FH147" s="498"/>
      <c r="FI147" s="498"/>
      <c r="FJ147" s="498"/>
      <c r="FK147" s="498"/>
      <c r="FL147" s="498"/>
      <c r="FM147" s="498"/>
      <c r="FN147" s="498"/>
      <c r="FO147" s="498"/>
      <c r="FP147" s="498"/>
      <c r="FQ147" s="498"/>
      <c r="FR147" s="498"/>
      <c r="FS147" s="498"/>
      <c r="FT147" s="498"/>
      <c r="FU147" s="498"/>
      <c r="FV147" s="498"/>
      <c r="FW147" s="498"/>
      <c r="FX147" s="498"/>
      <c r="FY147" s="498"/>
      <c r="FZ147" s="498"/>
      <c r="GA147" s="498"/>
      <c r="GB147" s="498"/>
      <c r="GC147" s="498"/>
      <c r="GD147" s="498"/>
      <c r="GE147" s="498"/>
      <c r="GF147" s="498"/>
      <c r="GG147" s="498"/>
    </row>
    <row r="148" spans="1:189" s="495" customFormat="1" ht="18.75">
      <c r="A148" s="760"/>
      <c r="B148" s="239"/>
      <c r="C148" s="686"/>
      <c r="D148" s="635"/>
      <c r="E148" s="636" t="s">
        <v>113</v>
      </c>
      <c r="F148" s="1122" t="e">
        <f>SUM(F116:F147)</f>
        <v>#REF!</v>
      </c>
      <c r="G148" s="456"/>
      <c r="H148" s="493"/>
      <c r="I148" s="494"/>
      <c r="J148" s="493"/>
    </row>
    <row r="149" spans="1:189" s="48" customFormat="1" ht="15.95" customHeight="1">
      <c r="A149" s="406"/>
      <c r="B149" s="12"/>
      <c r="C149" s="13"/>
      <c r="D149" s="76"/>
      <c r="E149" s="5"/>
      <c r="F149" s="66"/>
      <c r="G149" s="5"/>
      <c r="H149" s="1421"/>
      <c r="I149" s="1422"/>
      <c r="J149" s="1421"/>
      <c r="L149" s="48">
        <f>17500/22</f>
        <v>795.4545454545455</v>
      </c>
    </row>
    <row r="150" spans="1:189" s="779" customFormat="1" ht="24.95" customHeight="1">
      <c r="A150" s="1905" t="e">
        <f>#REF!</f>
        <v>#REF!</v>
      </c>
      <c r="B150" s="1906"/>
      <c r="C150" s="1906"/>
      <c r="D150" s="1906"/>
      <c r="E150" s="1906"/>
      <c r="F150" s="1907"/>
      <c r="G150" s="776"/>
      <c r="H150" s="777"/>
      <c r="I150" s="778"/>
      <c r="J150" s="777"/>
    </row>
    <row r="151" spans="1:189" s="495" customFormat="1">
      <c r="A151" s="689" t="e">
        <f>#REF!</f>
        <v>#REF!</v>
      </c>
      <c r="B151" s="752" t="e">
        <f>#REF!</f>
        <v>#REF!</v>
      </c>
      <c r="C151" s="1559"/>
      <c r="D151" s="548"/>
      <c r="E151" s="641"/>
      <c r="F151" s="641"/>
      <c r="G151" s="456"/>
      <c r="H151" s="493"/>
      <c r="I151" s="494"/>
      <c r="J151" s="493"/>
    </row>
    <row r="152" spans="1:189" s="495" customFormat="1">
      <c r="A152" s="750" t="e">
        <f>#REF!</f>
        <v>#REF!</v>
      </c>
      <c r="B152" s="729" t="e">
        <f>#REF!</f>
        <v>#REF!</v>
      </c>
      <c r="C152" s="1503" t="e">
        <f>#REF!</f>
        <v>#REF!</v>
      </c>
      <c r="D152" s="1503">
        <f>+'Pa 3'!D185</f>
        <v>319</v>
      </c>
      <c r="E152" s="633" t="e">
        <f>#REF!</f>
        <v>#REF!</v>
      </c>
      <c r="F152" s="633" t="e">
        <f>+D152*E152</f>
        <v>#REF!</v>
      </c>
      <c r="G152" s="456"/>
      <c r="H152" s="493">
        <f>2*F4/25</f>
        <v>76</v>
      </c>
      <c r="I152" s="494">
        <v>1.05</v>
      </c>
      <c r="J152" s="493">
        <f>ROUND(H152*I152,0)</f>
        <v>80</v>
      </c>
    </row>
    <row r="153" spans="1:189" s="495" customFormat="1">
      <c r="A153" s="750" t="e">
        <f>#REF!</f>
        <v>#REF!</v>
      </c>
      <c r="B153" s="729" t="e">
        <f>#REF!</f>
        <v>#REF!</v>
      </c>
      <c r="C153" s="663" t="e">
        <f>#REF!</f>
        <v>#REF!</v>
      </c>
      <c r="D153" s="633">
        <f>+H154</f>
        <v>0</v>
      </c>
      <c r="E153" s="633" t="e">
        <f>#REF!</f>
        <v>#REF!</v>
      </c>
      <c r="F153" s="633" t="e">
        <f>+D153*E153</f>
        <v>#REF!</v>
      </c>
      <c r="G153" s="456"/>
      <c r="H153" s="493"/>
      <c r="I153" s="494"/>
      <c r="J153" s="493"/>
    </row>
    <row r="154" spans="1:189" s="495" customFormat="1">
      <c r="A154" s="751" t="e">
        <f>#REF!</f>
        <v>#REF!</v>
      </c>
      <c r="B154" s="708" t="e">
        <f>#REF!</f>
        <v>#REF!</v>
      </c>
      <c r="C154" s="643" t="e">
        <f>#REF!</f>
        <v>#REF!</v>
      </c>
      <c r="D154" s="527"/>
      <c r="E154" s="527" t="e">
        <f>#REF!</f>
        <v>#REF!</v>
      </c>
      <c r="F154" s="527" t="e">
        <f>+D154*E154</f>
        <v>#REF!</v>
      </c>
      <c r="G154" s="456"/>
      <c r="H154" s="493">
        <v>0</v>
      </c>
      <c r="I154" s="494"/>
      <c r="J154" s="493"/>
    </row>
    <row r="155" spans="1:189" s="495" customFormat="1">
      <c r="A155" s="689" t="e">
        <f>#REF!</f>
        <v>#REF!</v>
      </c>
      <c r="B155" s="752" t="e">
        <f>#REF!</f>
        <v>#REF!</v>
      </c>
      <c r="C155" s="665"/>
      <c r="D155" s="665"/>
      <c r="E155" s="665"/>
      <c r="F155" s="641"/>
      <c r="G155" s="456"/>
      <c r="H155" s="493"/>
      <c r="I155" s="494"/>
      <c r="J155" s="493"/>
    </row>
    <row r="156" spans="1:189" s="495" customFormat="1">
      <c r="A156" s="750" t="e">
        <f>#REF!</f>
        <v>#REF!</v>
      </c>
      <c r="B156" s="729" t="e">
        <f>#REF!</f>
        <v>#REF!</v>
      </c>
      <c r="C156" s="668" t="e">
        <f>#REF!</f>
        <v>#REF!</v>
      </c>
      <c r="D156" s="526">
        <v>20</v>
      </c>
      <c r="E156" s="526" t="e">
        <f>#REF!</f>
        <v>#REF!</v>
      </c>
      <c r="F156" s="633" t="e">
        <f>+D156*E156</f>
        <v>#REF!</v>
      </c>
      <c r="G156" s="456"/>
      <c r="H156" s="493"/>
      <c r="I156" s="494"/>
      <c r="J156" s="493"/>
    </row>
    <row r="157" spans="1:189" s="495" customFormat="1">
      <c r="A157" s="751" t="e">
        <f>#REF!</f>
        <v>#REF!</v>
      </c>
      <c r="B157" s="708" t="e">
        <f>#REF!</f>
        <v>#REF!</v>
      </c>
      <c r="C157" s="1572" t="e">
        <f>#REF!</f>
        <v>#REF!</v>
      </c>
      <c r="D157" s="744">
        <v>4</v>
      </c>
      <c r="E157" s="744" t="e">
        <f>#REF!</f>
        <v>#REF!</v>
      </c>
      <c r="F157" s="527" t="e">
        <f>+D157*E157</f>
        <v>#REF!</v>
      </c>
      <c r="G157" s="456"/>
      <c r="H157" s="493"/>
      <c r="I157" s="494"/>
      <c r="J157" s="493"/>
    </row>
    <row r="158" spans="1:189" s="495" customFormat="1">
      <c r="A158" s="689" t="e">
        <f>#REF!</f>
        <v>#REF!</v>
      </c>
      <c r="B158" s="752" t="e">
        <f>#REF!</f>
        <v>#REF!</v>
      </c>
      <c r="C158" s="668"/>
      <c r="D158" s="664"/>
      <c r="E158" s="664"/>
      <c r="F158" s="662"/>
      <c r="G158" s="456"/>
      <c r="H158" s="493"/>
      <c r="I158" s="494"/>
      <c r="J158" s="493"/>
    </row>
    <row r="159" spans="1:189" s="495" customFormat="1">
      <c r="A159" s="750"/>
      <c r="B159" s="729"/>
      <c r="C159" s="1572" t="e">
        <f>#REF!</f>
        <v>#REF!</v>
      </c>
      <c r="D159" s="648">
        <f>J159</f>
        <v>1785</v>
      </c>
      <c r="E159" s="648" t="e">
        <f>#REF!</f>
        <v>#REF!</v>
      </c>
      <c r="F159" s="648" t="e">
        <f>+D159*E159</f>
        <v>#REF!</v>
      </c>
      <c r="H159" s="829">
        <v>1700</v>
      </c>
      <c r="I159" s="1286">
        <v>1.05</v>
      </c>
      <c r="J159" s="829">
        <f>ROUND(H159*I159,0)</f>
        <v>1785</v>
      </c>
    </row>
    <row r="160" spans="1:189" s="495" customFormat="1">
      <c r="A160" s="689" t="e">
        <f>#REF!</f>
        <v>#REF!</v>
      </c>
      <c r="B160" s="752" t="e">
        <f>#REF!</f>
        <v>#REF!</v>
      </c>
      <c r="C160" s="668"/>
      <c r="D160" s="664"/>
      <c r="E160" s="664"/>
      <c r="F160" s="662"/>
      <c r="H160" s="829"/>
      <c r="I160" s="1286">
        <v>1.05</v>
      </c>
      <c r="J160" s="829">
        <f t="shared" ref="J160:J167" si="5">ROUND(H160*I160,0)</f>
        <v>0</v>
      </c>
    </row>
    <row r="161" spans="1:10" s="495" customFormat="1">
      <c r="A161" s="750"/>
      <c r="B161" s="729"/>
      <c r="C161" s="1572" t="e">
        <f>#REF!</f>
        <v>#REF!</v>
      </c>
      <c r="D161" s="648"/>
      <c r="E161" s="648" t="e">
        <f>#REF!</f>
        <v>#REF!</v>
      </c>
      <c r="F161" s="648"/>
      <c r="H161" s="829"/>
      <c r="I161" s="1286">
        <v>1.05</v>
      </c>
      <c r="J161" s="829">
        <f t="shared" si="5"/>
        <v>0</v>
      </c>
    </row>
    <row r="162" spans="1:10" s="495" customFormat="1">
      <c r="A162" s="689" t="e">
        <f>#REF!</f>
        <v>#REF!</v>
      </c>
      <c r="B162" s="752" t="e">
        <f>#REF!</f>
        <v>#REF!</v>
      </c>
      <c r="C162" s="668"/>
      <c r="D162" s="664"/>
      <c r="E162" s="664"/>
      <c r="F162" s="662"/>
      <c r="H162" s="829"/>
      <c r="I162" s="1286">
        <v>1.05</v>
      </c>
      <c r="J162" s="829">
        <f t="shared" si="5"/>
        <v>0</v>
      </c>
    </row>
    <row r="163" spans="1:10" s="495" customFormat="1">
      <c r="A163" s="750"/>
      <c r="B163" s="729"/>
      <c r="C163" s="1572" t="e">
        <f>#REF!</f>
        <v>#REF!</v>
      </c>
      <c r="D163" s="648">
        <f>1200*0</f>
        <v>0</v>
      </c>
      <c r="E163" s="648" t="e">
        <f>#REF!</f>
        <v>#REF!</v>
      </c>
      <c r="F163" s="648" t="e">
        <f>+D163*E163</f>
        <v>#REF!</v>
      </c>
      <c r="H163" s="829"/>
      <c r="I163" s="1286">
        <v>1.05</v>
      </c>
      <c r="J163" s="829">
        <f t="shared" si="5"/>
        <v>0</v>
      </c>
    </row>
    <row r="164" spans="1:10" s="495" customFormat="1" ht="30" customHeight="1">
      <c r="A164" s="689" t="e">
        <f>#REF!</f>
        <v>#REF!</v>
      </c>
      <c r="B164" s="782" t="e">
        <f>#REF!</f>
        <v>#REF!</v>
      </c>
      <c r="C164" s="668"/>
      <c r="D164" s="664"/>
      <c r="E164" s="664"/>
      <c r="F164" s="662"/>
      <c r="H164" s="829"/>
      <c r="I164" s="1286">
        <v>1.05</v>
      </c>
      <c r="J164" s="829">
        <f t="shared" si="5"/>
        <v>0</v>
      </c>
    </row>
    <row r="165" spans="1:10" s="495" customFormat="1">
      <c r="A165" s="750"/>
      <c r="B165" s="729"/>
      <c r="C165" s="1572" t="e">
        <f>#REF!</f>
        <v>#REF!</v>
      </c>
      <c r="D165" s="648">
        <v>0</v>
      </c>
      <c r="E165" s="648" t="e">
        <f>#REF!</f>
        <v>#REF!</v>
      </c>
      <c r="F165" s="648" t="e">
        <f>+D165*E165</f>
        <v>#REF!</v>
      </c>
      <c r="H165" s="829"/>
      <c r="I165" s="1286">
        <v>1.05</v>
      </c>
      <c r="J165" s="829">
        <f t="shared" si="5"/>
        <v>0</v>
      </c>
    </row>
    <row r="166" spans="1:10" s="495" customFormat="1" ht="30" customHeight="1">
      <c r="A166" s="689" t="e">
        <f>+#REF!</f>
        <v>#REF!</v>
      </c>
      <c r="B166" s="782" t="e">
        <f>#REF!</f>
        <v>#REF!</v>
      </c>
      <c r="C166" s="1264"/>
      <c r="D166" s="664"/>
      <c r="E166" s="664"/>
      <c r="F166" s="662"/>
      <c r="G166" s="456"/>
      <c r="H166" s="493"/>
      <c r="I166" s="494">
        <v>1.05</v>
      </c>
      <c r="J166" s="493">
        <f t="shared" si="5"/>
        <v>0</v>
      </c>
    </row>
    <row r="167" spans="1:10" s="495" customFormat="1">
      <c r="A167" s="751" t="e">
        <f>+#REF!</f>
        <v>#REF!</v>
      </c>
      <c r="B167" s="708" t="e">
        <f>#REF!</f>
        <v>#REF!</v>
      </c>
      <c r="C167" s="1502" t="e">
        <f>#REF!</f>
        <v>#REF!</v>
      </c>
      <c r="D167" s="648">
        <f>+J167</f>
        <v>70</v>
      </c>
      <c r="E167" s="648" t="e">
        <f>#REF!</f>
        <v>#REF!</v>
      </c>
      <c r="F167" s="648" t="e">
        <f>+D167*E167</f>
        <v>#REF!</v>
      </c>
      <c r="H167" s="776">
        <f>SUM(F8)/25</f>
        <v>63.8</v>
      </c>
      <c r="I167" s="494">
        <v>1.1000000000000001</v>
      </c>
      <c r="J167" s="493">
        <f t="shared" si="5"/>
        <v>70</v>
      </c>
    </row>
    <row r="168" spans="1:10" s="495" customFormat="1" ht="18.75">
      <c r="A168" s="1278"/>
      <c r="B168" s="500"/>
      <c r="C168" s="686"/>
      <c r="D168" s="635"/>
      <c r="E168" s="636" t="s">
        <v>112</v>
      </c>
      <c r="F168" s="1122" t="e">
        <f>SUM(F151:F167)</f>
        <v>#REF!</v>
      </c>
      <c r="G168" s="456"/>
      <c r="H168" s="493"/>
      <c r="I168" s="494"/>
      <c r="J168" s="493"/>
    </row>
    <row r="169" spans="1:10" s="129" customFormat="1">
      <c r="A169" s="1277"/>
      <c r="B169" s="5"/>
      <c r="C169" s="5"/>
      <c r="D169" s="490"/>
      <c r="E169" s="485"/>
      <c r="F169" s="487"/>
      <c r="G169" s="142"/>
      <c r="H169" s="255"/>
      <c r="I169" s="262"/>
      <c r="J169" s="255"/>
    </row>
    <row r="170" spans="1:10" s="495" customFormat="1" ht="24.95" customHeight="1">
      <c r="A170" s="1278"/>
      <c r="B170" s="500"/>
      <c r="C170" s="686"/>
      <c r="D170" s="635"/>
      <c r="E170" s="636" t="s">
        <v>330</v>
      </c>
      <c r="F170" s="1442" t="e">
        <f>+F66+F77+F113+F148+F168</f>
        <v>#REF!</v>
      </c>
      <c r="G170" s="456"/>
      <c r="H170" s="493"/>
      <c r="I170" s="494"/>
      <c r="J170" s="493"/>
    </row>
    <row r="171" spans="1:10">
      <c r="A171" s="1277"/>
      <c r="B171" s="5"/>
      <c r="C171" s="5"/>
      <c r="D171" s="5"/>
      <c r="E171" s="5"/>
      <c r="F171" s="488"/>
    </row>
    <row r="172" spans="1:10" s="495" customFormat="1" ht="24.95" customHeight="1">
      <c r="A172" s="1279"/>
      <c r="B172" s="666"/>
      <c r="C172" s="686"/>
      <c r="D172" s="635"/>
      <c r="E172" s="636" t="s">
        <v>355</v>
      </c>
      <c r="F172" s="1442" t="e">
        <f>+F170+F37</f>
        <v>#REF!</v>
      </c>
      <c r="G172" s="456"/>
      <c r="H172" s="493"/>
      <c r="I172" s="494"/>
      <c r="J172" s="493"/>
    </row>
    <row r="178" spans="1:48" s="129" customFormat="1">
      <c r="A178" s="421"/>
      <c r="B178" s="142"/>
      <c r="C178" s="142"/>
      <c r="D178" s="142"/>
      <c r="E178" s="142"/>
      <c r="F178" s="142"/>
      <c r="G178" s="142"/>
      <c r="H178" s="255"/>
      <c r="I178" s="262"/>
      <c r="J178" s="255">
        <f>18500*17</f>
        <v>314500</v>
      </c>
    </row>
    <row r="182" spans="1:48" s="129" customFormat="1">
      <c r="A182" s="421"/>
      <c r="B182" s="142"/>
      <c r="C182" s="142"/>
      <c r="D182" s="142"/>
      <c r="E182" s="142"/>
      <c r="F182" s="142"/>
      <c r="G182" s="142"/>
      <c r="H182" s="255"/>
      <c r="I182" s="262"/>
      <c r="J182" s="255"/>
      <c r="AV182" s="129">
        <v>46200</v>
      </c>
    </row>
    <row r="183" spans="1:48" s="129" customFormat="1" ht="19.5">
      <c r="A183" s="434"/>
      <c r="B183" s="142"/>
      <c r="C183" s="142"/>
      <c r="D183" s="62"/>
      <c r="E183" s="62"/>
      <c r="F183" s="99"/>
      <c r="G183" s="142"/>
      <c r="H183" s="255"/>
      <c r="I183" s="262"/>
      <c r="J183" s="255"/>
    </row>
    <row r="184" spans="1:48" s="129" customFormat="1" ht="26.25">
      <c r="A184" s="421"/>
      <c r="B184" s="1859"/>
      <c r="C184" s="1859"/>
      <c r="D184" s="1859"/>
      <c r="E184" s="1859"/>
      <c r="F184" s="1859"/>
      <c r="G184" s="142"/>
      <c r="H184" s="255"/>
      <c r="I184" s="262"/>
      <c r="J184" s="255"/>
    </row>
    <row r="197" spans="5:5">
      <c r="E197" s="142">
        <f>18500*17</f>
        <v>314500</v>
      </c>
    </row>
  </sheetData>
  <mergeCells count="10">
    <mergeCell ref="A2:F2"/>
    <mergeCell ref="B184:F184"/>
    <mergeCell ref="A1:F1"/>
    <mergeCell ref="A11:F11"/>
    <mergeCell ref="A18:F18"/>
    <mergeCell ref="A39:F39"/>
    <mergeCell ref="A68:F68"/>
    <mergeCell ref="A79:F79"/>
    <mergeCell ref="A115:F115"/>
    <mergeCell ref="A150:F150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  <rowBreaks count="2" manualBreakCount="2">
    <brk id="77" max="6" man="1"/>
    <brk id="114" max="5" man="1"/>
  </rowBreaks>
  <colBreaks count="1" manualBreakCount="1">
    <brk id="6" max="1048575" man="1"/>
  </colBreaks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O50"/>
  <sheetViews>
    <sheetView workbookViewId="0"/>
  </sheetViews>
  <sheetFormatPr baseColWidth="10" defaultColWidth="11.42578125" defaultRowHeight="12.75"/>
  <cols>
    <col min="1" max="1" width="23.42578125" style="1291" customWidth="1"/>
    <col min="2" max="2" width="10.5703125" style="1291" customWidth="1"/>
    <col min="3" max="3" width="5.85546875" style="1291" customWidth="1"/>
    <col min="4" max="4" width="7.28515625" style="1291" customWidth="1"/>
    <col min="5" max="5" width="8.42578125" style="1291" customWidth="1"/>
    <col min="6" max="6" width="11.28515625" style="1291" customWidth="1"/>
    <col min="7" max="7" width="11.42578125" style="1291"/>
    <col min="8" max="9" width="13.42578125" style="1291" customWidth="1"/>
    <col min="10" max="10" width="11.42578125" style="1291"/>
    <col min="11" max="11" width="12.5703125" style="1292" customWidth="1"/>
    <col min="12" max="12" width="12.42578125" style="1291" bestFit="1" customWidth="1"/>
    <col min="13" max="14" width="11.42578125" style="1291"/>
    <col min="15" max="15" width="12.42578125" style="1292" bestFit="1" customWidth="1"/>
    <col min="16" max="16384" width="11.42578125" style="1291"/>
  </cols>
  <sheetData>
    <row r="1" spans="1:15">
      <c r="A1" s="1290" t="s">
        <v>685</v>
      </c>
      <c r="L1" s="1291">
        <v>120</v>
      </c>
    </row>
    <row r="2" spans="1:15">
      <c r="I2" s="1293" t="s">
        <v>686</v>
      </c>
      <c r="L2" s="1291" t="s">
        <v>687</v>
      </c>
      <c r="M2" s="1291">
        <f>+L1*F8</f>
        <v>1051.2</v>
      </c>
      <c r="N2" s="1292">
        <v>1200</v>
      </c>
      <c r="O2" s="1292">
        <f>+M2*N2</f>
        <v>1261440</v>
      </c>
    </row>
    <row r="3" spans="1:15">
      <c r="A3" s="1294"/>
      <c r="F3" s="1294" t="s">
        <v>555</v>
      </c>
      <c r="G3" s="1294">
        <v>0.3</v>
      </c>
      <c r="H3" s="1294"/>
      <c r="I3" s="1291">
        <v>0.1</v>
      </c>
      <c r="L3" s="1291" t="s">
        <v>688</v>
      </c>
      <c r="M3" s="1291">
        <f>+F8</f>
        <v>8.76</v>
      </c>
      <c r="N3" s="1292">
        <v>200000</v>
      </c>
      <c r="O3" s="1292">
        <f>+M3*N3</f>
        <v>1752000</v>
      </c>
    </row>
    <row r="4" spans="1:15">
      <c r="F4" s="1294" t="s">
        <v>689</v>
      </c>
      <c r="G4" s="1295">
        <v>380000</v>
      </c>
      <c r="H4" s="1295"/>
      <c r="I4" s="1401">
        <v>110000</v>
      </c>
      <c r="L4" s="1296" t="s">
        <v>690</v>
      </c>
      <c r="M4" s="1291">
        <f>+F8/0.3*2</f>
        <v>58.4</v>
      </c>
      <c r="N4" s="1292">
        <v>9000</v>
      </c>
      <c r="O4" s="1292">
        <f>+M4*N4</f>
        <v>525600</v>
      </c>
    </row>
    <row r="5" spans="1:15">
      <c r="A5" s="1294"/>
      <c r="B5" s="1297"/>
      <c r="C5" s="1298" t="s">
        <v>691</v>
      </c>
      <c r="D5" s="1298"/>
      <c r="E5" s="1299"/>
      <c r="L5" s="1296" t="s">
        <v>692</v>
      </c>
      <c r="N5" s="1292"/>
      <c r="O5" s="1292">
        <f>+H8</f>
        <v>172480.00000000003</v>
      </c>
    </row>
    <row r="6" spans="1:15" ht="20.25" customHeight="1">
      <c r="A6" s="1300" t="s">
        <v>693</v>
      </c>
      <c r="B6" s="1301" t="s">
        <v>694</v>
      </c>
      <c r="C6" s="1301" t="s">
        <v>695</v>
      </c>
      <c r="D6" s="1301" t="s">
        <v>696</v>
      </c>
      <c r="E6" s="1301" t="s">
        <v>697</v>
      </c>
      <c r="F6" s="1301" t="s">
        <v>698</v>
      </c>
      <c r="G6" s="1301" t="s">
        <v>538</v>
      </c>
      <c r="H6" s="1301"/>
      <c r="I6" s="1301" t="s">
        <v>699</v>
      </c>
      <c r="O6" s="1292">
        <f>SUM(O2:O4)</f>
        <v>3539040</v>
      </c>
    </row>
    <row r="7" spans="1:15">
      <c r="A7" s="1302"/>
      <c r="B7" s="1302"/>
      <c r="C7" s="1302"/>
      <c r="D7" s="1302"/>
      <c r="E7" s="1302"/>
      <c r="F7" s="1302"/>
      <c r="G7" s="1302"/>
      <c r="H7" s="1302"/>
      <c r="I7" s="1302"/>
    </row>
    <row r="8" spans="1:15" ht="15">
      <c r="A8" s="1303" t="s">
        <v>623</v>
      </c>
      <c r="B8" s="1302">
        <v>1</v>
      </c>
      <c r="C8" s="1304">
        <v>5</v>
      </c>
      <c r="D8" s="1305">
        <v>1.6</v>
      </c>
      <c r="E8" s="1305">
        <v>1.6</v>
      </c>
      <c r="F8" s="1304">
        <f t="shared" ref="F8:F23" si="0">(2*(C8*D8+epais*(C8+1))+(C8+1)*E8)*epais</f>
        <v>8.76</v>
      </c>
      <c r="G8" s="1306">
        <f t="shared" ref="G8:G17" si="1">F8*PUbeton</f>
        <v>3328800</v>
      </c>
      <c r="H8" s="1304">
        <f t="shared" ref="H8:H17" si="2">+($C8*$D8+epais*($C8+1))*$I$3*D8*$I$4</f>
        <v>172480.00000000003</v>
      </c>
      <c r="I8" s="1306">
        <f t="shared" ref="I8:I17" si="3">ROUND(H8+G8,0)</f>
        <v>3501280</v>
      </c>
      <c r="J8" s="1291">
        <v>50</v>
      </c>
      <c r="K8" s="1292">
        <f>+I8*J8</f>
        <v>175064000</v>
      </c>
    </row>
    <row r="9" spans="1:15" ht="15">
      <c r="A9" s="1303"/>
      <c r="B9" s="1302">
        <v>1</v>
      </c>
      <c r="C9" s="1304">
        <v>4</v>
      </c>
      <c r="D9" s="1305">
        <v>1.6</v>
      </c>
      <c r="E9" s="1305">
        <v>1.8</v>
      </c>
      <c r="F9" s="1304">
        <f t="shared" si="0"/>
        <v>7.4399999999999995</v>
      </c>
      <c r="G9" s="1306">
        <f t="shared" si="1"/>
        <v>2827200</v>
      </c>
      <c r="H9" s="1304">
        <f t="shared" si="2"/>
        <v>139040.00000000003</v>
      </c>
      <c r="I9" s="1306">
        <f t="shared" si="3"/>
        <v>2966240</v>
      </c>
      <c r="J9" s="1291">
        <v>70</v>
      </c>
      <c r="K9" s="1292">
        <f>+I9*J9</f>
        <v>207636800</v>
      </c>
    </row>
    <row r="10" spans="1:15" ht="15">
      <c r="A10" s="1303"/>
      <c r="B10" s="1302">
        <v>1</v>
      </c>
      <c r="C10" s="1304">
        <v>4</v>
      </c>
      <c r="D10" s="1305">
        <v>1.6</v>
      </c>
      <c r="E10" s="1305">
        <v>2</v>
      </c>
      <c r="F10" s="1304">
        <f t="shared" si="0"/>
        <v>7.74</v>
      </c>
      <c r="G10" s="1306">
        <f t="shared" si="1"/>
        <v>2941200</v>
      </c>
      <c r="H10" s="1304">
        <f t="shared" si="2"/>
        <v>139040.00000000003</v>
      </c>
      <c r="I10" s="1306">
        <f t="shared" si="3"/>
        <v>3080240</v>
      </c>
    </row>
    <row r="11" spans="1:15" ht="15">
      <c r="A11" s="1303"/>
      <c r="B11" s="1302">
        <v>1</v>
      </c>
      <c r="C11" s="1304">
        <v>1</v>
      </c>
      <c r="D11" s="1305">
        <v>2</v>
      </c>
      <c r="E11" s="1305">
        <v>1.5</v>
      </c>
      <c r="F11" s="1304">
        <f t="shared" si="0"/>
        <v>2.4599999999999995</v>
      </c>
      <c r="G11" s="1306">
        <f t="shared" si="1"/>
        <v>934799.99999999977</v>
      </c>
      <c r="H11" s="1304">
        <f t="shared" si="2"/>
        <v>57200</v>
      </c>
      <c r="I11" s="1306">
        <f t="shared" si="3"/>
        <v>992000</v>
      </c>
    </row>
    <row r="12" spans="1:15" ht="15">
      <c r="A12" s="1303"/>
      <c r="B12" s="1302">
        <v>1</v>
      </c>
      <c r="C12" s="1304">
        <v>1</v>
      </c>
      <c r="D12" s="1305">
        <v>2</v>
      </c>
      <c r="E12" s="1305">
        <v>2</v>
      </c>
      <c r="F12" s="1304">
        <f t="shared" si="0"/>
        <v>2.76</v>
      </c>
      <c r="G12" s="1306">
        <f t="shared" si="1"/>
        <v>1048800</v>
      </c>
      <c r="H12" s="1304">
        <f t="shared" si="2"/>
        <v>57200</v>
      </c>
      <c r="I12" s="1306">
        <f t="shared" si="3"/>
        <v>1106000</v>
      </c>
    </row>
    <row r="13" spans="1:15" ht="15">
      <c r="A13" s="1303"/>
      <c r="B13" s="1302">
        <v>1</v>
      </c>
      <c r="C13" s="1304">
        <v>1</v>
      </c>
      <c r="D13" s="1305">
        <v>2.5</v>
      </c>
      <c r="E13" s="1305">
        <v>1.5</v>
      </c>
      <c r="F13" s="1304">
        <f t="shared" si="0"/>
        <v>2.76</v>
      </c>
      <c r="G13" s="1306">
        <f t="shared" si="1"/>
        <v>1048800</v>
      </c>
      <c r="H13" s="1304">
        <f t="shared" si="2"/>
        <v>85250.000000000015</v>
      </c>
      <c r="I13" s="1306">
        <f t="shared" si="3"/>
        <v>1134050</v>
      </c>
    </row>
    <row r="14" spans="1:15" ht="15">
      <c r="A14" s="1303"/>
      <c r="B14" s="1302">
        <v>1</v>
      </c>
      <c r="C14" s="1304">
        <v>1</v>
      </c>
      <c r="D14" s="1305">
        <v>2.5</v>
      </c>
      <c r="E14" s="1305">
        <v>2</v>
      </c>
      <c r="F14" s="1304">
        <f t="shared" si="0"/>
        <v>3.0599999999999996</v>
      </c>
      <c r="G14" s="1306">
        <f t="shared" si="1"/>
        <v>1162799.9999999998</v>
      </c>
      <c r="H14" s="1304">
        <f t="shared" si="2"/>
        <v>85250.000000000015</v>
      </c>
      <c r="I14" s="1306">
        <f t="shared" si="3"/>
        <v>1248050</v>
      </c>
    </row>
    <row r="15" spans="1:15" ht="15">
      <c r="A15" s="1303"/>
      <c r="B15" s="1302">
        <v>1</v>
      </c>
      <c r="C15" s="1304">
        <v>1</v>
      </c>
      <c r="D15" s="1305">
        <v>3</v>
      </c>
      <c r="E15" s="1305">
        <v>2</v>
      </c>
      <c r="F15" s="1304">
        <f t="shared" si="0"/>
        <v>3.36</v>
      </c>
      <c r="G15" s="1306">
        <f t="shared" si="1"/>
        <v>1276800</v>
      </c>
      <c r="H15" s="1304">
        <f t="shared" si="2"/>
        <v>118800.00000000001</v>
      </c>
      <c r="I15" s="1306">
        <f t="shared" si="3"/>
        <v>1395600</v>
      </c>
    </row>
    <row r="16" spans="1:15" ht="15">
      <c r="A16" s="1303"/>
      <c r="B16" s="1302">
        <v>1</v>
      </c>
      <c r="C16" s="1304">
        <v>2</v>
      </c>
      <c r="D16" s="1305">
        <v>3</v>
      </c>
      <c r="E16" s="1305">
        <v>2</v>
      </c>
      <c r="F16" s="1304">
        <f t="shared" si="0"/>
        <v>5.94</v>
      </c>
      <c r="G16" s="1306">
        <f t="shared" si="1"/>
        <v>2257200</v>
      </c>
      <c r="H16" s="1304">
        <f t="shared" si="2"/>
        <v>227700.00000000003</v>
      </c>
      <c r="I16" s="1306">
        <f t="shared" si="3"/>
        <v>2484900</v>
      </c>
    </row>
    <row r="17" spans="1:11" ht="15">
      <c r="A17" s="1303"/>
      <c r="B17" s="1302">
        <v>1</v>
      </c>
      <c r="C17" s="1304">
        <v>2</v>
      </c>
      <c r="D17" s="1305">
        <v>2.5</v>
      </c>
      <c r="E17" s="1305">
        <v>2.5</v>
      </c>
      <c r="F17" s="1304">
        <f t="shared" si="0"/>
        <v>5.79</v>
      </c>
      <c r="G17" s="1306">
        <f t="shared" si="1"/>
        <v>2200200</v>
      </c>
      <c r="H17" s="1304">
        <f t="shared" si="2"/>
        <v>162250</v>
      </c>
      <c r="I17" s="1306">
        <f t="shared" si="3"/>
        <v>2362450</v>
      </c>
    </row>
    <row r="18" spans="1:11">
      <c r="A18" s="1303"/>
      <c r="B18" s="1302">
        <v>1</v>
      </c>
      <c r="C18" s="1302">
        <v>1</v>
      </c>
      <c r="D18" s="1302">
        <v>2</v>
      </c>
      <c r="E18" s="1302">
        <v>1.5</v>
      </c>
      <c r="F18" s="1302">
        <f t="shared" si="0"/>
        <v>2.4599999999999995</v>
      </c>
      <c r="G18" s="1307"/>
      <c r="H18" s="1302"/>
      <c r="I18" s="1307"/>
    </row>
    <row r="19" spans="1:11">
      <c r="A19" s="1303"/>
      <c r="B19" s="1302">
        <v>1</v>
      </c>
      <c r="C19" s="1302">
        <v>1</v>
      </c>
      <c r="D19" s="1302"/>
      <c r="E19" s="1302"/>
      <c r="F19" s="1302">
        <f t="shared" si="0"/>
        <v>0.36</v>
      </c>
      <c r="G19" s="1307"/>
      <c r="H19" s="1302"/>
      <c r="I19" s="1307"/>
    </row>
    <row r="20" spans="1:11">
      <c r="A20" s="1303" t="s">
        <v>623</v>
      </c>
      <c r="B20" s="1302">
        <v>1</v>
      </c>
      <c r="C20" s="1302">
        <v>1</v>
      </c>
      <c r="D20" s="1302">
        <v>1.5</v>
      </c>
      <c r="E20" s="1302">
        <v>1</v>
      </c>
      <c r="F20" s="1302">
        <f t="shared" si="0"/>
        <v>1.8599999999999999</v>
      </c>
      <c r="G20" s="1307">
        <f>F20*PUbeton</f>
        <v>706800</v>
      </c>
      <c r="H20" s="1302">
        <f>+($C20*$D20+epais*($C20+1))*$I$3*D20*$I$4</f>
        <v>34650.000000000007</v>
      </c>
      <c r="I20" s="1307">
        <f>H20+G20</f>
        <v>741450</v>
      </c>
    </row>
    <row r="21" spans="1:11">
      <c r="A21" s="1303" t="s">
        <v>623</v>
      </c>
      <c r="B21" s="1302">
        <v>1</v>
      </c>
      <c r="C21" s="1302">
        <v>1</v>
      </c>
      <c r="D21" s="1302">
        <v>2.5</v>
      </c>
      <c r="E21" s="1302">
        <v>1.6</v>
      </c>
      <c r="F21" s="1302">
        <f t="shared" si="0"/>
        <v>2.82</v>
      </c>
      <c r="G21" s="1307">
        <f>F21*PUbeton</f>
        <v>1071600</v>
      </c>
      <c r="H21" s="1302">
        <f>+($C21*$D21+epais*($C21+1))*$I$3*D21*$I$4</f>
        <v>85250.000000000015</v>
      </c>
      <c r="I21" s="1307">
        <f>H21+G21</f>
        <v>1156850</v>
      </c>
    </row>
    <row r="22" spans="1:11">
      <c r="A22" s="1308"/>
      <c r="B22" s="1302">
        <v>1</v>
      </c>
      <c r="C22" s="1302">
        <v>1</v>
      </c>
      <c r="D22" s="1302">
        <v>3</v>
      </c>
      <c r="E22" s="1302">
        <v>2.2000000000000002</v>
      </c>
      <c r="F22" s="1302">
        <f t="shared" si="0"/>
        <v>3.4800000000000004</v>
      </c>
      <c r="G22" s="1307">
        <f>F22*PUbeton</f>
        <v>1322400.0000000002</v>
      </c>
      <c r="H22" s="1302">
        <f>+($C22*$D22+epais*($C22+1))*$I$3*D22*$I$4</f>
        <v>118800.00000000001</v>
      </c>
      <c r="I22" s="1307">
        <f>H22+G22</f>
        <v>1441200.0000000002</v>
      </c>
    </row>
    <row r="23" spans="1:11">
      <c r="A23" s="1308"/>
      <c r="B23" s="1302">
        <v>1</v>
      </c>
      <c r="C23" s="1302">
        <v>1</v>
      </c>
      <c r="D23" s="1302">
        <v>2</v>
      </c>
      <c r="E23" s="1302">
        <v>1.5</v>
      </c>
      <c r="F23" s="1302">
        <f t="shared" si="0"/>
        <v>2.4599999999999995</v>
      </c>
      <c r="G23" s="1307">
        <f>F23*PUbeton</f>
        <v>934799.99999999977</v>
      </c>
      <c r="H23" s="1302">
        <f>+($C23*$D23+epais*($C23+1))*$I$3*D23*$I$4</f>
        <v>57200</v>
      </c>
      <c r="I23" s="1307">
        <f>H23+G23</f>
        <v>991999.99999999977</v>
      </c>
    </row>
    <row r="24" spans="1:11">
      <c r="A24" s="1309"/>
      <c r="B24" s="1302"/>
      <c r="C24" s="1302"/>
      <c r="D24" s="1302"/>
      <c r="E24" s="1302"/>
      <c r="F24" s="1302"/>
      <c r="G24" s="1307"/>
      <c r="H24" s="1307"/>
      <c r="I24" s="1307"/>
    </row>
    <row r="25" spans="1:11" hidden="1">
      <c r="A25" s="1303" t="s">
        <v>700</v>
      </c>
      <c r="B25" s="1302">
        <v>1</v>
      </c>
      <c r="C25" s="1302">
        <v>1</v>
      </c>
      <c r="D25" s="1302">
        <v>0.8</v>
      </c>
      <c r="E25" s="1302">
        <v>0.5</v>
      </c>
      <c r="F25" s="1302">
        <f>+($C25*$D25+epais*($C25+1)+(E25+epais)*(C25+1))*epais*B25</f>
        <v>0.89999999999999991</v>
      </c>
      <c r="G25" s="1307">
        <f t="shared" ref="G25:G40" si="4">F25*PUbeton</f>
        <v>341999.99999999994</v>
      </c>
      <c r="H25" s="1302">
        <f t="shared" ref="H25:H40" si="5">+($C25*$D25+epais*($C25+1))*$I$3*D25*$I$4</f>
        <v>12319.999999999998</v>
      </c>
      <c r="I25" s="1307">
        <f t="shared" ref="I25:I40" si="6">H25+G25</f>
        <v>354319.99999999994</v>
      </c>
      <c r="J25" s="1291">
        <v>39105</v>
      </c>
      <c r="K25" s="1292">
        <f>+J25/F25</f>
        <v>43450.000000000007</v>
      </c>
    </row>
    <row r="26" spans="1:11" hidden="1">
      <c r="A26" s="1303"/>
      <c r="B26" s="1302">
        <v>1</v>
      </c>
      <c r="C26" s="1302">
        <v>1</v>
      </c>
      <c r="D26" s="1302">
        <v>0.9</v>
      </c>
      <c r="E26" s="1302">
        <v>0.5</v>
      </c>
      <c r="F26" s="1302">
        <f>+($C26*$D26+epais*($C26+1)+(E26+epais)*(C26+1))*epais*B26</f>
        <v>0.92999999999999994</v>
      </c>
      <c r="G26" s="1307">
        <f t="shared" si="4"/>
        <v>353400</v>
      </c>
      <c r="H26" s="1302">
        <f t="shared" si="5"/>
        <v>14850.000000000004</v>
      </c>
      <c r="I26" s="1307">
        <f t="shared" si="6"/>
        <v>368250</v>
      </c>
    </row>
    <row r="27" spans="1:11" hidden="1">
      <c r="A27" s="1303"/>
      <c r="B27" s="1302">
        <v>1</v>
      </c>
      <c r="C27" s="1302">
        <v>1</v>
      </c>
      <c r="D27" s="1302">
        <v>1.1000000000000001</v>
      </c>
      <c r="E27" s="1302">
        <v>0.5</v>
      </c>
      <c r="F27" s="1302">
        <f>+($C27*$D27+epais*($C27+1)+(E27+epais)*(C27+1))*epais*B27</f>
        <v>0.99</v>
      </c>
      <c r="G27" s="1307">
        <f t="shared" si="4"/>
        <v>376200</v>
      </c>
      <c r="H27" s="1302">
        <f t="shared" si="5"/>
        <v>20570.000000000007</v>
      </c>
      <c r="I27" s="1307">
        <f t="shared" si="6"/>
        <v>396770</v>
      </c>
    </row>
    <row r="28" spans="1:11" hidden="1">
      <c r="A28" s="1303"/>
      <c r="B28" s="1302">
        <v>1</v>
      </c>
      <c r="C28" s="1302">
        <v>1</v>
      </c>
      <c r="D28" s="1302">
        <v>1.2</v>
      </c>
      <c r="E28" s="1302">
        <v>0.65</v>
      </c>
      <c r="F28" s="1302">
        <f>+($C28*$D28+epais*($C28+1)+(E28+epais)*(C28+1))*epais*B28</f>
        <v>1.1099999999999999</v>
      </c>
      <c r="G28" s="1307">
        <f t="shared" si="4"/>
        <v>421799.99999999994</v>
      </c>
      <c r="H28" s="1302">
        <f t="shared" si="5"/>
        <v>23760</v>
      </c>
      <c r="I28" s="1307">
        <f t="shared" si="6"/>
        <v>445559.99999999994</v>
      </c>
    </row>
    <row r="29" spans="1:11" hidden="1">
      <c r="A29" s="1303"/>
      <c r="B29" s="1302">
        <v>1</v>
      </c>
      <c r="C29" s="1302">
        <v>1</v>
      </c>
      <c r="D29" s="1302">
        <v>1.3</v>
      </c>
      <c r="E29" s="1302">
        <v>0.65</v>
      </c>
      <c r="F29" s="1302">
        <f>+($C29*$D29+epais*($C29+1)+(E29+epais)*(C29+1))*epais*B29</f>
        <v>1.1399999999999999</v>
      </c>
      <c r="G29" s="1307">
        <f t="shared" si="4"/>
        <v>433199.99999999994</v>
      </c>
      <c r="H29" s="1302">
        <f t="shared" si="5"/>
        <v>27170.000000000004</v>
      </c>
      <c r="I29" s="1307">
        <f t="shared" si="6"/>
        <v>460369.99999999994</v>
      </c>
    </row>
    <row r="30" spans="1:11" hidden="1">
      <c r="A30" s="1310"/>
      <c r="B30" s="1302">
        <v>1</v>
      </c>
      <c r="C30" s="1302">
        <v>1</v>
      </c>
      <c r="D30" s="1302">
        <v>0.7</v>
      </c>
      <c r="E30" s="1302">
        <v>0.65</v>
      </c>
      <c r="F30" s="1302">
        <f t="shared" ref="F30:F40" si="7">+(C30*D30+epais*(C30+1)+(E30+epais)*(C30+1))*epais*B30</f>
        <v>0.95999999999999985</v>
      </c>
      <c r="G30" s="1307">
        <f t="shared" si="4"/>
        <v>364799.99999999994</v>
      </c>
      <c r="H30" s="1302">
        <f t="shared" si="5"/>
        <v>10009.999999999998</v>
      </c>
      <c r="I30" s="1307">
        <f t="shared" si="6"/>
        <v>374809.99999999994</v>
      </c>
      <c r="J30" s="1291">
        <v>39105</v>
      </c>
      <c r="K30" s="1292">
        <f t="shared" ref="K30:K36" si="8">+J30/F30</f>
        <v>40734.375000000007</v>
      </c>
    </row>
    <row r="31" spans="1:11" hidden="1">
      <c r="A31" s="1310"/>
      <c r="B31" s="1302">
        <v>1</v>
      </c>
      <c r="C31" s="1302">
        <v>1</v>
      </c>
      <c r="D31" s="1302">
        <v>0.7</v>
      </c>
      <c r="E31" s="1302">
        <v>0.75</v>
      </c>
      <c r="F31" s="1302">
        <f t="shared" si="7"/>
        <v>1.02</v>
      </c>
      <c r="G31" s="1307">
        <f t="shared" si="4"/>
        <v>387600</v>
      </c>
      <c r="H31" s="1302">
        <f t="shared" si="5"/>
        <v>10009.999999999998</v>
      </c>
      <c r="I31" s="1307">
        <f t="shared" si="6"/>
        <v>397610</v>
      </c>
      <c r="J31" s="1291">
        <v>46820</v>
      </c>
      <c r="K31" s="1292">
        <f t="shared" si="8"/>
        <v>45901.960784313727</v>
      </c>
    </row>
    <row r="32" spans="1:11" hidden="1">
      <c r="A32" s="1310"/>
      <c r="B32" s="1302">
        <v>1</v>
      </c>
      <c r="C32" s="1302">
        <v>1</v>
      </c>
      <c r="D32" s="1302">
        <v>0.7</v>
      </c>
      <c r="E32" s="1302">
        <v>0.85</v>
      </c>
      <c r="F32" s="1302">
        <f t="shared" si="7"/>
        <v>1.0799999999999998</v>
      </c>
      <c r="G32" s="1307">
        <f t="shared" si="4"/>
        <v>410399.99999999994</v>
      </c>
      <c r="H32" s="1302">
        <f t="shared" si="5"/>
        <v>10009.999999999998</v>
      </c>
      <c r="I32" s="1307">
        <f t="shared" si="6"/>
        <v>420409.99999999994</v>
      </c>
      <c r="J32" s="1291">
        <v>46820</v>
      </c>
      <c r="K32" s="1292">
        <f t="shared" si="8"/>
        <v>43351.851851851861</v>
      </c>
    </row>
    <row r="33" spans="1:14" hidden="1">
      <c r="A33" s="1310"/>
      <c r="B33" s="1302">
        <v>1</v>
      </c>
      <c r="C33" s="1302">
        <v>1</v>
      </c>
      <c r="D33" s="1302">
        <v>0.8</v>
      </c>
      <c r="E33" s="1302">
        <v>0.65</v>
      </c>
      <c r="F33" s="1302">
        <f t="shared" si="7"/>
        <v>0.98999999999999988</v>
      </c>
      <c r="G33" s="1307">
        <f t="shared" si="4"/>
        <v>376199.99999999994</v>
      </c>
      <c r="H33" s="1302">
        <f t="shared" si="5"/>
        <v>12319.999999999998</v>
      </c>
      <c r="I33" s="1307">
        <f t="shared" si="6"/>
        <v>388519.99999999994</v>
      </c>
      <c r="J33" s="1291">
        <v>70590</v>
      </c>
      <c r="K33" s="1292">
        <f t="shared" si="8"/>
        <v>71303.030303030318</v>
      </c>
    </row>
    <row r="34" spans="1:14" hidden="1">
      <c r="A34" s="1310"/>
      <c r="B34" s="1302">
        <v>1</v>
      </c>
      <c r="C34" s="1302">
        <v>1</v>
      </c>
      <c r="D34" s="1302">
        <v>0.8</v>
      </c>
      <c r="E34" s="1302">
        <v>1.1000000000000001</v>
      </c>
      <c r="F34" s="1302">
        <f t="shared" si="7"/>
        <v>1.26</v>
      </c>
      <c r="G34" s="1307">
        <f t="shared" si="4"/>
        <v>478800</v>
      </c>
      <c r="H34" s="1302">
        <f t="shared" si="5"/>
        <v>12319.999999999998</v>
      </c>
      <c r="I34" s="1307">
        <f t="shared" si="6"/>
        <v>491120</v>
      </c>
      <c r="J34" s="1291">
        <v>70590</v>
      </c>
      <c r="K34" s="1292">
        <f t="shared" si="8"/>
        <v>56023.809523809527</v>
      </c>
    </row>
    <row r="35" spans="1:14" hidden="1">
      <c r="A35" s="1310"/>
      <c r="B35" s="1302">
        <v>1</v>
      </c>
      <c r="C35" s="1302">
        <v>1</v>
      </c>
      <c r="D35" s="1302">
        <v>1</v>
      </c>
      <c r="E35" s="1302">
        <v>0.6</v>
      </c>
      <c r="F35" s="1302">
        <f t="shared" si="7"/>
        <v>1.02</v>
      </c>
      <c r="G35" s="1307">
        <f t="shared" si="4"/>
        <v>387600</v>
      </c>
      <c r="H35" s="1302">
        <f t="shared" si="5"/>
        <v>17600.000000000004</v>
      </c>
      <c r="I35" s="1307">
        <f t="shared" si="6"/>
        <v>405200</v>
      </c>
      <c r="J35" s="1291">
        <v>77590</v>
      </c>
      <c r="K35" s="1292">
        <f t="shared" si="8"/>
        <v>76068.627450980392</v>
      </c>
    </row>
    <row r="36" spans="1:14" hidden="1">
      <c r="A36" s="1310"/>
      <c r="B36" s="1302">
        <v>1</v>
      </c>
      <c r="C36" s="1302">
        <v>1</v>
      </c>
      <c r="D36" s="1302">
        <v>1</v>
      </c>
      <c r="E36" s="1302">
        <v>0.85</v>
      </c>
      <c r="F36" s="1302">
        <f t="shared" si="7"/>
        <v>1.17</v>
      </c>
      <c r="G36" s="1307">
        <f t="shared" si="4"/>
        <v>444600</v>
      </c>
      <c r="H36" s="1302">
        <f t="shared" si="5"/>
        <v>17600.000000000004</v>
      </c>
      <c r="I36" s="1307">
        <f t="shared" si="6"/>
        <v>462200</v>
      </c>
      <c r="J36" s="1291">
        <v>82220</v>
      </c>
      <c r="K36" s="1292">
        <f t="shared" si="8"/>
        <v>70273.504273504281</v>
      </c>
    </row>
    <row r="37" spans="1:14" hidden="1">
      <c r="A37" s="1309"/>
      <c r="B37" s="1302">
        <v>1</v>
      </c>
      <c r="C37" s="1302">
        <v>1</v>
      </c>
      <c r="D37" s="1302">
        <v>1</v>
      </c>
      <c r="E37" s="1302">
        <v>1.1000000000000001</v>
      </c>
      <c r="F37" s="1302">
        <f t="shared" si="7"/>
        <v>1.32</v>
      </c>
      <c r="G37" s="1307">
        <f t="shared" si="4"/>
        <v>501600</v>
      </c>
      <c r="H37" s="1302">
        <f t="shared" si="5"/>
        <v>17600.000000000004</v>
      </c>
      <c r="I37" s="1307">
        <f t="shared" si="6"/>
        <v>519200</v>
      </c>
    </row>
    <row r="38" spans="1:14" hidden="1">
      <c r="A38" s="1309"/>
      <c r="B38" s="1302">
        <v>1</v>
      </c>
      <c r="C38" s="1302">
        <v>1</v>
      </c>
      <c r="D38" s="1302">
        <v>1</v>
      </c>
      <c r="E38" s="1302">
        <v>0.65</v>
      </c>
      <c r="F38" s="1302">
        <f t="shared" si="7"/>
        <v>1.05</v>
      </c>
      <c r="G38" s="1307">
        <f t="shared" si="4"/>
        <v>399000</v>
      </c>
      <c r="H38" s="1302">
        <f t="shared" si="5"/>
        <v>17600.000000000004</v>
      </c>
      <c r="I38" s="1307">
        <f t="shared" si="6"/>
        <v>416600</v>
      </c>
    </row>
    <row r="39" spans="1:14" hidden="1">
      <c r="A39" s="1309"/>
      <c r="B39" s="1302">
        <v>1</v>
      </c>
      <c r="C39" s="1302">
        <v>1</v>
      </c>
      <c r="D39" s="1302">
        <v>0.8</v>
      </c>
      <c r="E39" s="1302">
        <v>0.8</v>
      </c>
      <c r="F39" s="1302">
        <f t="shared" si="7"/>
        <v>1.08</v>
      </c>
      <c r="G39" s="1307">
        <f t="shared" si="4"/>
        <v>410400</v>
      </c>
      <c r="H39" s="1302">
        <f t="shared" si="5"/>
        <v>12319.999999999998</v>
      </c>
      <c r="I39" s="1307">
        <f t="shared" si="6"/>
        <v>422720</v>
      </c>
    </row>
    <row r="40" spans="1:14" hidden="1">
      <c r="A40" s="1302"/>
      <c r="B40" s="1302">
        <v>1</v>
      </c>
      <c r="C40" s="1302">
        <v>1</v>
      </c>
      <c r="D40" s="1302">
        <v>1</v>
      </c>
      <c r="E40" s="1302">
        <v>1</v>
      </c>
      <c r="F40" s="1302">
        <f t="shared" si="7"/>
        <v>1.26</v>
      </c>
      <c r="G40" s="1307">
        <f t="shared" si="4"/>
        <v>478800</v>
      </c>
      <c r="H40" s="1302">
        <f t="shared" si="5"/>
        <v>17600.000000000004</v>
      </c>
      <c r="I40" s="1307">
        <f t="shared" si="6"/>
        <v>496400</v>
      </c>
      <c r="L40" s="1291">
        <v>0.8</v>
      </c>
      <c r="M40" s="1291">
        <v>19000</v>
      </c>
      <c r="N40" s="1291">
        <f>M40*L40</f>
        <v>15200</v>
      </c>
    </row>
    <row r="41" spans="1:14" hidden="1">
      <c r="A41" s="1311" t="s">
        <v>188</v>
      </c>
      <c r="B41" s="1302">
        <f>SUM(B8:B40)</f>
        <v>32</v>
      </c>
      <c r="C41" s="1302"/>
      <c r="D41" s="1302"/>
      <c r="E41" s="1302"/>
      <c r="F41" s="1302"/>
      <c r="G41" s="1307"/>
      <c r="H41" s="1307"/>
      <c r="I41" s="1307"/>
      <c r="L41" s="1291">
        <v>0.4</v>
      </c>
      <c r="M41" s="1291">
        <v>7500</v>
      </c>
      <c r="N41" s="1291">
        <f>M41*L41</f>
        <v>3000</v>
      </c>
    </row>
    <row r="42" spans="1:14" hidden="1">
      <c r="A42" s="1302"/>
      <c r="B42" s="1302"/>
      <c r="C42" s="1302"/>
      <c r="D42" s="1302"/>
      <c r="E42" s="1302"/>
      <c r="F42" s="1302" t="s">
        <v>701</v>
      </c>
      <c r="G42" s="1307"/>
      <c r="H42" s="1307"/>
      <c r="I42" s="1307">
        <f>SUM(I8:I41)</f>
        <v>31422370</v>
      </c>
      <c r="L42" s="1291">
        <v>0.35</v>
      </c>
      <c r="M42" s="1291">
        <v>93000</v>
      </c>
      <c r="N42" s="1291">
        <f>M42*L42</f>
        <v>32549.999999999996</v>
      </c>
    </row>
    <row r="43" spans="1:14" hidden="1">
      <c r="A43" s="1302"/>
      <c r="B43" s="1302"/>
      <c r="C43" s="1302"/>
      <c r="D43" s="1302"/>
      <c r="E43" s="1302"/>
      <c r="F43" s="1312" t="s">
        <v>702</v>
      </c>
      <c r="G43" s="1313"/>
      <c r="H43" s="1313"/>
      <c r="I43" s="1313">
        <f>I42/B41</f>
        <v>981949.0625</v>
      </c>
      <c r="L43" s="1291">
        <v>45</v>
      </c>
      <c r="M43" s="1291">
        <v>750</v>
      </c>
      <c r="N43" s="1291">
        <f>M43*L43</f>
        <v>33750</v>
      </c>
    </row>
    <row r="44" spans="1:14">
      <c r="A44" s="1314"/>
      <c r="B44" s="1314"/>
      <c r="C44" s="1314"/>
      <c r="D44" s="1314"/>
      <c r="E44" s="1314"/>
      <c r="F44" s="1314"/>
      <c r="G44" s="1314"/>
      <c r="H44" s="1314"/>
      <c r="I44" s="1314"/>
      <c r="N44" s="1291">
        <f>SUM(N40:N43)</f>
        <v>84500</v>
      </c>
    </row>
    <row r="45" spans="1:14">
      <c r="N45" s="1291">
        <f>N44*1.2</f>
        <v>101400</v>
      </c>
    </row>
    <row r="46" spans="1:14">
      <c r="N46" s="1291">
        <f>N45*1.2</f>
        <v>121680</v>
      </c>
    </row>
    <row r="47" spans="1:14" ht="15">
      <c r="B47" s="37" t="s">
        <v>703</v>
      </c>
      <c r="C47" s="37" t="s">
        <v>704</v>
      </c>
      <c r="D47" s="37" t="s">
        <v>705</v>
      </c>
      <c r="E47" s="37" t="s">
        <v>706</v>
      </c>
      <c r="F47" s="142"/>
      <c r="G47" s="142"/>
      <c r="H47" s="142"/>
    </row>
    <row r="48" spans="1:14" ht="15">
      <c r="B48" s="142">
        <v>2</v>
      </c>
      <c r="C48" s="142">
        <v>8</v>
      </c>
      <c r="D48" s="142">
        <v>2.5</v>
      </c>
      <c r="E48" s="142">
        <v>1</v>
      </c>
      <c r="F48" s="1315">
        <f>+(B48+2*D48*(1+E48^2)^0.5)*epais*PUbeton</f>
        <v>1034101.7305526641</v>
      </c>
      <c r="G48" s="1316">
        <f>+(B48+'[1]Prix moyen collec F'!$I$3*2)*'[1]Prix moyen collec F'!$I$3*'[1]Prix moyen collec F'!$I$4</f>
        <v>6825.0000000000009</v>
      </c>
      <c r="H48" s="375">
        <f>+ROUND(F48+G48,0)</f>
        <v>1040927</v>
      </c>
    </row>
    <row r="49" spans="2:13" ht="15">
      <c r="B49" s="142">
        <v>3</v>
      </c>
      <c r="C49" s="142">
        <v>7</v>
      </c>
      <c r="D49" s="142">
        <v>2</v>
      </c>
      <c r="E49" s="142">
        <v>1</v>
      </c>
      <c r="F49" s="1315">
        <f>+(B49+2*D49*(1+E49^2)^0.5)*epais*PUbeton</f>
        <v>986881.38444213127</v>
      </c>
      <c r="G49" s="1316">
        <f>+(B49+'[1]Prix moyen collec F'!$I$3*2)*'[1]Prix moyen collec F'!$I$3*'[1]Prix moyen collec F'!$I$4</f>
        <v>10075.000000000002</v>
      </c>
      <c r="H49" s="375">
        <f>+F49+G49</f>
        <v>996956.38444213127</v>
      </c>
      <c r="L49" s="1291">
        <f>2+2*2.5*2^0.5</f>
        <v>9.0710678118654755</v>
      </c>
      <c r="M49" s="1291">
        <f>+L49*0.2</f>
        <v>1.8142135623730953</v>
      </c>
    </row>
    <row r="50" spans="2:13">
      <c r="L50" s="1291">
        <f>+L49*200000</f>
        <v>1814213.5623730952</v>
      </c>
      <c r="M50" s="1291">
        <f>+M49*200000</f>
        <v>362842.71247461904</v>
      </c>
    </row>
  </sheetData>
  <pageMargins left="1.3385826771653544" right="0.78740157480314965" top="0.98425196850393704" bottom="0.98425196850393704" header="0.51181102362204722" footer="0.51181102362204722"/>
  <pageSetup paperSize="9" scale="80" orientation="landscape" horizontalDpi="360" verticalDpi="360" r:id="rId1"/>
  <headerFooter alignWithMargins="0">
    <oddHeader>&amp;A</oddHeader>
    <oddFooter>Page 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GG217"/>
  <sheetViews>
    <sheetView view="pageBreakPreview" topLeftCell="B140" zoomScale="75" zoomScaleNormal="80" zoomScaleSheetLayoutView="75" workbookViewId="0">
      <selection activeCell="H137" sqref="H137"/>
    </sheetView>
  </sheetViews>
  <sheetFormatPr baseColWidth="10" defaultColWidth="9.140625" defaultRowHeight="15"/>
  <cols>
    <col min="1" max="1" width="14.7109375" style="421" customWidth="1"/>
    <col min="2" max="2" width="91.42578125" style="142" customWidth="1"/>
    <col min="3" max="3" width="12.85546875" style="476" customWidth="1"/>
    <col min="4" max="4" width="14.85546875" style="142" customWidth="1"/>
    <col min="5" max="5" width="20" style="142" customWidth="1"/>
    <col min="6" max="6" width="25.85546875" style="142" customWidth="1"/>
    <col min="7" max="7" width="13" style="142" bestFit="1" customWidth="1"/>
    <col min="8" max="8" width="23.5703125" style="255" bestFit="1" customWidth="1"/>
    <col min="9" max="9" width="23.140625" style="262" bestFit="1" customWidth="1"/>
    <col min="10" max="10" width="16" style="255" bestFit="1" customWidth="1"/>
    <col min="11" max="11" width="9.140625" style="129"/>
    <col min="12" max="12" width="9.28515625" style="129" bestFit="1" customWidth="1"/>
    <col min="13" max="189" width="9.140625" style="129"/>
    <col min="190" max="16384" width="9.140625" style="142"/>
  </cols>
  <sheetData>
    <row r="1" spans="1:11" ht="20.25" thickBot="1">
      <c r="A1" s="1899" t="e">
        <f>+#REF!</f>
        <v>#REF!</v>
      </c>
      <c r="B1" s="1900"/>
      <c r="C1" s="1900"/>
      <c r="D1" s="1900"/>
      <c r="E1" s="1900"/>
      <c r="F1" s="1901"/>
    </row>
    <row r="2" spans="1:11" s="129" customFormat="1" ht="25.5" thickBot="1">
      <c r="A2" s="1897" t="s">
        <v>681</v>
      </c>
      <c r="B2" s="1857"/>
      <c r="C2" s="1857"/>
      <c r="D2" s="1857"/>
      <c r="E2" s="1857"/>
      <c r="F2" s="1898"/>
      <c r="G2" s="119"/>
      <c r="H2" s="255"/>
      <c r="I2" s="262"/>
      <c r="J2" s="255" t="s">
        <v>741</v>
      </c>
      <c r="K2" s="129">
        <v>550</v>
      </c>
    </row>
    <row r="3" spans="1:11" s="226" customFormat="1" ht="20.100000000000001" customHeight="1">
      <c r="A3" s="503"/>
      <c r="B3" s="491"/>
      <c r="C3" s="491"/>
      <c r="D3" s="491"/>
      <c r="E3" s="504" t="s">
        <v>590</v>
      </c>
      <c r="F3" s="505">
        <v>470</v>
      </c>
      <c r="G3" s="502"/>
      <c r="H3" s="259"/>
      <c r="I3" s="265"/>
      <c r="J3" s="259" t="s">
        <v>738</v>
      </c>
      <c r="K3" s="226">
        <v>776</v>
      </c>
    </row>
    <row r="4" spans="1:11" s="226" customFormat="1" ht="20.100000000000001" hidden="1" customHeight="1">
      <c r="A4" s="506"/>
      <c r="B4" s="229"/>
      <c r="C4" s="1285"/>
      <c r="D4" s="507"/>
      <c r="E4" s="504" t="s">
        <v>313</v>
      </c>
      <c r="F4" s="505">
        <v>290</v>
      </c>
      <c r="G4" s="225"/>
      <c r="H4" s="259"/>
      <c r="I4" s="265"/>
      <c r="J4" s="259"/>
    </row>
    <row r="5" spans="1:11" s="226" customFormat="1" ht="20.100000000000001" hidden="1" customHeight="1">
      <c r="A5" s="506"/>
      <c r="B5" s="229"/>
      <c r="C5" s="1285"/>
      <c r="D5" s="507"/>
      <c r="E5" s="504" t="s">
        <v>369</v>
      </c>
      <c r="F5" s="505">
        <v>2030</v>
      </c>
      <c r="G5" s="225"/>
      <c r="H5" s="559">
        <f>1.7*0.25*0.6</f>
        <v>0.255</v>
      </c>
      <c r="I5" s="265"/>
      <c r="J5" s="259"/>
    </row>
    <row r="6" spans="1:11" s="226" customFormat="1" ht="20.100000000000001" hidden="1" customHeight="1">
      <c r="A6" s="506"/>
      <c r="B6" s="229"/>
      <c r="C6" s="1285"/>
      <c r="D6" s="507"/>
      <c r="E6" s="504" t="s">
        <v>248</v>
      </c>
      <c r="F6" s="505">
        <v>4035</v>
      </c>
      <c r="G6" s="225"/>
      <c r="H6" s="259"/>
      <c r="I6" s="265"/>
      <c r="J6" s="259"/>
    </row>
    <row r="7" spans="1:11" s="226" customFormat="1" ht="20.100000000000001" hidden="1" customHeight="1">
      <c r="A7" s="506"/>
      <c r="B7" s="229"/>
      <c r="C7" s="1285"/>
      <c r="D7" s="507"/>
      <c r="E7" s="504" t="s">
        <v>366</v>
      </c>
      <c r="F7" s="505">
        <v>250</v>
      </c>
      <c r="G7" s="225"/>
      <c r="H7" s="259"/>
      <c r="I7" s="265"/>
      <c r="J7" s="259"/>
    </row>
    <row r="8" spans="1:11" s="226" customFormat="1" ht="20.100000000000001" hidden="1" customHeight="1">
      <c r="A8" s="506"/>
      <c r="B8" s="229"/>
      <c r="C8" s="1285"/>
      <c r="D8" s="507"/>
      <c r="E8" s="504" t="s">
        <v>249</v>
      </c>
      <c r="F8" s="505">
        <v>400</v>
      </c>
      <c r="G8" s="225"/>
      <c r="H8" s="259"/>
      <c r="I8" s="265" t="s">
        <v>684</v>
      </c>
      <c r="J8" s="259">
        <v>1796</v>
      </c>
    </row>
    <row r="9" spans="1:11" s="226" customFormat="1" ht="20.100000000000001" hidden="1" customHeight="1">
      <c r="A9" s="506"/>
      <c r="B9" s="229"/>
      <c r="C9" s="1285"/>
      <c r="D9" s="507"/>
      <c r="E9" s="504" t="s">
        <v>367</v>
      </c>
      <c r="F9" s="505">
        <v>0</v>
      </c>
      <c r="G9" s="225"/>
      <c r="H9" s="259"/>
      <c r="I9" s="265"/>
      <c r="J9" s="259"/>
    </row>
    <row r="10" spans="1:11" s="226" customFormat="1" ht="20.100000000000001" hidden="1" customHeight="1">
      <c r="A10" s="506"/>
      <c r="B10" s="229"/>
      <c r="C10" s="1285"/>
      <c r="D10" s="507"/>
      <c r="E10" s="504" t="s">
        <v>368</v>
      </c>
      <c r="F10" s="505">
        <v>670</v>
      </c>
      <c r="G10" s="225" t="s">
        <v>364</v>
      </c>
      <c r="H10" s="259"/>
      <c r="I10" s="265"/>
      <c r="J10" s="259"/>
    </row>
    <row r="11" spans="1:11" s="226" customFormat="1" ht="20.100000000000001" hidden="1" customHeight="1">
      <c r="A11" s="506"/>
      <c r="B11" s="229"/>
      <c r="C11" s="1285"/>
      <c r="D11" s="507"/>
      <c r="E11" s="504" t="s">
        <v>378</v>
      </c>
      <c r="F11" s="505">
        <v>0</v>
      </c>
      <c r="G11" s="225"/>
      <c r="H11" s="259" t="s">
        <v>483</v>
      </c>
      <c r="I11" s="265">
        <v>1282</v>
      </c>
      <c r="J11" s="259"/>
    </row>
    <row r="12" spans="1:11" s="226" customFormat="1" ht="20.100000000000001" customHeight="1">
      <c r="A12" s="506"/>
      <c r="B12" s="229"/>
      <c r="C12" s="1285"/>
      <c r="D12" s="507"/>
      <c r="E12" s="504" t="s">
        <v>250</v>
      </c>
      <c r="F12" s="508">
        <v>1796</v>
      </c>
      <c r="H12" s="259" t="s">
        <v>482</v>
      </c>
      <c r="I12" s="265">
        <v>62</v>
      </c>
      <c r="J12" s="259" t="s">
        <v>684</v>
      </c>
      <c r="K12" s="226">
        <v>1796</v>
      </c>
    </row>
    <row r="13" spans="1:11" s="129" customFormat="1" ht="20.100000000000001" customHeight="1">
      <c r="A13" s="1276"/>
      <c r="B13" s="5"/>
      <c r="C13" s="1282"/>
      <c r="D13" s="485"/>
      <c r="E13" s="486" t="s">
        <v>370</v>
      </c>
      <c r="F13" s="1283">
        <f>470+150+150+210</f>
        <v>980</v>
      </c>
      <c r="G13" s="142">
        <v>10</v>
      </c>
      <c r="H13" s="262">
        <v>6</v>
      </c>
      <c r="I13" s="262">
        <f>+F13*G13</f>
        <v>9800</v>
      </c>
      <c r="J13" s="255" t="s">
        <v>739</v>
      </c>
      <c r="K13" s="129">
        <f>7.76*10000</f>
        <v>77600</v>
      </c>
    </row>
    <row r="14" spans="1:11" s="129" customFormat="1" ht="20.100000000000001" customHeight="1">
      <c r="A14" s="1276"/>
      <c r="B14" s="5"/>
      <c r="C14" s="1282"/>
      <c r="D14" s="485"/>
      <c r="E14" s="486" t="s">
        <v>371</v>
      </c>
      <c r="F14" s="1283">
        <f>235+220+220+180+180+300+500</f>
        <v>1835</v>
      </c>
      <c r="G14" s="142">
        <v>12</v>
      </c>
      <c r="H14" s="262">
        <v>7</v>
      </c>
      <c r="I14" s="262">
        <f t="shared" ref="I14:I16" si="0">+F14*G14</f>
        <v>22020</v>
      </c>
      <c r="J14" s="255" t="s">
        <v>740</v>
      </c>
      <c r="K14" s="129">
        <v>104771</v>
      </c>
    </row>
    <row r="15" spans="1:11" s="129" customFormat="1" ht="20.100000000000001" customHeight="1">
      <c r="A15" s="1276"/>
      <c r="B15" s="5"/>
      <c r="C15" s="1282"/>
      <c r="D15" s="485"/>
      <c r="E15" s="486" t="s">
        <v>372</v>
      </c>
      <c r="F15" s="1283">
        <f>490+400+300+625+100</f>
        <v>1915</v>
      </c>
      <c r="G15" s="142">
        <v>15</v>
      </c>
      <c r="H15" s="262">
        <v>9.84</v>
      </c>
      <c r="I15" s="262">
        <f t="shared" si="0"/>
        <v>28725</v>
      </c>
      <c r="J15" s="255"/>
    </row>
    <row r="16" spans="1:11" s="129" customFormat="1" ht="20.100000000000001" customHeight="1">
      <c r="A16" s="1276"/>
      <c r="B16" s="5"/>
      <c r="C16" s="1282"/>
      <c r="D16" s="485"/>
      <c r="E16" s="486" t="s">
        <v>373</v>
      </c>
      <c r="F16" s="1283">
        <f>600+725</f>
        <v>1325</v>
      </c>
      <c r="G16" s="142">
        <v>20</v>
      </c>
      <c r="H16" s="262">
        <v>11.84</v>
      </c>
      <c r="I16" s="262">
        <f t="shared" si="0"/>
        <v>26500</v>
      </c>
      <c r="J16" s="255"/>
    </row>
    <row r="17" spans="1:189" s="129" customFormat="1">
      <c r="A17" s="565"/>
      <c r="B17" s="5"/>
      <c r="C17" s="1282"/>
      <c r="D17" s="485"/>
      <c r="E17" s="566"/>
      <c r="F17" s="564">
        <f>SUM(F13:F16)</f>
        <v>6055</v>
      </c>
      <c r="G17" s="89"/>
      <c r="H17" s="255">
        <f>+F13*H13+F14*H14+F15*H15+F16*H16</f>
        <v>53256.6</v>
      </c>
      <c r="I17" s="262">
        <f>SUM(I13:I16)</f>
        <v>87045</v>
      </c>
      <c r="J17" s="255"/>
    </row>
    <row r="18" spans="1:189" s="129" customFormat="1">
      <c r="A18" s="565"/>
      <c r="B18" s="5"/>
      <c r="C18" s="1282"/>
      <c r="D18" s="485"/>
      <c r="E18" s="566"/>
      <c r="F18" s="567"/>
      <c r="G18" s="89"/>
      <c r="H18" s="255">
        <f>+I17-H17</f>
        <v>33788.400000000001</v>
      </c>
      <c r="I18" s="262"/>
      <c r="J18" s="255"/>
    </row>
    <row r="19" spans="1:189" s="129" customFormat="1" ht="24.95" customHeight="1">
      <c r="A19" s="1550" t="s">
        <v>585</v>
      </c>
      <c r="B19" s="1411" t="s">
        <v>602</v>
      </c>
      <c r="C19" s="1402" t="s">
        <v>98</v>
      </c>
      <c r="D19" s="1402" t="s">
        <v>99</v>
      </c>
      <c r="E19" s="1402" t="s">
        <v>100</v>
      </c>
      <c r="F19" s="1402" t="s">
        <v>603</v>
      </c>
      <c r="G19" s="89"/>
      <c r="H19" s="255" t="s">
        <v>186</v>
      </c>
      <c r="I19" s="262" t="s">
        <v>187</v>
      </c>
      <c r="J19" s="255" t="s">
        <v>188</v>
      </c>
    </row>
    <row r="20" spans="1:189" s="495" customFormat="1" ht="24.95" customHeight="1">
      <c r="A20" s="1863" t="e">
        <f>#REF!</f>
        <v>#REF!</v>
      </c>
      <c r="B20" s="1864"/>
      <c r="C20" s="1864"/>
      <c r="D20" s="1864"/>
      <c r="E20" s="1864"/>
      <c r="F20" s="1865"/>
      <c r="G20" s="456"/>
      <c r="H20" s="493"/>
      <c r="I20" s="494"/>
      <c r="J20" s="493"/>
    </row>
    <row r="21" spans="1:189" s="495" customFormat="1" ht="30" customHeight="1">
      <c r="A21" s="810" t="e">
        <f>#REF!</f>
        <v>#REF!</v>
      </c>
      <c r="B21" s="787" t="e">
        <f>#REF!</f>
        <v>#REF!</v>
      </c>
      <c r="C21" s="1534"/>
      <c r="D21" s="543"/>
      <c r="E21" s="1492"/>
      <c r="F21" s="544"/>
      <c r="G21" s="456"/>
      <c r="H21" s="493"/>
      <c r="I21" s="494"/>
      <c r="J21" s="493"/>
    </row>
    <row r="22" spans="1:189" s="495" customFormat="1">
      <c r="A22" s="1535"/>
      <c r="B22" s="788"/>
      <c r="C22" s="1481" t="e">
        <f>#REF!</f>
        <v>#REF!</v>
      </c>
      <c r="D22" s="546">
        <v>1</v>
      </c>
      <c r="E22" s="547" t="e">
        <f>J22</f>
        <v>#REF!</v>
      </c>
      <c r="F22" s="547" t="e">
        <f>+D22*E22</f>
        <v>#REF!</v>
      </c>
      <c r="G22" s="456"/>
      <c r="H22" s="493" t="e">
        <f>10%*F203</f>
        <v>#REF!</v>
      </c>
      <c r="I22" s="494">
        <v>1</v>
      </c>
      <c r="J22" s="493" t="e">
        <f>H22*I22</f>
        <v>#REF!</v>
      </c>
    </row>
    <row r="23" spans="1:189" s="495" customFormat="1">
      <c r="A23" s="810" t="e">
        <f>#REF!</f>
        <v>#REF!</v>
      </c>
      <c r="B23" s="787" t="e">
        <f>#REF!</f>
        <v>#REF!</v>
      </c>
      <c r="C23" s="1479"/>
      <c r="D23" s="548"/>
      <c r="E23" s="544"/>
      <c r="F23" s="544"/>
      <c r="G23" s="456"/>
      <c r="H23" s="493"/>
      <c r="I23" s="494"/>
      <c r="J23" s="493"/>
    </row>
    <row r="24" spans="1:189" s="495" customFormat="1">
      <c r="A24" s="1535"/>
      <c r="B24" s="795"/>
      <c r="C24" s="1578" t="e">
        <f>#REF!</f>
        <v>#REF!</v>
      </c>
      <c r="D24" s="546">
        <v>1</v>
      </c>
      <c r="E24" s="547" t="e">
        <f>+H24</f>
        <v>#REF!</v>
      </c>
      <c r="F24" s="547" t="e">
        <f>+E24*D24</f>
        <v>#REF!</v>
      </c>
      <c r="G24" s="456" t="e">
        <f>+H22*0.1</f>
        <v>#REF!</v>
      </c>
      <c r="H24" s="493" t="e">
        <f>+H22*0.07</f>
        <v>#REF!</v>
      </c>
      <c r="I24" s="494"/>
      <c r="J24" s="493"/>
    </row>
    <row r="25" spans="1:189" s="456" customFormat="1" ht="18.75">
      <c r="A25" s="667"/>
      <c r="B25" s="458"/>
      <c r="C25" s="656"/>
      <c r="D25" s="657"/>
      <c r="E25" s="658" t="s">
        <v>108</v>
      </c>
      <c r="F25" s="1122" t="e">
        <f>SUM(F21:F24)</f>
        <v>#REF!</v>
      </c>
      <c r="H25" s="493"/>
      <c r="I25" s="494"/>
      <c r="J25" s="493"/>
      <c r="K25" s="495"/>
      <c r="L25" s="495"/>
      <c r="M25" s="495"/>
      <c r="N25" s="495"/>
      <c r="O25" s="495"/>
      <c r="P25" s="495"/>
      <c r="Q25" s="495"/>
      <c r="R25" s="495"/>
      <c r="S25" s="495"/>
      <c r="T25" s="495"/>
      <c r="U25" s="495"/>
      <c r="V25" s="495"/>
      <c r="W25" s="495"/>
      <c r="X25" s="495"/>
      <c r="Y25" s="495"/>
      <c r="Z25" s="495"/>
      <c r="AA25" s="495"/>
      <c r="AB25" s="495"/>
      <c r="AC25" s="495"/>
      <c r="AD25" s="495"/>
      <c r="AE25" s="495"/>
      <c r="AF25" s="495"/>
      <c r="AG25" s="495"/>
      <c r="AH25" s="495"/>
      <c r="AI25" s="495"/>
      <c r="AJ25" s="495"/>
      <c r="AK25" s="495"/>
      <c r="AL25" s="495"/>
      <c r="AM25" s="495"/>
      <c r="AN25" s="495"/>
      <c r="AO25" s="495"/>
      <c r="AP25" s="495"/>
      <c r="AQ25" s="495"/>
      <c r="AR25" s="495"/>
      <c r="AS25" s="495"/>
      <c r="AT25" s="495"/>
      <c r="AU25" s="495"/>
      <c r="AV25" s="495"/>
      <c r="AW25" s="495"/>
      <c r="AX25" s="495"/>
      <c r="AY25" s="495"/>
      <c r="AZ25" s="495"/>
      <c r="BA25" s="495"/>
      <c r="BB25" s="495"/>
      <c r="BC25" s="495"/>
      <c r="BD25" s="495"/>
      <c r="BE25" s="495"/>
      <c r="BF25" s="495"/>
      <c r="BG25" s="495"/>
      <c r="BH25" s="495"/>
      <c r="BI25" s="495"/>
      <c r="BJ25" s="495"/>
      <c r="BK25" s="495"/>
      <c r="BL25" s="495"/>
      <c r="BM25" s="495"/>
      <c r="BN25" s="495"/>
      <c r="BO25" s="495"/>
      <c r="BP25" s="495"/>
      <c r="BQ25" s="495"/>
      <c r="BR25" s="495"/>
      <c r="BS25" s="495"/>
      <c r="BT25" s="495"/>
      <c r="BU25" s="495"/>
      <c r="BV25" s="495"/>
      <c r="BW25" s="495"/>
      <c r="BX25" s="495"/>
      <c r="BY25" s="495"/>
      <c r="BZ25" s="495"/>
      <c r="CA25" s="495"/>
      <c r="CB25" s="495"/>
      <c r="CC25" s="495"/>
      <c r="CD25" s="495"/>
      <c r="CE25" s="495"/>
      <c r="CF25" s="495"/>
      <c r="CG25" s="495"/>
      <c r="CH25" s="495"/>
      <c r="CI25" s="495"/>
      <c r="CJ25" s="495"/>
      <c r="CK25" s="495"/>
      <c r="CL25" s="495"/>
      <c r="CM25" s="495"/>
      <c r="CN25" s="495"/>
      <c r="CO25" s="495"/>
      <c r="CP25" s="495"/>
      <c r="CQ25" s="495"/>
      <c r="CR25" s="495"/>
      <c r="CS25" s="495"/>
      <c r="CT25" s="495"/>
      <c r="CU25" s="495"/>
      <c r="CV25" s="495"/>
      <c r="CW25" s="495"/>
      <c r="CX25" s="495"/>
      <c r="CY25" s="495"/>
      <c r="CZ25" s="495"/>
      <c r="DA25" s="495"/>
      <c r="DB25" s="495"/>
      <c r="DC25" s="495"/>
      <c r="DD25" s="495"/>
      <c r="DE25" s="495"/>
      <c r="DF25" s="495"/>
      <c r="DG25" s="495"/>
      <c r="DH25" s="495"/>
      <c r="DI25" s="495"/>
      <c r="DJ25" s="495"/>
      <c r="DK25" s="495"/>
      <c r="DL25" s="495"/>
      <c r="DM25" s="495"/>
      <c r="DN25" s="495"/>
      <c r="DO25" s="495"/>
      <c r="DP25" s="495"/>
      <c r="DQ25" s="495"/>
      <c r="DR25" s="495"/>
      <c r="DS25" s="495"/>
      <c r="DT25" s="495"/>
      <c r="DU25" s="495"/>
      <c r="DV25" s="495"/>
      <c r="DW25" s="495"/>
      <c r="DX25" s="495"/>
      <c r="DY25" s="495"/>
      <c r="DZ25" s="495"/>
      <c r="EA25" s="495"/>
      <c r="EB25" s="495"/>
      <c r="EC25" s="495"/>
      <c r="ED25" s="495"/>
      <c r="EE25" s="495"/>
      <c r="EF25" s="495"/>
      <c r="EG25" s="495"/>
      <c r="EH25" s="495"/>
      <c r="EI25" s="495"/>
      <c r="EJ25" s="495"/>
      <c r="EK25" s="495"/>
      <c r="EL25" s="495"/>
      <c r="EM25" s="495"/>
      <c r="EN25" s="495"/>
      <c r="EO25" s="495"/>
      <c r="EP25" s="495"/>
      <c r="EQ25" s="495"/>
      <c r="ER25" s="495"/>
      <c r="ES25" s="495"/>
      <c r="ET25" s="495"/>
      <c r="EU25" s="495"/>
      <c r="EV25" s="495"/>
      <c r="EW25" s="495"/>
      <c r="EX25" s="495"/>
      <c r="EY25" s="495"/>
      <c r="EZ25" s="495"/>
      <c r="FA25" s="495"/>
      <c r="FB25" s="495"/>
      <c r="FC25" s="495"/>
      <c r="FD25" s="495"/>
      <c r="FE25" s="495"/>
      <c r="FF25" s="495"/>
      <c r="FG25" s="495"/>
      <c r="FH25" s="495"/>
      <c r="FI25" s="495"/>
      <c r="FJ25" s="495"/>
      <c r="FK25" s="495"/>
      <c r="FL25" s="495"/>
      <c r="FM25" s="495"/>
      <c r="FN25" s="495"/>
      <c r="FO25" s="495"/>
      <c r="FP25" s="495"/>
      <c r="FQ25" s="495"/>
      <c r="FR25" s="495"/>
      <c r="FS25" s="495"/>
      <c r="FT25" s="495"/>
      <c r="FU25" s="495"/>
      <c r="FV25" s="495"/>
      <c r="FW25" s="495"/>
      <c r="FX25" s="495"/>
      <c r="FY25" s="495"/>
      <c r="FZ25" s="495"/>
      <c r="GA25" s="495"/>
      <c r="GB25" s="495"/>
      <c r="GC25" s="495"/>
      <c r="GD25" s="495"/>
      <c r="GE25" s="495"/>
      <c r="GF25" s="495"/>
      <c r="GG25" s="495"/>
    </row>
    <row r="26" spans="1:189">
      <c r="A26" s="1277"/>
      <c r="B26" s="5"/>
      <c r="C26" s="1282"/>
      <c r="D26" s="490"/>
      <c r="E26" s="485"/>
      <c r="F26" s="487"/>
    </row>
    <row r="27" spans="1:189" s="456" customFormat="1" ht="24.95" customHeight="1">
      <c r="A27" s="1863" t="e">
        <f>+#REF!</f>
        <v>#REF!</v>
      </c>
      <c r="B27" s="1864"/>
      <c r="C27" s="1864"/>
      <c r="D27" s="1864"/>
      <c r="E27" s="1864"/>
      <c r="F27" s="1865"/>
      <c r="H27" s="493"/>
      <c r="I27" s="494">
        <f>24780</f>
        <v>24780</v>
      </c>
      <c r="J27" s="493"/>
      <c r="K27" s="495"/>
      <c r="L27" s="495"/>
      <c r="M27" s="495"/>
      <c r="N27" s="495"/>
      <c r="O27" s="495"/>
      <c r="P27" s="495"/>
      <c r="Q27" s="495"/>
      <c r="R27" s="495"/>
      <c r="S27" s="495"/>
      <c r="T27" s="495"/>
      <c r="U27" s="495"/>
      <c r="V27" s="495"/>
      <c r="W27" s="495"/>
      <c r="X27" s="495"/>
      <c r="Y27" s="495"/>
      <c r="Z27" s="495"/>
      <c r="AA27" s="495"/>
      <c r="AB27" s="495"/>
      <c r="AC27" s="495"/>
      <c r="AD27" s="495"/>
      <c r="AE27" s="495"/>
      <c r="AF27" s="495"/>
      <c r="AG27" s="495"/>
      <c r="AH27" s="495"/>
      <c r="AI27" s="495"/>
      <c r="AJ27" s="495"/>
      <c r="AK27" s="495"/>
      <c r="AL27" s="495"/>
      <c r="AM27" s="495"/>
      <c r="AN27" s="495"/>
      <c r="AO27" s="495"/>
      <c r="AP27" s="495"/>
      <c r="AQ27" s="495"/>
      <c r="AR27" s="495"/>
      <c r="AS27" s="495"/>
      <c r="AT27" s="495"/>
      <c r="AU27" s="495"/>
      <c r="AV27" s="495"/>
      <c r="AW27" s="495"/>
      <c r="AX27" s="495"/>
      <c r="AY27" s="495"/>
      <c r="AZ27" s="495"/>
      <c r="BA27" s="495"/>
      <c r="BB27" s="495"/>
      <c r="BC27" s="495"/>
      <c r="BD27" s="495"/>
      <c r="BE27" s="495"/>
      <c r="BF27" s="495"/>
      <c r="BG27" s="495"/>
      <c r="BH27" s="495"/>
      <c r="BI27" s="495"/>
      <c r="BJ27" s="495"/>
      <c r="BK27" s="495"/>
      <c r="BL27" s="495"/>
      <c r="BM27" s="495"/>
      <c r="BN27" s="495"/>
      <c r="BO27" s="495"/>
      <c r="BP27" s="495"/>
      <c r="BQ27" s="495"/>
      <c r="BR27" s="495"/>
      <c r="BS27" s="495"/>
      <c r="BT27" s="495"/>
      <c r="BU27" s="495"/>
      <c r="BV27" s="495"/>
      <c r="BW27" s="495"/>
      <c r="BX27" s="495"/>
      <c r="BY27" s="495"/>
      <c r="BZ27" s="495"/>
      <c r="CA27" s="495"/>
      <c r="CB27" s="495"/>
      <c r="CC27" s="495"/>
      <c r="CD27" s="495"/>
      <c r="CE27" s="495"/>
      <c r="CF27" s="495"/>
      <c r="CG27" s="495"/>
      <c r="CH27" s="495"/>
      <c r="CI27" s="495"/>
      <c r="CJ27" s="495"/>
      <c r="CK27" s="495"/>
      <c r="CL27" s="495"/>
      <c r="CM27" s="495"/>
      <c r="CN27" s="495"/>
      <c r="CO27" s="495"/>
      <c r="CP27" s="495"/>
      <c r="CQ27" s="495"/>
      <c r="CR27" s="495"/>
      <c r="CS27" s="495"/>
      <c r="CT27" s="495"/>
      <c r="CU27" s="495"/>
      <c r="CV27" s="495"/>
      <c r="CW27" s="495"/>
      <c r="CX27" s="495"/>
      <c r="CY27" s="495"/>
      <c r="CZ27" s="495"/>
      <c r="DA27" s="495"/>
      <c r="DB27" s="495"/>
      <c r="DC27" s="495"/>
      <c r="DD27" s="495"/>
      <c r="DE27" s="495"/>
      <c r="DF27" s="495"/>
      <c r="DG27" s="495"/>
      <c r="DH27" s="495"/>
      <c r="DI27" s="495"/>
      <c r="DJ27" s="495"/>
      <c r="DK27" s="495"/>
      <c r="DL27" s="495"/>
      <c r="DM27" s="495"/>
      <c r="DN27" s="495"/>
      <c r="DO27" s="495"/>
      <c r="DP27" s="495"/>
      <c r="DQ27" s="495"/>
      <c r="DR27" s="495"/>
      <c r="DS27" s="495"/>
      <c r="DT27" s="495"/>
      <c r="DU27" s="495"/>
      <c r="DV27" s="495"/>
      <c r="DW27" s="495"/>
      <c r="DX27" s="495"/>
      <c r="DY27" s="495"/>
      <c r="DZ27" s="495"/>
      <c r="EA27" s="495"/>
      <c r="EB27" s="495"/>
      <c r="EC27" s="495"/>
      <c r="ED27" s="495"/>
      <c r="EE27" s="495"/>
      <c r="EF27" s="495"/>
      <c r="EG27" s="495"/>
      <c r="EH27" s="495"/>
      <c r="EI27" s="495"/>
      <c r="EJ27" s="495"/>
      <c r="EK27" s="495"/>
      <c r="EL27" s="495"/>
      <c r="EM27" s="495"/>
      <c r="EN27" s="495"/>
      <c r="EO27" s="495"/>
      <c r="EP27" s="495"/>
      <c r="EQ27" s="495"/>
      <c r="ER27" s="495"/>
      <c r="ES27" s="495"/>
      <c r="ET27" s="495"/>
      <c r="EU27" s="495"/>
      <c r="EV27" s="495"/>
      <c r="EW27" s="495"/>
      <c r="EX27" s="495"/>
      <c r="EY27" s="495"/>
      <c r="EZ27" s="495"/>
      <c r="FA27" s="495"/>
      <c r="FB27" s="495"/>
      <c r="FC27" s="495"/>
      <c r="FD27" s="495"/>
      <c r="FE27" s="495"/>
      <c r="FF27" s="495"/>
      <c r="FG27" s="495"/>
      <c r="FH27" s="495"/>
      <c r="FI27" s="495"/>
      <c r="FJ27" s="495"/>
      <c r="FK27" s="495"/>
      <c r="FL27" s="495"/>
      <c r="FM27" s="495"/>
      <c r="FN27" s="495"/>
      <c r="FO27" s="495"/>
      <c r="FP27" s="495"/>
      <c r="FQ27" s="495"/>
      <c r="FR27" s="495"/>
      <c r="FS27" s="495"/>
      <c r="FT27" s="495"/>
      <c r="FU27" s="495"/>
      <c r="FV27" s="495"/>
      <c r="FW27" s="495"/>
      <c r="FX27" s="495"/>
      <c r="FY27" s="495"/>
      <c r="FZ27" s="495"/>
      <c r="GA27" s="495"/>
      <c r="GB27" s="495"/>
      <c r="GC27" s="495"/>
      <c r="GD27" s="495"/>
      <c r="GE27" s="495"/>
      <c r="GF27" s="495"/>
      <c r="GG27" s="495"/>
    </row>
    <row r="28" spans="1:189" s="456" customFormat="1">
      <c r="A28" s="794" t="e">
        <f>#REF!</f>
        <v>#REF!</v>
      </c>
      <c r="B28" s="782" t="e">
        <f>#REF!</f>
        <v>#REF!</v>
      </c>
      <c r="C28" s="1479"/>
      <c r="D28" s="641"/>
      <c r="E28" s="641"/>
      <c r="F28" s="641"/>
      <c r="H28" s="493"/>
      <c r="I28" s="494">
        <f>11800*4</f>
        <v>47200</v>
      </c>
      <c r="J28" s="493"/>
      <c r="K28" s="495"/>
      <c r="L28" s="495"/>
      <c r="M28" s="495"/>
      <c r="N28" s="495"/>
      <c r="O28" s="495"/>
      <c r="P28" s="495"/>
      <c r="Q28" s="495"/>
      <c r="R28" s="495"/>
      <c r="S28" s="495"/>
      <c r="T28" s="495"/>
      <c r="U28" s="495"/>
      <c r="V28" s="495"/>
      <c r="W28" s="495"/>
      <c r="X28" s="495"/>
      <c r="Y28" s="495"/>
      <c r="Z28" s="495"/>
      <c r="AA28" s="495"/>
      <c r="AB28" s="495"/>
      <c r="AC28" s="495"/>
      <c r="AD28" s="495"/>
      <c r="AE28" s="495"/>
      <c r="AF28" s="495"/>
      <c r="AG28" s="495"/>
      <c r="AH28" s="495"/>
      <c r="AI28" s="495"/>
      <c r="AJ28" s="495"/>
      <c r="AK28" s="495"/>
      <c r="AL28" s="495"/>
      <c r="AM28" s="495"/>
      <c r="AN28" s="495"/>
      <c r="AO28" s="495"/>
      <c r="AP28" s="495"/>
      <c r="AQ28" s="495"/>
      <c r="AR28" s="495"/>
      <c r="AS28" s="495"/>
      <c r="AT28" s="495"/>
      <c r="AU28" s="495"/>
      <c r="AV28" s="495"/>
      <c r="AW28" s="495"/>
      <c r="AX28" s="495"/>
      <c r="AY28" s="495"/>
      <c r="AZ28" s="495"/>
      <c r="BA28" s="495"/>
      <c r="BB28" s="495"/>
      <c r="BC28" s="495"/>
      <c r="BD28" s="495"/>
      <c r="BE28" s="495"/>
      <c r="BF28" s="495"/>
      <c r="BG28" s="495"/>
      <c r="BH28" s="495"/>
      <c r="BI28" s="495"/>
      <c r="BJ28" s="495"/>
      <c r="BK28" s="495"/>
      <c r="BL28" s="495"/>
      <c r="BM28" s="495"/>
      <c r="BN28" s="495"/>
      <c r="BO28" s="495"/>
      <c r="BP28" s="495"/>
      <c r="BQ28" s="495"/>
      <c r="BR28" s="495"/>
      <c r="BS28" s="495"/>
      <c r="BT28" s="495"/>
      <c r="BU28" s="495"/>
      <c r="BV28" s="495"/>
      <c r="BW28" s="495"/>
      <c r="BX28" s="495"/>
      <c r="BY28" s="495"/>
      <c r="BZ28" s="495"/>
      <c r="CA28" s="495"/>
      <c r="CB28" s="495"/>
      <c r="CC28" s="495"/>
      <c r="CD28" s="495"/>
      <c r="CE28" s="495"/>
      <c r="CF28" s="495"/>
      <c r="CG28" s="495"/>
      <c r="CH28" s="495"/>
      <c r="CI28" s="495"/>
      <c r="CJ28" s="495"/>
      <c r="CK28" s="495"/>
      <c r="CL28" s="495"/>
      <c r="CM28" s="495"/>
      <c r="CN28" s="495"/>
      <c r="CO28" s="495"/>
      <c r="CP28" s="495"/>
      <c r="CQ28" s="495"/>
      <c r="CR28" s="495"/>
      <c r="CS28" s="495"/>
      <c r="CT28" s="495"/>
      <c r="CU28" s="495"/>
      <c r="CV28" s="495"/>
      <c r="CW28" s="495"/>
      <c r="CX28" s="495"/>
      <c r="CY28" s="495"/>
      <c r="CZ28" s="495"/>
      <c r="DA28" s="495"/>
      <c r="DB28" s="495"/>
      <c r="DC28" s="495"/>
      <c r="DD28" s="495"/>
      <c r="DE28" s="495"/>
      <c r="DF28" s="495"/>
      <c r="DG28" s="495"/>
      <c r="DH28" s="495"/>
      <c r="DI28" s="495"/>
      <c r="DJ28" s="495"/>
      <c r="DK28" s="495"/>
      <c r="DL28" s="495"/>
      <c r="DM28" s="495"/>
      <c r="DN28" s="495"/>
      <c r="DO28" s="495"/>
      <c r="DP28" s="495"/>
      <c r="DQ28" s="495"/>
      <c r="DR28" s="495"/>
      <c r="DS28" s="495"/>
      <c r="DT28" s="495"/>
      <c r="DU28" s="495"/>
      <c r="DV28" s="495"/>
      <c r="DW28" s="495"/>
      <c r="DX28" s="495"/>
      <c r="DY28" s="495"/>
      <c r="DZ28" s="495"/>
      <c r="EA28" s="495"/>
      <c r="EB28" s="495"/>
      <c r="EC28" s="495"/>
      <c r="ED28" s="495"/>
      <c r="EE28" s="495"/>
      <c r="EF28" s="495"/>
      <c r="EG28" s="495"/>
      <c r="EH28" s="495"/>
      <c r="EI28" s="495"/>
      <c r="EJ28" s="495"/>
      <c r="EK28" s="495"/>
      <c r="EL28" s="495"/>
      <c r="EM28" s="495"/>
      <c r="EN28" s="495"/>
      <c r="EO28" s="495"/>
      <c r="EP28" s="495"/>
      <c r="EQ28" s="495"/>
      <c r="ER28" s="495"/>
      <c r="ES28" s="495"/>
      <c r="ET28" s="495"/>
      <c r="EU28" s="495"/>
      <c r="EV28" s="495"/>
      <c r="EW28" s="495"/>
      <c r="EX28" s="495"/>
      <c r="EY28" s="495"/>
      <c r="EZ28" s="495"/>
      <c r="FA28" s="495"/>
      <c r="FB28" s="495"/>
      <c r="FC28" s="495"/>
      <c r="FD28" s="495"/>
      <c r="FE28" s="495"/>
      <c r="FF28" s="495"/>
      <c r="FG28" s="495"/>
      <c r="FH28" s="495"/>
      <c r="FI28" s="495"/>
      <c r="FJ28" s="495"/>
      <c r="FK28" s="495"/>
      <c r="FL28" s="495"/>
      <c r="FM28" s="495"/>
      <c r="FN28" s="495"/>
      <c r="FO28" s="495"/>
      <c r="FP28" s="495"/>
      <c r="FQ28" s="495"/>
      <c r="FR28" s="495"/>
      <c r="FS28" s="495"/>
      <c r="FT28" s="495"/>
      <c r="FU28" s="495"/>
      <c r="FV28" s="495"/>
      <c r="FW28" s="495"/>
      <c r="FX28" s="495"/>
      <c r="FY28" s="495"/>
      <c r="FZ28" s="495"/>
      <c r="GA28" s="495"/>
      <c r="GB28" s="495"/>
      <c r="GC28" s="495"/>
      <c r="GD28" s="495"/>
      <c r="GE28" s="495"/>
      <c r="GF28" s="495"/>
      <c r="GG28" s="495"/>
    </row>
    <row r="29" spans="1:189" s="456" customFormat="1">
      <c r="A29" s="771"/>
      <c r="B29" s="788"/>
      <c r="C29" s="1578" t="e">
        <f>#REF!</f>
        <v>#REF!</v>
      </c>
      <c r="D29" s="527">
        <v>1</v>
      </c>
      <c r="E29" s="527">
        <v>100000000</v>
      </c>
      <c r="F29" s="527">
        <f>+D29*E29</f>
        <v>100000000</v>
      </c>
      <c r="H29" s="493" t="e">
        <f>+F205*0.03</f>
        <v>#REF!</v>
      </c>
      <c r="I29" s="494"/>
      <c r="J29" s="493"/>
      <c r="K29" s="495"/>
      <c r="L29" s="495"/>
      <c r="M29" s="495"/>
      <c r="N29" s="495"/>
      <c r="O29" s="495"/>
      <c r="P29" s="495"/>
      <c r="Q29" s="495"/>
      <c r="R29" s="495"/>
      <c r="S29" s="495"/>
      <c r="T29" s="495"/>
      <c r="U29" s="495"/>
      <c r="V29" s="495"/>
      <c r="W29" s="495"/>
      <c r="X29" s="495"/>
      <c r="Y29" s="495"/>
      <c r="Z29" s="495"/>
      <c r="AA29" s="495"/>
      <c r="AB29" s="495"/>
      <c r="AC29" s="495"/>
      <c r="AD29" s="495"/>
      <c r="AE29" s="495"/>
      <c r="AF29" s="495"/>
      <c r="AG29" s="495"/>
      <c r="AH29" s="495"/>
      <c r="AI29" s="495"/>
      <c r="AJ29" s="495"/>
      <c r="AK29" s="495"/>
      <c r="AL29" s="495"/>
      <c r="AM29" s="495"/>
      <c r="AN29" s="495"/>
      <c r="AO29" s="495"/>
      <c r="AP29" s="495"/>
      <c r="AQ29" s="495"/>
      <c r="AR29" s="495"/>
      <c r="AS29" s="495"/>
      <c r="AT29" s="495"/>
      <c r="AU29" s="495"/>
      <c r="AV29" s="495"/>
      <c r="AW29" s="495"/>
      <c r="AX29" s="495"/>
      <c r="AY29" s="495"/>
      <c r="AZ29" s="495"/>
      <c r="BA29" s="495"/>
      <c r="BB29" s="495"/>
      <c r="BC29" s="495"/>
      <c r="BD29" s="495"/>
      <c r="BE29" s="495"/>
      <c r="BF29" s="495"/>
      <c r="BG29" s="495"/>
      <c r="BH29" s="495"/>
      <c r="BI29" s="495"/>
      <c r="BJ29" s="495"/>
      <c r="BK29" s="495"/>
      <c r="BL29" s="495"/>
      <c r="BM29" s="495"/>
      <c r="BN29" s="495"/>
      <c r="BO29" s="495"/>
      <c r="BP29" s="495"/>
      <c r="BQ29" s="495"/>
      <c r="BR29" s="495"/>
      <c r="BS29" s="495"/>
      <c r="BT29" s="495"/>
      <c r="BU29" s="495"/>
      <c r="BV29" s="495"/>
      <c r="BW29" s="495"/>
      <c r="BX29" s="495"/>
      <c r="BY29" s="495"/>
      <c r="BZ29" s="495"/>
      <c r="CA29" s="495"/>
      <c r="CB29" s="495"/>
      <c r="CC29" s="495"/>
      <c r="CD29" s="495"/>
      <c r="CE29" s="495"/>
      <c r="CF29" s="495"/>
      <c r="CG29" s="495"/>
      <c r="CH29" s="495"/>
      <c r="CI29" s="495"/>
      <c r="CJ29" s="495"/>
      <c r="CK29" s="495"/>
      <c r="CL29" s="495"/>
      <c r="CM29" s="495"/>
      <c r="CN29" s="495"/>
      <c r="CO29" s="495"/>
      <c r="CP29" s="495"/>
      <c r="CQ29" s="495"/>
      <c r="CR29" s="495"/>
      <c r="CS29" s="495"/>
      <c r="CT29" s="495"/>
      <c r="CU29" s="495"/>
      <c r="CV29" s="495"/>
      <c r="CW29" s="495"/>
      <c r="CX29" s="495"/>
      <c r="CY29" s="495"/>
      <c r="CZ29" s="495"/>
      <c r="DA29" s="495"/>
      <c r="DB29" s="495"/>
      <c r="DC29" s="495"/>
      <c r="DD29" s="495"/>
      <c r="DE29" s="495"/>
      <c r="DF29" s="495"/>
      <c r="DG29" s="495"/>
      <c r="DH29" s="495"/>
      <c r="DI29" s="495"/>
      <c r="DJ29" s="495"/>
      <c r="DK29" s="495"/>
      <c r="DL29" s="495"/>
      <c r="DM29" s="495"/>
      <c r="DN29" s="495"/>
      <c r="DO29" s="495"/>
      <c r="DP29" s="495"/>
      <c r="DQ29" s="495"/>
      <c r="DR29" s="495"/>
      <c r="DS29" s="495"/>
      <c r="DT29" s="495"/>
      <c r="DU29" s="495"/>
      <c r="DV29" s="495"/>
      <c r="DW29" s="495"/>
      <c r="DX29" s="495"/>
      <c r="DY29" s="495"/>
      <c r="DZ29" s="495"/>
      <c r="EA29" s="495"/>
      <c r="EB29" s="495"/>
      <c r="EC29" s="495"/>
      <c r="ED29" s="495"/>
      <c r="EE29" s="495"/>
      <c r="EF29" s="495"/>
      <c r="EG29" s="495"/>
      <c r="EH29" s="495"/>
      <c r="EI29" s="495"/>
      <c r="EJ29" s="495"/>
      <c r="EK29" s="495"/>
      <c r="EL29" s="495"/>
      <c r="EM29" s="495"/>
      <c r="EN29" s="495"/>
      <c r="EO29" s="495"/>
      <c r="EP29" s="495"/>
      <c r="EQ29" s="495"/>
      <c r="ER29" s="495"/>
      <c r="ES29" s="495"/>
      <c r="ET29" s="495"/>
      <c r="EU29" s="495"/>
      <c r="EV29" s="495"/>
      <c r="EW29" s="495"/>
      <c r="EX29" s="495"/>
      <c r="EY29" s="495"/>
      <c r="EZ29" s="495"/>
      <c r="FA29" s="495"/>
      <c r="FB29" s="495"/>
      <c r="FC29" s="495"/>
      <c r="FD29" s="495"/>
      <c r="FE29" s="495"/>
      <c r="FF29" s="495"/>
      <c r="FG29" s="495"/>
      <c r="FH29" s="495"/>
      <c r="FI29" s="495"/>
      <c r="FJ29" s="495"/>
      <c r="FK29" s="495"/>
      <c r="FL29" s="495"/>
      <c r="FM29" s="495"/>
      <c r="FN29" s="495"/>
      <c r="FO29" s="495"/>
      <c r="FP29" s="495"/>
      <c r="FQ29" s="495"/>
      <c r="FR29" s="495"/>
      <c r="FS29" s="495"/>
      <c r="FT29" s="495"/>
      <c r="FU29" s="495"/>
      <c r="FV29" s="495"/>
      <c r="FW29" s="495"/>
      <c r="FX29" s="495"/>
      <c r="FY29" s="495"/>
      <c r="FZ29" s="495"/>
      <c r="GA29" s="495"/>
      <c r="GB29" s="495"/>
      <c r="GC29" s="495"/>
      <c r="GD29" s="495"/>
      <c r="GE29" s="495"/>
      <c r="GF29" s="495"/>
      <c r="GG29" s="495"/>
    </row>
    <row r="30" spans="1:189" s="538" customFormat="1">
      <c r="A30" s="794" t="e">
        <f>#REF!</f>
        <v>#REF!</v>
      </c>
      <c r="B30" s="782" t="e">
        <f>#REF!</f>
        <v>#REF!</v>
      </c>
      <c r="C30" s="1532"/>
      <c r="D30" s="660"/>
      <c r="E30" s="544"/>
      <c r="F30" s="544"/>
      <c r="H30" s="539"/>
      <c r="I30" s="540"/>
      <c r="J30" s="539"/>
    </row>
    <row r="31" spans="1:189" s="538" customFormat="1">
      <c r="A31" s="771"/>
      <c r="B31" s="795"/>
      <c r="C31" s="1578" t="e">
        <f>#REF!</f>
        <v>#REF!</v>
      </c>
      <c r="D31" s="546">
        <v>1</v>
      </c>
      <c r="E31" s="547">
        <v>250000000</v>
      </c>
      <c r="F31" s="547">
        <f>+D31*E31</f>
        <v>250000000</v>
      </c>
      <c r="H31" s="539" t="e">
        <f>+F203*0.02</f>
        <v>#REF!</v>
      </c>
      <c r="I31" s="540">
        <v>1.05</v>
      </c>
      <c r="J31" s="539" t="e">
        <f t="shared" ref="J31:J33" si="1">H31*I31</f>
        <v>#REF!</v>
      </c>
    </row>
    <row r="32" spans="1:189" s="466" customFormat="1">
      <c r="A32" s="794" t="e">
        <f>#REF!</f>
        <v>#REF!</v>
      </c>
      <c r="B32" s="782" t="e">
        <f>#REF!</f>
        <v>#REF!</v>
      </c>
      <c r="C32" s="1532"/>
      <c r="D32" s="660"/>
      <c r="E32" s="544"/>
      <c r="F32" s="544"/>
      <c r="H32" s="496"/>
      <c r="I32" s="540">
        <v>1.05</v>
      </c>
      <c r="J32" s="539">
        <f t="shared" si="1"/>
        <v>0</v>
      </c>
      <c r="K32" s="498"/>
      <c r="L32" s="498"/>
      <c r="M32" s="498"/>
      <c r="N32" s="498"/>
      <c r="O32" s="498"/>
      <c r="P32" s="498"/>
      <c r="Q32" s="498"/>
      <c r="R32" s="498"/>
      <c r="S32" s="498"/>
      <c r="T32" s="498"/>
      <c r="U32" s="498"/>
      <c r="V32" s="498"/>
      <c r="W32" s="498"/>
      <c r="X32" s="498"/>
      <c r="Y32" s="498"/>
      <c r="Z32" s="498"/>
      <c r="AA32" s="498"/>
      <c r="AB32" s="498"/>
      <c r="AC32" s="498"/>
      <c r="AD32" s="498"/>
      <c r="AE32" s="498"/>
      <c r="AF32" s="498"/>
      <c r="AG32" s="498"/>
      <c r="AH32" s="498"/>
      <c r="AI32" s="498"/>
      <c r="AJ32" s="498"/>
      <c r="AK32" s="498"/>
      <c r="AL32" s="498"/>
      <c r="AM32" s="498"/>
      <c r="AN32" s="498"/>
      <c r="AO32" s="498"/>
      <c r="AP32" s="498"/>
      <c r="AQ32" s="498"/>
      <c r="AR32" s="498"/>
      <c r="AS32" s="498"/>
      <c r="AT32" s="498"/>
      <c r="AU32" s="498"/>
      <c r="AV32" s="498"/>
      <c r="AW32" s="498"/>
      <c r="AX32" s="498"/>
      <c r="AY32" s="498"/>
      <c r="AZ32" s="498"/>
      <c r="BA32" s="498"/>
      <c r="BB32" s="498"/>
      <c r="BC32" s="498"/>
      <c r="BD32" s="498"/>
      <c r="BE32" s="498"/>
      <c r="BF32" s="498"/>
      <c r="BG32" s="498"/>
      <c r="BH32" s="498"/>
      <c r="BI32" s="498"/>
      <c r="BJ32" s="498"/>
      <c r="BK32" s="498"/>
      <c r="BL32" s="498"/>
      <c r="BM32" s="498"/>
      <c r="BN32" s="498"/>
      <c r="BO32" s="498"/>
      <c r="BP32" s="498"/>
      <c r="BQ32" s="498"/>
      <c r="BR32" s="498"/>
      <c r="BS32" s="498"/>
      <c r="BT32" s="498"/>
      <c r="BU32" s="498"/>
      <c r="BV32" s="498"/>
      <c r="BW32" s="498"/>
      <c r="BX32" s="498"/>
      <c r="BY32" s="498"/>
      <c r="BZ32" s="498"/>
      <c r="CA32" s="498"/>
      <c r="CB32" s="498"/>
      <c r="CC32" s="498"/>
      <c r="CD32" s="498"/>
      <c r="CE32" s="498"/>
      <c r="CF32" s="498"/>
      <c r="CG32" s="498"/>
      <c r="CH32" s="498"/>
      <c r="CI32" s="498"/>
      <c r="CJ32" s="498"/>
      <c r="CK32" s="498"/>
      <c r="CL32" s="498"/>
      <c r="CM32" s="498"/>
      <c r="CN32" s="498"/>
      <c r="CO32" s="498"/>
      <c r="CP32" s="498"/>
      <c r="CQ32" s="498"/>
      <c r="CR32" s="498"/>
      <c r="CS32" s="498"/>
      <c r="CT32" s="498"/>
      <c r="CU32" s="498"/>
      <c r="CV32" s="498"/>
      <c r="CW32" s="498"/>
      <c r="CX32" s="498"/>
      <c r="CY32" s="498"/>
      <c r="CZ32" s="498"/>
      <c r="DA32" s="498"/>
      <c r="DB32" s="498"/>
      <c r="DC32" s="498"/>
      <c r="DD32" s="498"/>
      <c r="DE32" s="498"/>
      <c r="DF32" s="498"/>
      <c r="DG32" s="498"/>
      <c r="DH32" s="498"/>
      <c r="DI32" s="498"/>
      <c r="DJ32" s="498"/>
      <c r="DK32" s="498"/>
      <c r="DL32" s="498"/>
      <c r="DM32" s="498"/>
      <c r="DN32" s="498"/>
      <c r="DO32" s="498"/>
      <c r="DP32" s="498"/>
      <c r="DQ32" s="498"/>
      <c r="DR32" s="498"/>
      <c r="DS32" s="498"/>
      <c r="DT32" s="498"/>
      <c r="DU32" s="498"/>
      <c r="DV32" s="498"/>
      <c r="DW32" s="498"/>
      <c r="DX32" s="498"/>
      <c r="DY32" s="498"/>
      <c r="DZ32" s="498"/>
      <c r="EA32" s="498"/>
      <c r="EB32" s="498"/>
      <c r="EC32" s="498"/>
      <c r="ED32" s="498"/>
      <c r="EE32" s="498"/>
      <c r="EF32" s="498"/>
      <c r="EG32" s="498"/>
      <c r="EH32" s="498"/>
      <c r="EI32" s="498"/>
      <c r="EJ32" s="498"/>
      <c r="EK32" s="498"/>
      <c r="EL32" s="498"/>
      <c r="EM32" s="498"/>
      <c r="EN32" s="498"/>
      <c r="EO32" s="498"/>
      <c r="EP32" s="498"/>
      <c r="EQ32" s="498"/>
      <c r="ER32" s="498"/>
      <c r="ES32" s="498"/>
      <c r="ET32" s="498"/>
      <c r="EU32" s="498"/>
      <c r="EV32" s="498"/>
      <c r="EW32" s="498"/>
      <c r="EX32" s="498"/>
      <c r="EY32" s="498"/>
      <c r="EZ32" s="498"/>
      <c r="FA32" s="498"/>
      <c r="FB32" s="498"/>
      <c r="FC32" s="498"/>
      <c r="FD32" s="498"/>
      <c r="FE32" s="498"/>
      <c r="FF32" s="498"/>
      <c r="FG32" s="498"/>
      <c r="FH32" s="498"/>
      <c r="FI32" s="498"/>
      <c r="FJ32" s="498"/>
      <c r="FK32" s="498"/>
      <c r="FL32" s="498"/>
      <c r="FM32" s="498"/>
      <c r="FN32" s="498"/>
      <c r="FO32" s="498"/>
      <c r="FP32" s="498"/>
      <c r="FQ32" s="498"/>
      <c r="FR32" s="498"/>
      <c r="FS32" s="498"/>
      <c r="FT32" s="498"/>
      <c r="FU32" s="498"/>
      <c r="FV32" s="498"/>
      <c r="FW32" s="498"/>
      <c r="FX32" s="498"/>
      <c r="FY32" s="498"/>
      <c r="FZ32" s="498"/>
      <c r="GA32" s="498"/>
      <c r="GB32" s="498"/>
      <c r="GC32" s="498"/>
      <c r="GD32" s="498"/>
      <c r="GE32" s="498"/>
      <c r="GF32" s="498"/>
      <c r="GG32" s="498"/>
    </row>
    <row r="33" spans="1:189" s="456" customFormat="1">
      <c r="A33" s="771"/>
      <c r="B33" s="795"/>
      <c r="C33" s="1578" t="e">
        <f>#REF!</f>
        <v>#REF!</v>
      </c>
      <c r="D33" s="546">
        <v>1</v>
      </c>
      <c r="E33" s="547">
        <v>75000000</v>
      </c>
      <c r="F33" s="547">
        <f>+D33*E33</f>
        <v>75000000</v>
      </c>
      <c r="H33" s="493"/>
      <c r="I33" s="540">
        <v>1.05</v>
      </c>
      <c r="J33" s="539">
        <f t="shared" si="1"/>
        <v>0</v>
      </c>
      <c r="K33" s="495"/>
      <c r="L33" s="495"/>
      <c r="M33" s="495"/>
      <c r="N33" s="495"/>
      <c r="O33" s="495"/>
      <c r="P33" s="495"/>
      <c r="Q33" s="495"/>
      <c r="R33" s="495"/>
      <c r="S33" s="495"/>
      <c r="T33" s="495"/>
      <c r="U33" s="495"/>
      <c r="V33" s="495"/>
      <c r="W33" s="495"/>
      <c r="X33" s="495"/>
      <c r="Y33" s="495"/>
      <c r="Z33" s="495"/>
      <c r="AA33" s="495"/>
      <c r="AB33" s="495"/>
      <c r="AC33" s="495"/>
      <c r="AD33" s="495"/>
      <c r="AE33" s="495"/>
      <c r="AF33" s="495"/>
      <c r="AG33" s="495"/>
      <c r="AH33" s="495"/>
      <c r="AI33" s="495"/>
      <c r="AJ33" s="495"/>
      <c r="AK33" s="495"/>
      <c r="AL33" s="495"/>
      <c r="AM33" s="495"/>
      <c r="AN33" s="495"/>
      <c r="AO33" s="495"/>
      <c r="AP33" s="495"/>
      <c r="AQ33" s="495"/>
      <c r="AR33" s="495"/>
      <c r="AS33" s="495"/>
      <c r="AT33" s="495"/>
      <c r="AU33" s="495"/>
      <c r="AV33" s="495"/>
      <c r="AW33" s="495"/>
      <c r="AX33" s="495"/>
      <c r="AY33" s="495"/>
      <c r="AZ33" s="495"/>
      <c r="BA33" s="495"/>
      <c r="BB33" s="495"/>
      <c r="BC33" s="495"/>
      <c r="BD33" s="495"/>
      <c r="BE33" s="495"/>
      <c r="BF33" s="495"/>
      <c r="BG33" s="495"/>
      <c r="BH33" s="495"/>
      <c r="BI33" s="495"/>
      <c r="BJ33" s="495"/>
      <c r="BK33" s="495"/>
      <c r="BL33" s="495"/>
      <c r="BM33" s="495"/>
      <c r="BN33" s="495"/>
      <c r="BO33" s="495"/>
      <c r="BP33" s="495"/>
      <c r="BQ33" s="495"/>
      <c r="BR33" s="495"/>
      <c r="BS33" s="495"/>
      <c r="BT33" s="495"/>
      <c r="BU33" s="495"/>
      <c r="BV33" s="495"/>
      <c r="BW33" s="495"/>
      <c r="BX33" s="495"/>
      <c r="BY33" s="495"/>
      <c r="BZ33" s="495"/>
      <c r="CA33" s="495"/>
      <c r="CB33" s="495"/>
      <c r="CC33" s="495"/>
      <c r="CD33" s="495"/>
      <c r="CE33" s="495"/>
      <c r="CF33" s="495"/>
      <c r="CG33" s="495"/>
      <c r="CH33" s="495"/>
      <c r="CI33" s="495"/>
      <c r="CJ33" s="495"/>
      <c r="CK33" s="495"/>
      <c r="CL33" s="495"/>
      <c r="CM33" s="495"/>
      <c r="CN33" s="495"/>
      <c r="CO33" s="495"/>
      <c r="CP33" s="495"/>
      <c r="CQ33" s="495"/>
      <c r="CR33" s="495"/>
      <c r="CS33" s="495"/>
      <c r="CT33" s="495"/>
      <c r="CU33" s="495"/>
      <c r="CV33" s="495"/>
      <c r="CW33" s="495"/>
      <c r="CX33" s="495"/>
      <c r="CY33" s="495"/>
      <c r="CZ33" s="495"/>
      <c r="DA33" s="495"/>
      <c r="DB33" s="495"/>
      <c r="DC33" s="495"/>
      <c r="DD33" s="495"/>
      <c r="DE33" s="495"/>
      <c r="DF33" s="495"/>
      <c r="DG33" s="495"/>
      <c r="DH33" s="495"/>
      <c r="DI33" s="495"/>
      <c r="DJ33" s="495"/>
      <c r="DK33" s="495"/>
      <c r="DL33" s="495"/>
      <c r="DM33" s="495"/>
      <c r="DN33" s="495"/>
      <c r="DO33" s="495"/>
      <c r="DP33" s="495"/>
      <c r="DQ33" s="495"/>
      <c r="DR33" s="495"/>
      <c r="DS33" s="495"/>
      <c r="DT33" s="495"/>
      <c r="DU33" s="495"/>
      <c r="DV33" s="495"/>
      <c r="DW33" s="495"/>
      <c r="DX33" s="495"/>
      <c r="DY33" s="495"/>
      <c r="DZ33" s="495"/>
      <c r="EA33" s="495"/>
      <c r="EB33" s="495"/>
      <c r="EC33" s="495"/>
      <c r="ED33" s="495"/>
      <c r="EE33" s="495"/>
      <c r="EF33" s="495"/>
      <c r="EG33" s="495"/>
      <c r="EH33" s="495"/>
      <c r="EI33" s="495"/>
      <c r="EJ33" s="495"/>
      <c r="EK33" s="495"/>
      <c r="EL33" s="495"/>
      <c r="EM33" s="495"/>
      <c r="EN33" s="495"/>
      <c r="EO33" s="495"/>
      <c r="EP33" s="495"/>
      <c r="EQ33" s="495"/>
      <c r="ER33" s="495"/>
      <c r="ES33" s="495"/>
      <c r="ET33" s="495"/>
      <c r="EU33" s="495"/>
      <c r="EV33" s="495"/>
      <c r="EW33" s="495"/>
      <c r="EX33" s="495"/>
      <c r="EY33" s="495"/>
      <c r="EZ33" s="495"/>
      <c r="FA33" s="495"/>
      <c r="FB33" s="495"/>
      <c r="FC33" s="495"/>
      <c r="FD33" s="495"/>
      <c r="FE33" s="495"/>
      <c r="FF33" s="495"/>
      <c r="FG33" s="495"/>
      <c r="FH33" s="495"/>
      <c r="FI33" s="495"/>
      <c r="FJ33" s="495"/>
      <c r="FK33" s="495"/>
      <c r="FL33" s="495"/>
      <c r="FM33" s="495"/>
      <c r="FN33" s="495"/>
      <c r="FO33" s="495"/>
      <c r="FP33" s="495"/>
      <c r="FQ33" s="495"/>
      <c r="FR33" s="495"/>
      <c r="FS33" s="495"/>
      <c r="FT33" s="495"/>
      <c r="FU33" s="495"/>
      <c r="FV33" s="495"/>
      <c r="FW33" s="495"/>
      <c r="FX33" s="495"/>
      <c r="FY33" s="495"/>
      <c r="FZ33" s="495"/>
      <c r="GA33" s="495"/>
      <c r="GB33" s="495"/>
      <c r="GC33" s="495"/>
      <c r="GD33" s="495"/>
      <c r="GE33" s="495"/>
      <c r="GF33" s="495"/>
      <c r="GG33" s="495"/>
    </row>
    <row r="34" spans="1:189" s="462" customFormat="1">
      <c r="A34" s="745" t="e">
        <f>+#REF!</f>
        <v>#REF!</v>
      </c>
      <c r="B34" s="768" t="e">
        <f>+#REF!</f>
        <v>#REF!</v>
      </c>
      <c r="C34" s="743"/>
      <c r="D34" s="544"/>
      <c r="E34" s="544"/>
      <c r="F34" s="650"/>
      <c r="H34" s="792"/>
      <c r="I34" s="793"/>
      <c r="J34" s="792"/>
    </row>
    <row r="35" spans="1:189" s="462" customFormat="1">
      <c r="A35" s="774"/>
      <c r="B35" s="795"/>
      <c r="C35" s="1578" t="e">
        <f>#REF!</f>
        <v>#REF!</v>
      </c>
      <c r="D35" s="547"/>
      <c r="E35" s="547">
        <v>0</v>
      </c>
      <c r="F35" s="547">
        <f>+D35*E35</f>
        <v>0</v>
      </c>
      <c r="H35" s="792">
        <f>F17*10%</f>
        <v>605.5</v>
      </c>
      <c r="I35" s="793">
        <f>1.05</f>
        <v>1.05</v>
      </c>
      <c r="J35" s="792">
        <f>H35*I35</f>
        <v>635.77499999999998</v>
      </c>
    </row>
    <row r="36" spans="1:189" s="456" customFormat="1">
      <c r="A36" s="745" t="e">
        <f>#REF!</f>
        <v>#REF!</v>
      </c>
      <c r="B36" s="768" t="e">
        <f>#REF!</f>
        <v>#REF!</v>
      </c>
      <c r="C36" s="1532"/>
      <c r="D36" s="660"/>
      <c r="E36" s="544"/>
      <c r="F36" s="544"/>
      <c r="H36" s="493"/>
      <c r="I36" s="494"/>
      <c r="J36" s="493"/>
      <c r="K36" s="495"/>
      <c r="L36" s="495"/>
      <c r="M36" s="495"/>
      <c r="N36" s="495"/>
      <c r="O36" s="495"/>
      <c r="P36" s="495"/>
      <c r="Q36" s="495"/>
      <c r="R36" s="495"/>
      <c r="S36" s="495"/>
      <c r="T36" s="495"/>
      <c r="U36" s="495"/>
      <c r="V36" s="495"/>
      <c r="W36" s="495"/>
      <c r="X36" s="495"/>
      <c r="Y36" s="495"/>
      <c r="Z36" s="495"/>
      <c r="AA36" s="495"/>
      <c r="AB36" s="495"/>
      <c r="AC36" s="495"/>
      <c r="AD36" s="495"/>
      <c r="AE36" s="495"/>
      <c r="AF36" s="495"/>
      <c r="AG36" s="495"/>
      <c r="AH36" s="495"/>
      <c r="AI36" s="495"/>
      <c r="AJ36" s="495"/>
      <c r="AK36" s="495"/>
      <c r="AL36" s="495"/>
      <c r="AM36" s="495"/>
      <c r="AN36" s="495"/>
      <c r="AO36" s="495"/>
      <c r="AP36" s="495"/>
      <c r="AQ36" s="495"/>
      <c r="AR36" s="495"/>
      <c r="AS36" s="495"/>
      <c r="AT36" s="495"/>
      <c r="AU36" s="495"/>
      <c r="AV36" s="495"/>
      <c r="AW36" s="495"/>
      <c r="AX36" s="495"/>
      <c r="AY36" s="495"/>
      <c r="AZ36" s="495"/>
      <c r="BA36" s="495"/>
      <c r="BB36" s="495"/>
      <c r="BC36" s="495"/>
      <c r="BD36" s="495"/>
      <c r="BE36" s="495"/>
      <c r="BF36" s="495"/>
      <c r="BG36" s="495"/>
      <c r="BH36" s="495"/>
      <c r="BI36" s="495"/>
      <c r="BJ36" s="495"/>
      <c r="BK36" s="495"/>
      <c r="BL36" s="495"/>
      <c r="BM36" s="495"/>
      <c r="BN36" s="495"/>
      <c r="BO36" s="495"/>
      <c r="BP36" s="495"/>
      <c r="BQ36" s="495"/>
      <c r="BR36" s="495"/>
      <c r="BS36" s="495"/>
      <c r="BT36" s="495"/>
      <c r="BU36" s="495"/>
      <c r="BV36" s="495"/>
      <c r="BW36" s="495"/>
      <c r="BX36" s="495"/>
      <c r="BY36" s="495"/>
      <c r="BZ36" s="495"/>
      <c r="CA36" s="495"/>
      <c r="CB36" s="495"/>
      <c r="CC36" s="495"/>
      <c r="CD36" s="495"/>
      <c r="CE36" s="495"/>
      <c r="CF36" s="495"/>
      <c r="CG36" s="495"/>
      <c r="CH36" s="495"/>
      <c r="CI36" s="495"/>
      <c r="CJ36" s="495"/>
      <c r="CK36" s="495"/>
      <c r="CL36" s="495"/>
      <c r="CM36" s="495"/>
      <c r="CN36" s="495"/>
      <c r="CO36" s="495"/>
      <c r="CP36" s="495"/>
      <c r="CQ36" s="495"/>
      <c r="CR36" s="495"/>
      <c r="CS36" s="495"/>
      <c r="CT36" s="495"/>
      <c r="CU36" s="495"/>
      <c r="CV36" s="495"/>
      <c r="CW36" s="495"/>
      <c r="CX36" s="495"/>
      <c r="CY36" s="495"/>
      <c r="CZ36" s="495"/>
      <c r="DA36" s="495"/>
      <c r="DB36" s="495"/>
      <c r="DC36" s="495"/>
      <c r="DD36" s="495"/>
      <c r="DE36" s="495"/>
      <c r="DF36" s="495"/>
      <c r="DG36" s="495"/>
      <c r="DH36" s="495"/>
      <c r="DI36" s="495"/>
      <c r="DJ36" s="495"/>
      <c r="DK36" s="495"/>
      <c r="DL36" s="495"/>
      <c r="DM36" s="495"/>
      <c r="DN36" s="495"/>
      <c r="DO36" s="495"/>
      <c r="DP36" s="495"/>
      <c r="DQ36" s="495"/>
      <c r="DR36" s="495"/>
      <c r="DS36" s="495"/>
      <c r="DT36" s="495"/>
      <c r="DU36" s="495"/>
      <c r="DV36" s="495"/>
      <c r="DW36" s="495"/>
      <c r="DX36" s="495"/>
      <c r="DY36" s="495"/>
      <c r="DZ36" s="495"/>
      <c r="EA36" s="495"/>
      <c r="EB36" s="495"/>
      <c r="EC36" s="495"/>
      <c r="ED36" s="495"/>
      <c r="EE36" s="495"/>
      <c r="EF36" s="495"/>
      <c r="EG36" s="495"/>
      <c r="EH36" s="495"/>
      <c r="EI36" s="495"/>
      <c r="EJ36" s="495"/>
      <c r="EK36" s="495"/>
      <c r="EL36" s="495"/>
      <c r="EM36" s="495"/>
      <c r="EN36" s="495"/>
      <c r="EO36" s="495"/>
      <c r="EP36" s="495"/>
      <c r="EQ36" s="495"/>
      <c r="ER36" s="495"/>
      <c r="ES36" s="495"/>
      <c r="ET36" s="495"/>
      <c r="EU36" s="495"/>
      <c r="EV36" s="495"/>
      <c r="EW36" s="495"/>
      <c r="EX36" s="495"/>
      <c r="EY36" s="495"/>
      <c r="EZ36" s="495"/>
      <c r="FA36" s="495"/>
      <c r="FB36" s="495"/>
      <c r="FC36" s="495"/>
      <c r="FD36" s="495"/>
      <c r="FE36" s="495"/>
      <c r="FF36" s="495"/>
      <c r="FG36" s="495"/>
      <c r="FH36" s="495"/>
      <c r="FI36" s="495"/>
      <c r="FJ36" s="495"/>
      <c r="FK36" s="495"/>
      <c r="FL36" s="495"/>
      <c r="FM36" s="495"/>
      <c r="FN36" s="495"/>
      <c r="FO36" s="495"/>
      <c r="FP36" s="495"/>
      <c r="FQ36" s="495"/>
      <c r="FR36" s="495"/>
      <c r="FS36" s="495"/>
      <c r="FT36" s="495"/>
      <c r="FU36" s="495"/>
      <c r="FV36" s="495"/>
      <c r="FW36" s="495"/>
      <c r="FX36" s="495"/>
      <c r="FY36" s="495"/>
      <c r="FZ36" s="495"/>
      <c r="GA36" s="495"/>
      <c r="GB36" s="495"/>
      <c r="GC36" s="495"/>
      <c r="GD36" s="495"/>
      <c r="GE36" s="495"/>
      <c r="GF36" s="495"/>
      <c r="GG36" s="495"/>
    </row>
    <row r="37" spans="1:189" s="456" customFormat="1">
      <c r="A37" s="774"/>
      <c r="B37" s="795"/>
      <c r="C37" s="1578" t="e">
        <f>#REF!</f>
        <v>#REF!</v>
      </c>
      <c r="D37" s="1681">
        <v>0.2</v>
      </c>
      <c r="E37" s="547">
        <f>+(E29+E31+E33+E35)</f>
        <v>425000000</v>
      </c>
      <c r="F37" s="547">
        <f>+D37*E37</f>
        <v>85000000</v>
      </c>
      <c r="H37" s="493"/>
      <c r="I37" s="494"/>
      <c r="J37" s="493"/>
      <c r="K37" s="495"/>
      <c r="L37" s="495"/>
      <c r="M37" s="495"/>
      <c r="N37" s="495"/>
      <c r="O37" s="495"/>
      <c r="P37" s="495"/>
      <c r="Q37" s="495"/>
      <c r="R37" s="495"/>
      <c r="S37" s="495"/>
      <c r="T37" s="495"/>
      <c r="U37" s="495"/>
      <c r="V37" s="495"/>
      <c r="W37" s="495"/>
      <c r="X37" s="495"/>
      <c r="Y37" s="495"/>
      <c r="Z37" s="495"/>
      <c r="AA37" s="495"/>
      <c r="AB37" s="495"/>
      <c r="AC37" s="495"/>
      <c r="AD37" s="495"/>
      <c r="AE37" s="495"/>
      <c r="AF37" s="495"/>
      <c r="AG37" s="495"/>
      <c r="AH37" s="495"/>
      <c r="AI37" s="495"/>
      <c r="AJ37" s="495"/>
      <c r="AK37" s="495"/>
      <c r="AL37" s="495"/>
      <c r="AM37" s="495"/>
      <c r="AN37" s="495"/>
      <c r="AO37" s="495"/>
      <c r="AP37" s="495"/>
      <c r="AQ37" s="495"/>
      <c r="AR37" s="495"/>
      <c r="AS37" s="495"/>
      <c r="AT37" s="495"/>
      <c r="AU37" s="495"/>
      <c r="AV37" s="495"/>
      <c r="AW37" s="495"/>
      <c r="AX37" s="495"/>
      <c r="AY37" s="495"/>
      <c r="AZ37" s="495"/>
      <c r="BA37" s="495"/>
      <c r="BB37" s="495"/>
      <c r="BC37" s="495"/>
      <c r="BD37" s="495"/>
      <c r="BE37" s="495"/>
      <c r="BF37" s="495"/>
      <c r="BG37" s="495"/>
      <c r="BH37" s="495"/>
      <c r="BI37" s="495"/>
      <c r="BJ37" s="495"/>
      <c r="BK37" s="495"/>
      <c r="BL37" s="495"/>
      <c r="BM37" s="495"/>
      <c r="BN37" s="495"/>
      <c r="BO37" s="495"/>
      <c r="BP37" s="495"/>
      <c r="BQ37" s="495"/>
      <c r="BR37" s="495"/>
      <c r="BS37" s="495"/>
      <c r="BT37" s="495"/>
      <c r="BU37" s="495"/>
      <c r="BV37" s="495"/>
      <c r="BW37" s="495"/>
      <c r="BX37" s="495"/>
      <c r="BY37" s="495"/>
      <c r="BZ37" s="495"/>
      <c r="CA37" s="495"/>
      <c r="CB37" s="495"/>
      <c r="CC37" s="495"/>
      <c r="CD37" s="495"/>
      <c r="CE37" s="495"/>
      <c r="CF37" s="495"/>
      <c r="CG37" s="495"/>
      <c r="CH37" s="495"/>
      <c r="CI37" s="495"/>
      <c r="CJ37" s="495"/>
      <c r="CK37" s="495"/>
      <c r="CL37" s="495"/>
      <c r="CM37" s="495"/>
      <c r="CN37" s="495"/>
      <c r="CO37" s="495"/>
      <c r="CP37" s="495"/>
      <c r="CQ37" s="495"/>
      <c r="CR37" s="495"/>
      <c r="CS37" s="495"/>
      <c r="CT37" s="495"/>
      <c r="CU37" s="495"/>
      <c r="CV37" s="495"/>
      <c r="CW37" s="495"/>
      <c r="CX37" s="495"/>
      <c r="CY37" s="495"/>
      <c r="CZ37" s="495"/>
      <c r="DA37" s="495"/>
      <c r="DB37" s="495"/>
      <c r="DC37" s="495"/>
      <c r="DD37" s="495"/>
      <c r="DE37" s="495"/>
      <c r="DF37" s="495"/>
      <c r="DG37" s="495"/>
      <c r="DH37" s="495"/>
      <c r="DI37" s="495"/>
      <c r="DJ37" s="495"/>
      <c r="DK37" s="495"/>
      <c r="DL37" s="495"/>
      <c r="DM37" s="495"/>
      <c r="DN37" s="495"/>
      <c r="DO37" s="495"/>
      <c r="DP37" s="495"/>
      <c r="DQ37" s="495"/>
      <c r="DR37" s="495"/>
      <c r="DS37" s="495"/>
      <c r="DT37" s="495"/>
      <c r="DU37" s="495"/>
      <c r="DV37" s="495"/>
      <c r="DW37" s="495"/>
      <c r="DX37" s="495"/>
      <c r="DY37" s="495"/>
      <c r="DZ37" s="495"/>
      <c r="EA37" s="495"/>
      <c r="EB37" s="495"/>
      <c r="EC37" s="495"/>
      <c r="ED37" s="495"/>
      <c r="EE37" s="495"/>
      <c r="EF37" s="495"/>
      <c r="EG37" s="495"/>
      <c r="EH37" s="495"/>
      <c r="EI37" s="495"/>
      <c r="EJ37" s="495"/>
      <c r="EK37" s="495"/>
      <c r="EL37" s="495"/>
      <c r="EM37" s="495"/>
      <c r="EN37" s="495"/>
      <c r="EO37" s="495"/>
      <c r="EP37" s="495"/>
      <c r="EQ37" s="495"/>
      <c r="ER37" s="495"/>
      <c r="ES37" s="495"/>
      <c r="ET37" s="495"/>
      <c r="EU37" s="495"/>
      <c r="EV37" s="495"/>
      <c r="EW37" s="495"/>
      <c r="EX37" s="495"/>
      <c r="EY37" s="495"/>
      <c r="EZ37" s="495"/>
      <c r="FA37" s="495"/>
      <c r="FB37" s="495"/>
      <c r="FC37" s="495"/>
      <c r="FD37" s="495"/>
      <c r="FE37" s="495"/>
      <c r="FF37" s="495"/>
      <c r="FG37" s="495"/>
      <c r="FH37" s="495"/>
      <c r="FI37" s="495"/>
      <c r="FJ37" s="495"/>
      <c r="FK37" s="495"/>
      <c r="FL37" s="495"/>
      <c r="FM37" s="495"/>
      <c r="FN37" s="495"/>
      <c r="FO37" s="495"/>
      <c r="FP37" s="495"/>
      <c r="FQ37" s="495"/>
      <c r="FR37" s="495"/>
      <c r="FS37" s="495"/>
      <c r="FT37" s="495"/>
      <c r="FU37" s="495"/>
      <c r="FV37" s="495"/>
      <c r="FW37" s="495"/>
      <c r="FX37" s="495"/>
      <c r="FY37" s="495"/>
      <c r="FZ37" s="495"/>
      <c r="GA37" s="495"/>
      <c r="GB37" s="495"/>
      <c r="GC37" s="495"/>
      <c r="GD37" s="495"/>
      <c r="GE37" s="495"/>
      <c r="GF37" s="495"/>
      <c r="GG37" s="495"/>
    </row>
    <row r="38" spans="1:189" s="456" customFormat="1">
      <c r="A38" s="745" t="e">
        <f>#REF!</f>
        <v>#REF!</v>
      </c>
      <c r="B38" s="768" t="e">
        <f>#REF!</f>
        <v>#REF!</v>
      </c>
      <c r="C38" s="1479"/>
      <c r="D38" s="548"/>
      <c r="E38" s="544"/>
      <c r="F38" s="544"/>
      <c r="H38" s="493"/>
      <c r="I38" s="494"/>
      <c r="J38" s="493"/>
      <c r="K38" s="495"/>
      <c r="L38" s="495"/>
      <c r="M38" s="495"/>
      <c r="N38" s="495"/>
      <c r="O38" s="495"/>
      <c r="P38" s="495"/>
      <c r="Q38" s="495"/>
      <c r="R38" s="495"/>
      <c r="S38" s="495"/>
      <c r="T38" s="495"/>
      <c r="U38" s="495"/>
      <c r="V38" s="495"/>
      <c r="W38" s="495"/>
      <c r="X38" s="495"/>
      <c r="Y38" s="495"/>
      <c r="Z38" s="495"/>
      <c r="AA38" s="495"/>
      <c r="AB38" s="495"/>
      <c r="AC38" s="495"/>
      <c r="AD38" s="495"/>
      <c r="AE38" s="495"/>
      <c r="AF38" s="495"/>
      <c r="AG38" s="495"/>
      <c r="AH38" s="495"/>
      <c r="AI38" s="495"/>
      <c r="AJ38" s="495"/>
      <c r="AK38" s="495"/>
      <c r="AL38" s="495"/>
      <c r="AM38" s="495"/>
      <c r="AN38" s="495"/>
      <c r="AO38" s="495"/>
      <c r="AP38" s="495"/>
      <c r="AQ38" s="495"/>
      <c r="AR38" s="495"/>
      <c r="AS38" s="495"/>
      <c r="AT38" s="495"/>
      <c r="AU38" s="495"/>
      <c r="AV38" s="495"/>
      <c r="AW38" s="495"/>
      <c r="AX38" s="495"/>
      <c r="AY38" s="495"/>
      <c r="AZ38" s="495"/>
      <c r="BA38" s="495"/>
      <c r="BB38" s="495"/>
      <c r="BC38" s="495"/>
      <c r="BD38" s="495"/>
      <c r="BE38" s="495"/>
      <c r="BF38" s="495"/>
      <c r="BG38" s="495"/>
      <c r="BH38" s="495"/>
      <c r="BI38" s="495"/>
      <c r="BJ38" s="495"/>
      <c r="BK38" s="495"/>
      <c r="BL38" s="495"/>
      <c r="BM38" s="495"/>
      <c r="BN38" s="495"/>
      <c r="BO38" s="495"/>
      <c r="BP38" s="495"/>
      <c r="BQ38" s="495"/>
      <c r="BR38" s="495"/>
      <c r="BS38" s="495"/>
      <c r="BT38" s="495"/>
      <c r="BU38" s="495"/>
      <c r="BV38" s="495"/>
      <c r="BW38" s="495"/>
      <c r="BX38" s="495"/>
      <c r="BY38" s="495"/>
      <c r="BZ38" s="495"/>
      <c r="CA38" s="495"/>
      <c r="CB38" s="495"/>
      <c r="CC38" s="495"/>
      <c r="CD38" s="495"/>
      <c r="CE38" s="495"/>
      <c r="CF38" s="495"/>
      <c r="CG38" s="495"/>
      <c r="CH38" s="495"/>
      <c r="CI38" s="495"/>
      <c r="CJ38" s="495"/>
      <c r="CK38" s="495"/>
      <c r="CL38" s="495"/>
      <c r="CM38" s="495"/>
      <c r="CN38" s="495"/>
      <c r="CO38" s="495"/>
      <c r="CP38" s="495"/>
      <c r="CQ38" s="495"/>
      <c r="CR38" s="495"/>
      <c r="CS38" s="495"/>
      <c r="CT38" s="495"/>
      <c r="CU38" s="495"/>
      <c r="CV38" s="495"/>
      <c r="CW38" s="495"/>
      <c r="CX38" s="495"/>
      <c r="CY38" s="495"/>
      <c r="CZ38" s="495"/>
      <c r="DA38" s="495"/>
      <c r="DB38" s="495"/>
      <c r="DC38" s="495"/>
      <c r="DD38" s="495"/>
      <c r="DE38" s="495"/>
      <c r="DF38" s="495"/>
      <c r="DG38" s="495"/>
      <c r="DH38" s="495"/>
      <c r="DI38" s="495"/>
      <c r="DJ38" s="495"/>
      <c r="DK38" s="495"/>
      <c r="DL38" s="495"/>
      <c r="DM38" s="495"/>
      <c r="DN38" s="495"/>
      <c r="DO38" s="495"/>
      <c r="DP38" s="495"/>
      <c r="DQ38" s="495"/>
      <c r="DR38" s="495"/>
      <c r="DS38" s="495"/>
      <c r="DT38" s="495"/>
      <c r="DU38" s="495"/>
      <c r="DV38" s="495"/>
      <c r="DW38" s="495"/>
      <c r="DX38" s="495"/>
      <c r="DY38" s="495"/>
      <c r="DZ38" s="495"/>
      <c r="EA38" s="495"/>
      <c r="EB38" s="495"/>
      <c r="EC38" s="495"/>
      <c r="ED38" s="495"/>
      <c r="EE38" s="495"/>
      <c r="EF38" s="495"/>
      <c r="EG38" s="495"/>
      <c r="EH38" s="495"/>
      <c r="EI38" s="495"/>
      <c r="EJ38" s="495"/>
      <c r="EK38" s="495"/>
      <c r="EL38" s="495"/>
      <c r="EM38" s="495"/>
      <c r="EN38" s="495"/>
      <c r="EO38" s="495"/>
      <c r="EP38" s="495"/>
      <c r="EQ38" s="495"/>
      <c r="ER38" s="495"/>
      <c r="ES38" s="495"/>
      <c r="ET38" s="495"/>
      <c r="EU38" s="495"/>
      <c r="EV38" s="495"/>
      <c r="EW38" s="495"/>
      <c r="EX38" s="495"/>
      <c r="EY38" s="495"/>
      <c r="EZ38" s="495"/>
      <c r="FA38" s="495"/>
      <c r="FB38" s="495"/>
      <c r="FC38" s="495"/>
      <c r="FD38" s="495"/>
      <c r="FE38" s="495"/>
      <c r="FF38" s="495"/>
      <c r="FG38" s="495"/>
      <c r="FH38" s="495"/>
      <c r="FI38" s="495"/>
      <c r="FJ38" s="495"/>
      <c r="FK38" s="495"/>
      <c r="FL38" s="495"/>
      <c r="FM38" s="495"/>
      <c r="FN38" s="495"/>
      <c r="FO38" s="495"/>
      <c r="FP38" s="495"/>
      <c r="FQ38" s="495"/>
      <c r="FR38" s="495"/>
      <c r="FS38" s="495"/>
      <c r="FT38" s="495"/>
      <c r="FU38" s="495"/>
      <c r="FV38" s="495"/>
      <c r="FW38" s="495"/>
      <c r="FX38" s="495"/>
      <c r="FY38" s="495"/>
      <c r="FZ38" s="495"/>
      <c r="GA38" s="495"/>
      <c r="GB38" s="495"/>
      <c r="GC38" s="495"/>
      <c r="GD38" s="495"/>
      <c r="GE38" s="495"/>
      <c r="GF38" s="495"/>
      <c r="GG38" s="495"/>
    </row>
    <row r="39" spans="1:189" s="456" customFormat="1">
      <c r="A39" s="774"/>
      <c r="B39" s="795"/>
      <c r="C39" s="1578" t="e">
        <f>#REF!</f>
        <v>#REF!</v>
      </c>
      <c r="D39" s="546">
        <v>65</v>
      </c>
      <c r="E39" s="547" t="e">
        <f>+#REF!</f>
        <v>#REF!</v>
      </c>
      <c r="F39" s="547" t="e">
        <f>+D39*E39</f>
        <v>#REF!</v>
      </c>
      <c r="H39" s="493"/>
      <c r="I39" s="494"/>
      <c r="J39" s="493"/>
      <c r="K39" s="495"/>
      <c r="L39" s="495"/>
      <c r="M39" s="495"/>
      <c r="N39" s="495"/>
      <c r="O39" s="495"/>
      <c r="P39" s="495"/>
      <c r="Q39" s="495"/>
      <c r="R39" s="495"/>
      <c r="S39" s="495"/>
      <c r="T39" s="495"/>
      <c r="U39" s="495"/>
      <c r="V39" s="495"/>
      <c r="W39" s="495"/>
      <c r="X39" s="495"/>
      <c r="Y39" s="495"/>
      <c r="Z39" s="495"/>
      <c r="AA39" s="495"/>
      <c r="AB39" s="495"/>
      <c r="AC39" s="495"/>
      <c r="AD39" s="495"/>
      <c r="AE39" s="495"/>
      <c r="AF39" s="495"/>
      <c r="AG39" s="495"/>
      <c r="AH39" s="495"/>
      <c r="AI39" s="495"/>
      <c r="AJ39" s="495"/>
      <c r="AK39" s="495"/>
      <c r="AL39" s="495"/>
      <c r="AM39" s="495"/>
      <c r="AN39" s="495"/>
      <c r="AO39" s="495"/>
      <c r="AP39" s="495"/>
      <c r="AQ39" s="495"/>
      <c r="AR39" s="495"/>
      <c r="AS39" s="495"/>
      <c r="AT39" s="495"/>
      <c r="AU39" s="495"/>
      <c r="AV39" s="495"/>
      <c r="AW39" s="495"/>
      <c r="AX39" s="495"/>
      <c r="AY39" s="495"/>
      <c r="AZ39" s="495"/>
      <c r="BA39" s="495"/>
      <c r="BB39" s="495"/>
      <c r="BC39" s="495"/>
      <c r="BD39" s="495"/>
      <c r="BE39" s="495"/>
      <c r="BF39" s="495"/>
      <c r="BG39" s="495"/>
      <c r="BH39" s="495"/>
      <c r="BI39" s="495"/>
      <c r="BJ39" s="495"/>
      <c r="BK39" s="495"/>
      <c r="BL39" s="495"/>
      <c r="BM39" s="495"/>
      <c r="BN39" s="495"/>
      <c r="BO39" s="495"/>
      <c r="BP39" s="495"/>
      <c r="BQ39" s="495"/>
      <c r="BR39" s="495"/>
      <c r="BS39" s="495"/>
      <c r="BT39" s="495"/>
      <c r="BU39" s="495"/>
      <c r="BV39" s="495"/>
      <c r="BW39" s="495"/>
      <c r="BX39" s="495"/>
      <c r="BY39" s="495"/>
      <c r="BZ39" s="495"/>
      <c r="CA39" s="495"/>
      <c r="CB39" s="495"/>
      <c r="CC39" s="495"/>
      <c r="CD39" s="495"/>
      <c r="CE39" s="495"/>
      <c r="CF39" s="495"/>
      <c r="CG39" s="495"/>
      <c r="CH39" s="495"/>
      <c r="CI39" s="495"/>
      <c r="CJ39" s="495"/>
      <c r="CK39" s="495"/>
      <c r="CL39" s="495"/>
      <c r="CM39" s="495"/>
      <c r="CN39" s="495"/>
      <c r="CO39" s="495"/>
      <c r="CP39" s="495"/>
      <c r="CQ39" s="495"/>
      <c r="CR39" s="495"/>
      <c r="CS39" s="495"/>
      <c r="CT39" s="495"/>
      <c r="CU39" s="495"/>
      <c r="CV39" s="495"/>
      <c r="CW39" s="495"/>
      <c r="CX39" s="495"/>
      <c r="CY39" s="495"/>
      <c r="CZ39" s="495"/>
      <c r="DA39" s="495"/>
      <c r="DB39" s="495"/>
      <c r="DC39" s="495"/>
      <c r="DD39" s="495"/>
      <c r="DE39" s="495"/>
      <c r="DF39" s="495"/>
      <c r="DG39" s="495"/>
      <c r="DH39" s="495"/>
      <c r="DI39" s="495"/>
      <c r="DJ39" s="495"/>
      <c r="DK39" s="495"/>
      <c r="DL39" s="495"/>
      <c r="DM39" s="495"/>
      <c r="DN39" s="495"/>
      <c r="DO39" s="495"/>
      <c r="DP39" s="495"/>
      <c r="DQ39" s="495"/>
      <c r="DR39" s="495"/>
      <c r="DS39" s="495"/>
      <c r="DT39" s="495"/>
      <c r="DU39" s="495"/>
      <c r="DV39" s="495"/>
      <c r="DW39" s="495"/>
      <c r="DX39" s="495"/>
      <c r="DY39" s="495"/>
      <c r="DZ39" s="495"/>
      <c r="EA39" s="495"/>
      <c r="EB39" s="495"/>
      <c r="EC39" s="495"/>
      <c r="ED39" s="495"/>
      <c r="EE39" s="495"/>
      <c r="EF39" s="495"/>
      <c r="EG39" s="495"/>
      <c r="EH39" s="495"/>
      <c r="EI39" s="495"/>
      <c r="EJ39" s="495"/>
      <c r="EK39" s="495"/>
      <c r="EL39" s="495"/>
      <c r="EM39" s="495"/>
      <c r="EN39" s="495"/>
      <c r="EO39" s="495"/>
      <c r="EP39" s="495"/>
      <c r="EQ39" s="495"/>
      <c r="ER39" s="495"/>
      <c r="ES39" s="495"/>
      <c r="ET39" s="495"/>
      <c r="EU39" s="495"/>
      <c r="EV39" s="495"/>
      <c r="EW39" s="495"/>
      <c r="EX39" s="495"/>
      <c r="EY39" s="495"/>
      <c r="EZ39" s="495"/>
      <c r="FA39" s="495"/>
      <c r="FB39" s="495"/>
      <c r="FC39" s="495"/>
      <c r="FD39" s="495"/>
      <c r="FE39" s="495"/>
      <c r="FF39" s="495"/>
      <c r="FG39" s="495"/>
      <c r="FH39" s="495"/>
      <c r="FI39" s="495"/>
      <c r="FJ39" s="495"/>
      <c r="FK39" s="495"/>
      <c r="FL39" s="495"/>
      <c r="FM39" s="495"/>
      <c r="FN39" s="495"/>
      <c r="FO39" s="495"/>
      <c r="FP39" s="495"/>
      <c r="FQ39" s="495"/>
      <c r="FR39" s="495"/>
      <c r="FS39" s="495"/>
      <c r="FT39" s="495"/>
      <c r="FU39" s="495"/>
      <c r="FV39" s="495"/>
      <c r="FW39" s="495"/>
      <c r="FX39" s="495"/>
      <c r="FY39" s="495"/>
      <c r="FZ39" s="495"/>
      <c r="GA39" s="495"/>
      <c r="GB39" s="495"/>
      <c r="GC39" s="495"/>
      <c r="GD39" s="495"/>
      <c r="GE39" s="495"/>
      <c r="GF39" s="495"/>
      <c r="GG39" s="495"/>
    </row>
    <row r="40" spans="1:189" s="456" customFormat="1" ht="18.75">
      <c r="A40" s="760"/>
      <c r="B40" s="824"/>
      <c r="C40" s="686"/>
      <c r="D40" s="635"/>
      <c r="E40" s="636" t="s">
        <v>106</v>
      </c>
      <c r="F40" s="1122" t="e">
        <f>SUM(F29:F39)</f>
        <v>#REF!</v>
      </c>
      <c r="H40" s="493"/>
      <c r="I40" s="494"/>
      <c r="J40" s="493"/>
      <c r="K40" s="495"/>
      <c r="L40" s="495"/>
      <c r="M40" s="495"/>
      <c r="N40" s="495"/>
      <c r="O40" s="495"/>
      <c r="P40" s="495"/>
      <c r="Q40" s="495"/>
      <c r="R40" s="495"/>
      <c r="S40" s="495"/>
      <c r="T40" s="495"/>
      <c r="U40" s="495"/>
      <c r="V40" s="495"/>
      <c r="W40" s="495"/>
      <c r="X40" s="495"/>
      <c r="Y40" s="495"/>
      <c r="Z40" s="495"/>
      <c r="AA40" s="495"/>
      <c r="AB40" s="495"/>
      <c r="AC40" s="495"/>
      <c r="AD40" s="495"/>
      <c r="AE40" s="495"/>
      <c r="AF40" s="495"/>
      <c r="AG40" s="495"/>
      <c r="AH40" s="495"/>
      <c r="AI40" s="495"/>
      <c r="AJ40" s="495"/>
      <c r="AK40" s="495"/>
      <c r="AL40" s="495"/>
      <c r="AM40" s="495"/>
      <c r="AN40" s="495"/>
      <c r="AO40" s="495"/>
      <c r="AP40" s="495"/>
      <c r="AQ40" s="495"/>
      <c r="AR40" s="495"/>
      <c r="AS40" s="495"/>
      <c r="AT40" s="495"/>
      <c r="AU40" s="495"/>
      <c r="AV40" s="495"/>
      <c r="AW40" s="495"/>
      <c r="AX40" s="495"/>
      <c r="AY40" s="495"/>
      <c r="AZ40" s="495"/>
      <c r="BA40" s="495"/>
      <c r="BB40" s="495"/>
      <c r="BC40" s="495"/>
      <c r="BD40" s="495"/>
      <c r="BE40" s="495"/>
      <c r="BF40" s="495"/>
      <c r="BG40" s="495"/>
      <c r="BH40" s="495"/>
      <c r="BI40" s="495"/>
      <c r="BJ40" s="495"/>
      <c r="BK40" s="495"/>
      <c r="BL40" s="495"/>
      <c r="BM40" s="495"/>
      <c r="BN40" s="495"/>
      <c r="BO40" s="495"/>
      <c r="BP40" s="495"/>
      <c r="BQ40" s="495"/>
      <c r="BR40" s="495"/>
      <c r="BS40" s="495"/>
      <c r="BT40" s="495"/>
      <c r="BU40" s="495"/>
      <c r="BV40" s="495"/>
      <c r="BW40" s="495"/>
      <c r="BX40" s="495"/>
      <c r="BY40" s="495"/>
      <c r="BZ40" s="495"/>
      <c r="CA40" s="495"/>
      <c r="CB40" s="495"/>
      <c r="CC40" s="495"/>
      <c r="CD40" s="495"/>
      <c r="CE40" s="495"/>
      <c r="CF40" s="495"/>
      <c r="CG40" s="495"/>
      <c r="CH40" s="495"/>
      <c r="CI40" s="495"/>
      <c r="CJ40" s="495"/>
      <c r="CK40" s="495"/>
      <c r="CL40" s="495"/>
      <c r="CM40" s="495"/>
      <c r="CN40" s="495"/>
      <c r="CO40" s="495"/>
      <c r="CP40" s="495"/>
      <c r="CQ40" s="495"/>
      <c r="CR40" s="495"/>
      <c r="CS40" s="495"/>
      <c r="CT40" s="495"/>
      <c r="CU40" s="495"/>
      <c r="CV40" s="495"/>
      <c r="CW40" s="495"/>
      <c r="CX40" s="495"/>
      <c r="CY40" s="495"/>
      <c r="CZ40" s="495"/>
      <c r="DA40" s="495"/>
      <c r="DB40" s="495"/>
      <c r="DC40" s="495"/>
      <c r="DD40" s="495"/>
      <c r="DE40" s="495"/>
      <c r="DF40" s="495"/>
      <c r="DG40" s="495"/>
      <c r="DH40" s="495"/>
      <c r="DI40" s="495"/>
      <c r="DJ40" s="495"/>
      <c r="DK40" s="495"/>
      <c r="DL40" s="495"/>
      <c r="DM40" s="495"/>
      <c r="DN40" s="495"/>
      <c r="DO40" s="495"/>
      <c r="DP40" s="495"/>
      <c r="DQ40" s="495"/>
      <c r="DR40" s="495"/>
      <c r="DS40" s="495"/>
      <c r="DT40" s="495"/>
      <c r="DU40" s="495"/>
      <c r="DV40" s="495"/>
      <c r="DW40" s="495"/>
      <c r="DX40" s="495"/>
      <c r="DY40" s="495"/>
      <c r="DZ40" s="495"/>
      <c r="EA40" s="495"/>
      <c r="EB40" s="495"/>
      <c r="EC40" s="495"/>
      <c r="ED40" s="495"/>
      <c r="EE40" s="495"/>
      <c r="EF40" s="495"/>
      <c r="EG40" s="495"/>
      <c r="EH40" s="495"/>
      <c r="EI40" s="495"/>
      <c r="EJ40" s="495"/>
      <c r="EK40" s="495"/>
      <c r="EL40" s="495"/>
      <c r="EM40" s="495"/>
      <c r="EN40" s="495"/>
      <c r="EO40" s="495"/>
      <c r="EP40" s="495"/>
      <c r="EQ40" s="495"/>
      <c r="ER40" s="495"/>
      <c r="ES40" s="495"/>
      <c r="ET40" s="495"/>
      <c r="EU40" s="495"/>
      <c r="EV40" s="495"/>
      <c r="EW40" s="495"/>
      <c r="EX40" s="495"/>
      <c r="EY40" s="495"/>
      <c r="EZ40" s="495"/>
      <c r="FA40" s="495"/>
      <c r="FB40" s="495"/>
      <c r="FC40" s="495"/>
      <c r="FD40" s="495"/>
      <c r="FE40" s="495"/>
      <c r="FF40" s="495"/>
      <c r="FG40" s="495"/>
      <c r="FH40" s="495"/>
      <c r="FI40" s="495"/>
      <c r="FJ40" s="495"/>
      <c r="FK40" s="495"/>
      <c r="FL40" s="495"/>
      <c r="FM40" s="495"/>
      <c r="FN40" s="495"/>
      <c r="FO40" s="495"/>
      <c r="FP40" s="495"/>
      <c r="FQ40" s="495"/>
      <c r="FR40" s="495"/>
      <c r="FS40" s="495"/>
      <c r="FT40" s="495"/>
      <c r="FU40" s="495"/>
      <c r="FV40" s="495"/>
      <c r="FW40" s="495"/>
      <c r="FX40" s="495"/>
      <c r="FY40" s="495"/>
      <c r="FZ40" s="495"/>
      <c r="GA40" s="495"/>
      <c r="GB40" s="495"/>
      <c r="GC40" s="495"/>
      <c r="GD40" s="495"/>
      <c r="GE40" s="495"/>
      <c r="GF40" s="495"/>
      <c r="GG40" s="495"/>
    </row>
    <row r="41" spans="1:189" s="950" customFormat="1" ht="15" customHeight="1">
      <c r="A41" s="736"/>
      <c r="B41" s="824"/>
      <c r="D41" s="953"/>
      <c r="E41" s="1504"/>
      <c r="F41" s="1505"/>
      <c r="H41" s="1444"/>
      <c r="I41" s="1445"/>
      <c r="J41" s="1444"/>
    </row>
    <row r="42" spans="1:189" s="456" customFormat="1" ht="24.95" customHeight="1">
      <c r="A42" s="1278"/>
      <c r="B42" s="500"/>
      <c r="C42" s="634"/>
      <c r="D42" s="635"/>
      <c r="E42" s="636" t="s">
        <v>107</v>
      </c>
      <c r="F42" s="1122" t="e">
        <f>+F25+F40</f>
        <v>#REF!</v>
      </c>
      <c r="H42" s="493"/>
      <c r="I42" s="494">
        <v>47200</v>
      </c>
      <c r="J42" s="493"/>
      <c r="K42" s="495"/>
      <c r="L42" s="495"/>
      <c r="M42" s="495"/>
      <c r="N42" s="495"/>
      <c r="O42" s="495"/>
      <c r="P42" s="495"/>
      <c r="Q42" s="495"/>
      <c r="R42" s="495"/>
      <c r="S42" s="495"/>
      <c r="T42" s="495"/>
      <c r="U42" s="495"/>
      <c r="V42" s="495"/>
      <c r="W42" s="495"/>
      <c r="X42" s="495"/>
      <c r="Y42" s="495"/>
      <c r="Z42" s="495"/>
      <c r="AA42" s="495"/>
      <c r="AB42" s="495"/>
      <c r="AC42" s="495"/>
      <c r="AD42" s="495"/>
      <c r="AE42" s="495"/>
      <c r="AF42" s="495"/>
      <c r="AG42" s="495"/>
      <c r="AH42" s="495"/>
      <c r="AI42" s="495"/>
      <c r="AJ42" s="495"/>
      <c r="AK42" s="495"/>
      <c r="AL42" s="495"/>
      <c r="AM42" s="495"/>
      <c r="AN42" s="495"/>
      <c r="AO42" s="495"/>
      <c r="AP42" s="495"/>
      <c r="AQ42" s="495"/>
      <c r="AR42" s="495"/>
      <c r="AS42" s="495"/>
      <c r="AT42" s="495"/>
      <c r="AU42" s="495"/>
      <c r="AV42" s="495"/>
      <c r="AW42" s="495"/>
      <c r="AX42" s="495"/>
      <c r="AY42" s="495"/>
      <c r="AZ42" s="495"/>
      <c r="BA42" s="495"/>
      <c r="BB42" s="495"/>
      <c r="BC42" s="495"/>
      <c r="BD42" s="495"/>
      <c r="BE42" s="495"/>
      <c r="BF42" s="495"/>
      <c r="BG42" s="495"/>
      <c r="BH42" s="495"/>
      <c r="BI42" s="495"/>
      <c r="BJ42" s="495"/>
      <c r="BK42" s="495"/>
      <c r="BL42" s="495"/>
      <c r="BM42" s="495"/>
      <c r="BN42" s="495"/>
      <c r="BO42" s="495"/>
      <c r="BP42" s="495"/>
      <c r="BQ42" s="495"/>
      <c r="BR42" s="495"/>
      <c r="BS42" s="495"/>
      <c r="BT42" s="495"/>
      <c r="BU42" s="495"/>
      <c r="BV42" s="495"/>
      <c r="BW42" s="495"/>
      <c r="BX42" s="495"/>
      <c r="BY42" s="495"/>
      <c r="BZ42" s="495"/>
      <c r="CA42" s="495"/>
      <c r="CB42" s="495"/>
      <c r="CC42" s="495"/>
      <c r="CD42" s="495"/>
      <c r="CE42" s="495"/>
      <c r="CF42" s="495"/>
      <c r="CG42" s="495"/>
      <c r="CH42" s="495"/>
      <c r="CI42" s="495"/>
      <c r="CJ42" s="495"/>
      <c r="CK42" s="495"/>
      <c r="CL42" s="495"/>
      <c r="CM42" s="495"/>
      <c r="CN42" s="495"/>
      <c r="CO42" s="495"/>
      <c r="CP42" s="495"/>
      <c r="CQ42" s="495"/>
      <c r="CR42" s="495"/>
      <c r="CS42" s="495"/>
      <c r="CT42" s="495"/>
      <c r="CU42" s="495"/>
      <c r="CV42" s="495"/>
      <c r="CW42" s="495"/>
      <c r="CX42" s="495"/>
      <c r="CY42" s="495"/>
      <c r="CZ42" s="495"/>
      <c r="DA42" s="495"/>
      <c r="DB42" s="495"/>
      <c r="DC42" s="495"/>
      <c r="DD42" s="495"/>
      <c r="DE42" s="495"/>
      <c r="DF42" s="495"/>
      <c r="DG42" s="495"/>
      <c r="DH42" s="495"/>
      <c r="DI42" s="495"/>
      <c r="DJ42" s="495"/>
      <c r="DK42" s="495"/>
      <c r="DL42" s="495"/>
      <c r="DM42" s="495"/>
      <c r="DN42" s="495"/>
      <c r="DO42" s="495"/>
      <c r="DP42" s="495"/>
      <c r="DQ42" s="495"/>
      <c r="DR42" s="495"/>
      <c r="DS42" s="495"/>
      <c r="DT42" s="495"/>
      <c r="DU42" s="495"/>
      <c r="DV42" s="495"/>
      <c r="DW42" s="495"/>
      <c r="DX42" s="495"/>
      <c r="DY42" s="495"/>
      <c r="DZ42" s="495"/>
      <c r="EA42" s="495"/>
      <c r="EB42" s="495"/>
      <c r="EC42" s="495"/>
      <c r="ED42" s="495"/>
      <c r="EE42" s="495"/>
      <c r="EF42" s="495"/>
      <c r="EG42" s="495"/>
      <c r="EH42" s="495"/>
      <c r="EI42" s="495"/>
      <c r="EJ42" s="495"/>
      <c r="EK42" s="495"/>
      <c r="EL42" s="495"/>
      <c r="EM42" s="495"/>
      <c r="EN42" s="495"/>
      <c r="EO42" s="495"/>
      <c r="EP42" s="495"/>
      <c r="EQ42" s="495"/>
      <c r="ER42" s="495"/>
      <c r="ES42" s="495"/>
      <c r="ET42" s="495"/>
      <c r="EU42" s="495"/>
      <c r="EV42" s="495"/>
      <c r="EW42" s="495"/>
      <c r="EX42" s="495"/>
      <c r="EY42" s="495"/>
      <c r="EZ42" s="495"/>
      <c r="FA42" s="495"/>
      <c r="FB42" s="495"/>
      <c r="FC42" s="495"/>
      <c r="FD42" s="495"/>
      <c r="FE42" s="495"/>
      <c r="FF42" s="495"/>
      <c r="FG42" s="495"/>
      <c r="FH42" s="495"/>
      <c r="FI42" s="495"/>
      <c r="FJ42" s="495"/>
      <c r="FK42" s="495"/>
      <c r="FL42" s="495"/>
      <c r="FM42" s="495"/>
      <c r="FN42" s="495"/>
      <c r="FO42" s="495"/>
      <c r="FP42" s="495"/>
      <c r="FQ42" s="495"/>
      <c r="FR42" s="495"/>
      <c r="FS42" s="495"/>
      <c r="FT42" s="495"/>
      <c r="FU42" s="495"/>
      <c r="FV42" s="495"/>
      <c r="FW42" s="495"/>
      <c r="FX42" s="495"/>
      <c r="FY42" s="495"/>
      <c r="FZ42" s="495"/>
      <c r="GA42" s="495"/>
      <c r="GB42" s="495"/>
      <c r="GC42" s="495"/>
      <c r="GD42" s="495"/>
      <c r="GE42" s="495"/>
      <c r="GF42" s="495"/>
      <c r="GG42" s="495"/>
    </row>
    <row r="43" spans="1:189" s="114" customFormat="1" ht="15" customHeight="1">
      <c r="A43" s="1430"/>
      <c r="B43" s="115"/>
      <c r="C43" s="478"/>
      <c r="D43" s="116"/>
      <c r="E43" s="117"/>
      <c r="F43" s="118"/>
      <c r="H43" s="257"/>
      <c r="I43" s="263">
        <f>3540*5</f>
        <v>17700</v>
      </c>
      <c r="J43" s="257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29"/>
      <c r="W43" s="129"/>
      <c r="X43" s="129"/>
      <c r="Y43" s="129"/>
      <c r="Z43" s="129"/>
      <c r="AA43" s="129"/>
      <c r="AB43" s="129"/>
      <c r="AC43" s="129"/>
      <c r="AD43" s="129"/>
      <c r="AE43" s="129"/>
      <c r="AF43" s="129"/>
      <c r="AG43" s="129"/>
      <c r="AH43" s="129"/>
      <c r="AI43" s="129"/>
      <c r="AJ43" s="129"/>
      <c r="AK43" s="129"/>
      <c r="AL43" s="129"/>
      <c r="AM43" s="129"/>
      <c r="AN43" s="129"/>
      <c r="AO43" s="129"/>
      <c r="AP43" s="129"/>
      <c r="AQ43" s="129"/>
      <c r="AR43" s="129"/>
      <c r="AS43" s="129"/>
      <c r="AT43" s="129"/>
      <c r="AU43" s="129"/>
      <c r="AV43" s="129"/>
      <c r="AW43" s="129"/>
      <c r="AX43" s="129"/>
      <c r="AY43" s="129"/>
      <c r="AZ43" s="129"/>
      <c r="BA43" s="129"/>
      <c r="BB43" s="129"/>
      <c r="BC43" s="129"/>
      <c r="BD43" s="129"/>
      <c r="BE43" s="129"/>
      <c r="BF43" s="129"/>
      <c r="BG43" s="129"/>
      <c r="BH43" s="129"/>
      <c r="BI43" s="129"/>
      <c r="BJ43" s="129"/>
      <c r="BK43" s="129"/>
      <c r="BL43" s="129"/>
      <c r="BM43" s="129"/>
      <c r="BN43" s="129"/>
      <c r="BO43" s="129"/>
      <c r="BP43" s="129"/>
      <c r="BQ43" s="129"/>
      <c r="BR43" s="129"/>
      <c r="BS43" s="129"/>
      <c r="BT43" s="129"/>
      <c r="BU43" s="129"/>
      <c r="BV43" s="129"/>
      <c r="BW43" s="129"/>
      <c r="BX43" s="129"/>
      <c r="BY43" s="129"/>
      <c r="BZ43" s="129"/>
      <c r="CA43" s="129"/>
      <c r="CB43" s="129"/>
      <c r="CC43" s="129"/>
      <c r="CD43" s="129"/>
      <c r="CE43" s="129"/>
      <c r="CF43" s="129"/>
      <c r="CG43" s="129"/>
      <c r="CH43" s="129"/>
      <c r="CI43" s="129"/>
      <c r="CJ43" s="129"/>
      <c r="CK43" s="129"/>
      <c r="CL43" s="129"/>
      <c r="CM43" s="129"/>
      <c r="CN43" s="129"/>
      <c r="CO43" s="129"/>
      <c r="CP43" s="129"/>
      <c r="CQ43" s="129"/>
      <c r="CR43" s="129"/>
      <c r="CS43" s="129"/>
      <c r="CT43" s="129"/>
      <c r="CU43" s="129"/>
      <c r="CV43" s="129"/>
      <c r="CW43" s="129"/>
      <c r="CX43" s="129"/>
      <c r="CY43" s="129"/>
      <c r="CZ43" s="129"/>
      <c r="DA43" s="129"/>
      <c r="DB43" s="129"/>
      <c r="DC43" s="129"/>
      <c r="DD43" s="129"/>
      <c r="DE43" s="129"/>
      <c r="DF43" s="129"/>
      <c r="DG43" s="129"/>
      <c r="DH43" s="129"/>
      <c r="DI43" s="129"/>
      <c r="DJ43" s="129"/>
      <c r="DK43" s="129"/>
      <c r="DL43" s="129"/>
      <c r="DM43" s="129"/>
      <c r="DN43" s="129"/>
      <c r="DO43" s="129"/>
      <c r="DP43" s="129"/>
      <c r="DQ43" s="129"/>
      <c r="DR43" s="129"/>
      <c r="DS43" s="129"/>
      <c r="DT43" s="129"/>
      <c r="DU43" s="129"/>
      <c r="DV43" s="129"/>
      <c r="DW43" s="129"/>
      <c r="DX43" s="129"/>
      <c r="DY43" s="129"/>
      <c r="DZ43" s="129"/>
      <c r="EA43" s="129"/>
      <c r="EB43" s="129"/>
      <c r="EC43" s="129"/>
      <c r="ED43" s="129"/>
      <c r="EE43" s="129"/>
      <c r="EF43" s="129"/>
      <c r="EG43" s="129"/>
      <c r="EH43" s="129"/>
      <c r="EI43" s="129"/>
      <c r="EJ43" s="129"/>
      <c r="EK43" s="129"/>
      <c r="EL43" s="129"/>
      <c r="EM43" s="129"/>
      <c r="EN43" s="129"/>
      <c r="EO43" s="129"/>
      <c r="EP43" s="129"/>
      <c r="EQ43" s="129"/>
      <c r="ER43" s="129"/>
      <c r="ES43" s="129"/>
      <c r="ET43" s="129"/>
      <c r="EU43" s="129"/>
      <c r="EV43" s="129"/>
      <c r="EW43" s="129"/>
      <c r="EX43" s="129"/>
      <c r="EY43" s="129"/>
      <c r="EZ43" s="129"/>
      <c r="FA43" s="129"/>
      <c r="FB43" s="129"/>
      <c r="FC43" s="129"/>
      <c r="FD43" s="129"/>
      <c r="FE43" s="129"/>
      <c r="FF43" s="129"/>
      <c r="FG43" s="129"/>
      <c r="FH43" s="129"/>
      <c r="FI43" s="129"/>
      <c r="FJ43" s="129"/>
      <c r="FK43" s="129"/>
      <c r="FL43" s="129"/>
      <c r="FM43" s="129"/>
      <c r="FN43" s="129"/>
      <c r="FO43" s="129"/>
      <c r="FP43" s="129"/>
      <c r="FQ43" s="129"/>
      <c r="FR43" s="129"/>
      <c r="FS43" s="129"/>
      <c r="FT43" s="129"/>
      <c r="FU43" s="129"/>
      <c r="FV43" s="129"/>
      <c r="FW43" s="129"/>
      <c r="FX43" s="129"/>
      <c r="FY43" s="129"/>
      <c r="FZ43" s="129"/>
      <c r="GA43" s="129"/>
      <c r="GB43" s="129"/>
      <c r="GC43" s="129"/>
      <c r="GD43" s="129"/>
      <c r="GE43" s="129"/>
      <c r="GF43" s="129"/>
      <c r="GG43" s="129"/>
    </row>
    <row r="44" spans="1:189" s="456" customFormat="1" ht="24.95" customHeight="1">
      <c r="A44" s="1863" t="e">
        <f>#REF!</f>
        <v>#REF!</v>
      </c>
      <c r="B44" s="1864"/>
      <c r="C44" s="1864"/>
      <c r="D44" s="1864"/>
      <c r="E44" s="1864"/>
      <c r="F44" s="1865"/>
      <c r="H44" s="493"/>
      <c r="I44" s="494"/>
      <c r="J44" s="493"/>
      <c r="K44" s="495"/>
      <c r="L44" s="495"/>
      <c r="M44" s="495"/>
      <c r="N44" s="495"/>
      <c r="O44" s="495"/>
      <c r="P44" s="495"/>
      <c r="Q44" s="495"/>
      <c r="R44" s="495"/>
      <c r="S44" s="495"/>
      <c r="T44" s="495"/>
      <c r="U44" s="495"/>
      <c r="V44" s="495"/>
      <c r="W44" s="495"/>
      <c r="X44" s="495"/>
      <c r="Y44" s="495"/>
      <c r="Z44" s="495"/>
      <c r="AA44" s="495"/>
      <c r="AB44" s="495"/>
      <c r="AC44" s="495"/>
      <c r="AD44" s="495"/>
      <c r="AE44" s="495"/>
      <c r="AF44" s="495"/>
      <c r="AG44" s="495"/>
      <c r="AH44" s="495"/>
      <c r="AI44" s="495"/>
      <c r="AJ44" s="495"/>
      <c r="AK44" s="495"/>
      <c r="AL44" s="495"/>
      <c r="AM44" s="495"/>
      <c r="AN44" s="495"/>
      <c r="AO44" s="495"/>
      <c r="AP44" s="495"/>
      <c r="AQ44" s="495"/>
      <c r="AR44" s="495"/>
      <c r="AS44" s="495"/>
      <c r="AT44" s="495"/>
      <c r="AU44" s="495"/>
      <c r="AV44" s="495"/>
      <c r="AW44" s="495"/>
      <c r="AX44" s="495"/>
      <c r="AY44" s="495"/>
      <c r="AZ44" s="495"/>
      <c r="BA44" s="495"/>
      <c r="BB44" s="495"/>
      <c r="BC44" s="495"/>
      <c r="BD44" s="495"/>
      <c r="BE44" s="495"/>
      <c r="BF44" s="495"/>
      <c r="BG44" s="495"/>
      <c r="BH44" s="495"/>
      <c r="BI44" s="495"/>
      <c r="BJ44" s="495"/>
      <c r="BK44" s="495"/>
      <c r="BL44" s="495"/>
      <c r="BM44" s="495"/>
      <c r="BN44" s="495"/>
      <c r="BO44" s="495"/>
      <c r="BP44" s="495"/>
      <c r="BQ44" s="495"/>
      <c r="BR44" s="495"/>
      <c r="BS44" s="495"/>
      <c r="BT44" s="495"/>
      <c r="BU44" s="495"/>
      <c r="BV44" s="495"/>
      <c r="BW44" s="495"/>
      <c r="BX44" s="495"/>
      <c r="BY44" s="495"/>
      <c r="BZ44" s="495"/>
      <c r="CA44" s="495"/>
      <c r="CB44" s="495"/>
      <c r="CC44" s="495"/>
      <c r="CD44" s="495"/>
      <c r="CE44" s="495"/>
      <c r="CF44" s="495"/>
      <c r="CG44" s="495"/>
      <c r="CH44" s="495"/>
      <c r="CI44" s="495"/>
      <c r="CJ44" s="495"/>
      <c r="CK44" s="495"/>
      <c r="CL44" s="495"/>
      <c r="CM44" s="495"/>
      <c r="CN44" s="495"/>
      <c r="CO44" s="495"/>
      <c r="CP44" s="495"/>
      <c r="CQ44" s="495"/>
      <c r="CR44" s="495"/>
      <c r="CS44" s="495"/>
      <c r="CT44" s="495"/>
      <c r="CU44" s="495"/>
      <c r="CV44" s="495"/>
      <c r="CW44" s="495"/>
      <c r="CX44" s="495"/>
      <c r="CY44" s="495"/>
      <c r="CZ44" s="495"/>
      <c r="DA44" s="495"/>
      <c r="DB44" s="495"/>
      <c r="DC44" s="495"/>
      <c r="DD44" s="495"/>
      <c r="DE44" s="495"/>
      <c r="DF44" s="495"/>
      <c r="DG44" s="495"/>
      <c r="DH44" s="495"/>
      <c r="DI44" s="495"/>
      <c r="DJ44" s="495"/>
      <c r="DK44" s="495"/>
      <c r="DL44" s="495"/>
      <c r="DM44" s="495"/>
      <c r="DN44" s="495"/>
      <c r="DO44" s="495"/>
      <c r="DP44" s="495"/>
      <c r="DQ44" s="495"/>
      <c r="DR44" s="495"/>
      <c r="DS44" s="495"/>
      <c r="DT44" s="495"/>
      <c r="DU44" s="495"/>
      <c r="DV44" s="495"/>
      <c r="DW44" s="495"/>
      <c r="DX44" s="495"/>
      <c r="DY44" s="495"/>
      <c r="DZ44" s="495"/>
      <c r="EA44" s="495"/>
      <c r="EB44" s="495"/>
      <c r="EC44" s="495"/>
      <c r="ED44" s="495"/>
      <c r="EE44" s="495"/>
      <c r="EF44" s="495"/>
      <c r="EG44" s="495"/>
      <c r="EH44" s="495"/>
      <c r="EI44" s="495"/>
      <c r="EJ44" s="495"/>
      <c r="EK44" s="495"/>
      <c r="EL44" s="495"/>
      <c r="EM44" s="495"/>
      <c r="EN44" s="495"/>
      <c r="EO44" s="495"/>
      <c r="EP44" s="495"/>
      <c r="EQ44" s="495"/>
      <c r="ER44" s="495"/>
      <c r="ES44" s="495"/>
      <c r="ET44" s="495"/>
      <c r="EU44" s="495"/>
      <c r="EV44" s="495"/>
      <c r="EW44" s="495"/>
      <c r="EX44" s="495"/>
      <c r="EY44" s="495"/>
      <c r="EZ44" s="495"/>
      <c r="FA44" s="495"/>
      <c r="FB44" s="495"/>
      <c r="FC44" s="495"/>
      <c r="FD44" s="495"/>
      <c r="FE44" s="495"/>
      <c r="FF44" s="495"/>
      <c r="FG44" s="495"/>
      <c r="FH44" s="495"/>
      <c r="FI44" s="495"/>
      <c r="FJ44" s="495"/>
      <c r="FK44" s="495"/>
      <c r="FL44" s="495"/>
      <c r="FM44" s="495"/>
      <c r="FN44" s="495"/>
      <c r="FO44" s="495"/>
      <c r="FP44" s="495"/>
      <c r="FQ44" s="495"/>
      <c r="FR44" s="495"/>
      <c r="FS44" s="495"/>
      <c r="FT44" s="495"/>
      <c r="FU44" s="495"/>
      <c r="FV44" s="495"/>
      <c r="FW44" s="495"/>
      <c r="FX44" s="495"/>
      <c r="FY44" s="495"/>
      <c r="FZ44" s="495"/>
      <c r="GA44" s="495"/>
      <c r="GB44" s="495"/>
      <c r="GC44" s="495"/>
      <c r="GD44" s="495"/>
      <c r="GE44" s="495"/>
      <c r="GF44" s="495"/>
      <c r="GG44" s="495"/>
    </row>
    <row r="45" spans="1:189" s="456" customFormat="1">
      <c r="A45" s="689" t="e">
        <f>#REF!</f>
        <v>#REF!</v>
      </c>
      <c r="B45" s="752" t="e">
        <f>#REF!</f>
        <v>#REF!</v>
      </c>
      <c r="C45" s="1485"/>
      <c r="D45" s="633"/>
      <c r="E45" s="633"/>
      <c r="F45" s="633"/>
      <c r="H45" s="493"/>
      <c r="I45" s="494"/>
      <c r="J45" s="493"/>
      <c r="K45" s="495"/>
      <c r="L45" s="495"/>
      <c r="M45" s="495"/>
      <c r="N45" s="495"/>
      <c r="O45" s="495"/>
      <c r="P45" s="495"/>
      <c r="Q45" s="495"/>
      <c r="R45" s="495"/>
      <c r="S45" s="495"/>
      <c r="T45" s="495"/>
      <c r="U45" s="495"/>
      <c r="V45" s="495"/>
      <c r="W45" s="495"/>
      <c r="X45" s="495"/>
      <c r="Y45" s="495"/>
      <c r="Z45" s="495"/>
      <c r="AA45" s="495"/>
      <c r="AB45" s="495"/>
      <c r="AC45" s="495"/>
      <c r="AD45" s="495"/>
      <c r="AE45" s="495"/>
      <c r="AF45" s="495"/>
      <c r="AG45" s="495"/>
      <c r="AH45" s="495"/>
      <c r="AI45" s="495"/>
      <c r="AJ45" s="495"/>
      <c r="AK45" s="495"/>
      <c r="AL45" s="495"/>
      <c r="AM45" s="495"/>
      <c r="AN45" s="495"/>
      <c r="AO45" s="495"/>
      <c r="AP45" s="495"/>
      <c r="AQ45" s="495"/>
      <c r="AR45" s="495"/>
      <c r="AS45" s="495"/>
      <c r="AT45" s="495"/>
      <c r="AU45" s="495"/>
      <c r="AV45" s="495"/>
      <c r="AW45" s="495"/>
      <c r="AX45" s="495"/>
      <c r="AY45" s="495"/>
      <c r="AZ45" s="495"/>
      <c r="BA45" s="495"/>
      <c r="BB45" s="495"/>
      <c r="BC45" s="495"/>
      <c r="BD45" s="495"/>
      <c r="BE45" s="495"/>
      <c r="BF45" s="495"/>
      <c r="BG45" s="495"/>
      <c r="BH45" s="495"/>
      <c r="BI45" s="495"/>
      <c r="BJ45" s="495"/>
      <c r="BK45" s="495"/>
      <c r="BL45" s="495"/>
      <c r="BM45" s="495"/>
      <c r="BN45" s="495"/>
      <c r="BO45" s="495"/>
      <c r="BP45" s="495"/>
      <c r="BQ45" s="495"/>
      <c r="BR45" s="495"/>
      <c r="BS45" s="495"/>
      <c r="BT45" s="495"/>
      <c r="BU45" s="495"/>
      <c r="BV45" s="495"/>
      <c r="BW45" s="495"/>
      <c r="BX45" s="495"/>
      <c r="BY45" s="495"/>
      <c r="BZ45" s="495"/>
      <c r="CA45" s="495"/>
      <c r="CB45" s="495"/>
      <c r="CC45" s="495"/>
      <c r="CD45" s="495"/>
      <c r="CE45" s="495"/>
      <c r="CF45" s="495"/>
      <c r="CG45" s="495"/>
      <c r="CH45" s="495"/>
      <c r="CI45" s="495"/>
      <c r="CJ45" s="495"/>
      <c r="CK45" s="495"/>
      <c r="CL45" s="495"/>
      <c r="CM45" s="495"/>
      <c r="CN45" s="495"/>
      <c r="CO45" s="495"/>
      <c r="CP45" s="495"/>
      <c r="CQ45" s="495"/>
      <c r="CR45" s="495"/>
      <c r="CS45" s="495"/>
      <c r="CT45" s="495"/>
      <c r="CU45" s="495"/>
      <c r="CV45" s="495"/>
      <c r="CW45" s="495"/>
      <c r="CX45" s="495"/>
      <c r="CY45" s="495"/>
      <c r="CZ45" s="495"/>
      <c r="DA45" s="495"/>
      <c r="DB45" s="495"/>
      <c r="DC45" s="495"/>
      <c r="DD45" s="495"/>
      <c r="DE45" s="495"/>
      <c r="DF45" s="495"/>
      <c r="DG45" s="495"/>
      <c r="DH45" s="495"/>
      <c r="DI45" s="495"/>
      <c r="DJ45" s="495"/>
      <c r="DK45" s="495"/>
      <c r="DL45" s="495"/>
      <c r="DM45" s="495"/>
      <c r="DN45" s="495"/>
      <c r="DO45" s="495"/>
      <c r="DP45" s="495"/>
      <c r="DQ45" s="495"/>
      <c r="DR45" s="495"/>
      <c r="DS45" s="495"/>
      <c r="DT45" s="495"/>
      <c r="DU45" s="495"/>
      <c r="DV45" s="495"/>
      <c r="DW45" s="495"/>
      <c r="DX45" s="495"/>
      <c r="DY45" s="495"/>
      <c r="DZ45" s="495"/>
      <c r="EA45" s="495"/>
      <c r="EB45" s="495"/>
      <c r="EC45" s="495"/>
      <c r="ED45" s="495"/>
      <c r="EE45" s="495"/>
      <c r="EF45" s="495"/>
      <c r="EG45" s="495"/>
      <c r="EH45" s="495"/>
      <c r="EI45" s="495"/>
      <c r="EJ45" s="495"/>
      <c r="EK45" s="495"/>
      <c r="EL45" s="495"/>
      <c r="EM45" s="495"/>
      <c r="EN45" s="495"/>
      <c r="EO45" s="495"/>
      <c r="EP45" s="495"/>
      <c r="EQ45" s="495"/>
      <c r="ER45" s="495"/>
      <c r="ES45" s="495"/>
      <c r="ET45" s="495"/>
      <c r="EU45" s="495"/>
      <c r="EV45" s="495"/>
      <c r="EW45" s="495"/>
      <c r="EX45" s="495"/>
      <c r="EY45" s="495"/>
      <c r="EZ45" s="495"/>
      <c r="FA45" s="495"/>
      <c r="FB45" s="495"/>
      <c r="FC45" s="495"/>
      <c r="FD45" s="495"/>
      <c r="FE45" s="495"/>
      <c r="FF45" s="495"/>
      <c r="FG45" s="495"/>
      <c r="FH45" s="495"/>
      <c r="FI45" s="495"/>
      <c r="FJ45" s="495"/>
      <c r="FK45" s="495"/>
      <c r="FL45" s="495"/>
      <c r="FM45" s="495"/>
      <c r="FN45" s="495"/>
      <c r="FO45" s="495"/>
      <c r="FP45" s="495"/>
      <c r="FQ45" s="495"/>
      <c r="FR45" s="495"/>
      <c r="FS45" s="495"/>
      <c r="FT45" s="495"/>
      <c r="FU45" s="495"/>
      <c r="FV45" s="495"/>
      <c r="FW45" s="495"/>
      <c r="FX45" s="495"/>
      <c r="FY45" s="495"/>
      <c r="FZ45" s="495"/>
      <c r="GA45" s="495"/>
      <c r="GB45" s="495"/>
      <c r="GC45" s="495"/>
      <c r="GD45" s="495"/>
      <c r="GE45" s="495"/>
      <c r="GF45" s="495"/>
      <c r="GG45" s="495"/>
    </row>
    <row r="46" spans="1:189" s="456" customFormat="1">
      <c r="A46" s="751"/>
      <c r="B46" s="708"/>
      <c r="C46" s="1408" t="e">
        <f>#REF!</f>
        <v>#REF!</v>
      </c>
      <c r="D46" s="527">
        <v>1</v>
      </c>
      <c r="E46" s="527">
        <f>H46</f>
        <v>32929000</v>
      </c>
      <c r="F46" s="527">
        <f>+D46*E46</f>
        <v>32929000</v>
      </c>
      <c r="H46" s="493">
        <f>200*(F13*G13+F14*G14+F15*G15+F16*G16+K13)</f>
        <v>32929000</v>
      </c>
      <c r="I46" s="494"/>
      <c r="J46" s="493"/>
      <c r="K46" s="495"/>
      <c r="L46" s="495"/>
      <c r="M46" s="495"/>
      <c r="N46" s="495"/>
      <c r="O46" s="495"/>
      <c r="P46" s="495"/>
      <c r="Q46" s="495"/>
      <c r="R46" s="495"/>
      <c r="S46" s="495"/>
      <c r="T46" s="495"/>
      <c r="U46" s="495"/>
      <c r="V46" s="495"/>
      <c r="W46" s="495"/>
      <c r="X46" s="495"/>
      <c r="Y46" s="495"/>
      <c r="Z46" s="495"/>
      <c r="AA46" s="495"/>
      <c r="AB46" s="495"/>
      <c r="AC46" s="495"/>
      <c r="AD46" s="495"/>
      <c r="AE46" s="495"/>
      <c r="AF46" s="495"/>
      <c r="AG46" s="495"/>
      <c r="AH46" s="495"/>
      <c r="AI46" s="495"/>
      <c r="AJ46" s="495"/>
      <c r="AK46" s="495"/>
      <c r="AL46" s="495"/>
      <c r="AM46" s="495"/>
      <c r="AN46" s="495"/>
      <c r="AO46" s="495"/>
      <c r="AP46" s="495"/>
      <c r="AQ46" s="495"/>
      <c r="AR46" s="495"/>
      <c r="AS46" s="495"/>
      <c r="AT46" s="495"/>
      <c r="AU46" s="495"/>
      <c r="AV46" s="495"/>
      <c r="AW46" s="495"/>
      <c r="AX46" s="495"/>
      <c r="AY46" s="495"/>
      <c r="AZ46" s="495"/>
      <c r="BA46" s="495"/>
      <c r="BB46" s="495"/>
      <c r="BC46" s="495"/>
      <c r="BD46" s="495"/>
      <c r="BE46" s="495"/>
      <c r="BF46" s="495"/>
      <c r="BG46" s="495"/>
      <c r="BH46" s="495"/>
      <c r="BI46" s="495"/>
      <c r="BJ46" s="495"/>
      <c r="BK46" s="495"/>
      <c r="BL46" s="495"/>
      <c r="BM46" s="495"/>
      <c r="BN46" s="495"/>
      <c r="BO46" s="495"/>
      <c r="BP46" s="495"/>
      <c r="BQ46" s="495"/>
      <c r="BR46" s="495"/>
      <c r="BS46" s="495"/>
      <c r="BT46" s="495"/>
      <c r="BU46" s="495"/>
      <c r="BV46" s="495"/>
      <c r="BW46" s="495"/>
      <c r="BX46" s="495"/>
      <c r="BY46" s="495"/>
      <c r="BZ46" s="495"/>
      <c r="CA46" s="495"/>
      <c r="CB46" s="495"/>
      <c r="CC46" s="495"/>
      <c r="CD46" s="495"/>
      <c r="CE46" s="495"/>
      <c r="CF46" s="495"/>
      <c r="CG46" s="495"/>
      <c r="CH46" s="495"/>
      <c r="CI46" s="495"/>
      <c r="CJ46" s="495"/>
      <c r="CK46" s="495"/>
      <c r="CL46" s="495"/>
      <c r="CM46" s="495"/>
      <c r="CN46" s="495"/>
      <c r="CO46" s="495"/>
      <c r="CP46" s="495"/>
      <c r="CQ46" s="495"/>
      <c r="CR46" s="495"/>
      <c r="CS46" s="495"/>
      <c r="CT46" s="495"/>
      <c r="CU46" s="495"/>
      <c r="CV46" s="495"/>
      <c r="CW46" s="495"/>
      <c r="CX46" s="495"/>
      <c r="CY46" s="495"/>
      <c r="CZ46" s="495"/>
      <c r="DA46" s="495"/>
      <c r="DB46" s="495"/>
      <c r="DC46" s="495"/>
      <c r="DD46" s="495"/>
      <c r="DE46" s="495"/>
      <c r="DF46" s="495"/>
      <c r="DG46" s="495"/>
      <c r="DH46" s="495"/>
      <c r="DI46" s="495"/>
      <c r="DJ46" s="495"/>
      <c r="DK46" s="495"/>
      <c r="DL46" s="495"/>
      <c r="DM46" s="495"/>
      <c r="DN46" s="495"/>
      <c r="DO46" s="495"/>
      <c r="DP46" s="495"/>
      <c r="DQ46" s="495"/>
      <c r="DR46" s="495"/>
      <c r="DS46" s="495"/>
      <c r="DT46" s="495"/>
      <c r="DU46" s="495"/>
      <c r="DV46" s="495"/>
      <c r="DW46" s="495"/>
      <c r="DX46" s="495"/>
      <c r="DY46" s="495"/>
      <c r="DZ46" s="495"/>
      <c r="EA46" s="495"/>
      <c r="EB46" s="495"/>
      <c r="EC46" s="495"/>
      <c r="ED46" s="495"/>
      <c r="EE46" s="495"/>
      <c r="EF46" s="495"/>
      <c r="EG46" s="495"/>
      <c r="EH46" s="495"/>
      <c r="EI46" s="495"/>
      <c r="EJ46" s="495"/>
      <c r="EK46" s="495"/>
      <c r="EL46" s="495"/>
      <c r="EM46" s="495"/>
      <c r="EN46" s="495"/>
      <c r="EO46" s="495"/>
      <c r="EP46" s="495"/>
      <c r="EQ46" s="495"/>
      <c r="ER46" s="495"/>
      <c r="ES46" s="495"/>
      <c r="ET46" s="495"/>
      <c r="EU46" s="495"/>
      <c r="EV46" s="495"/>
      <c r="EW46" s="495"/>
      <c r="EX46" s="495"/>
      <c r="EY46" s="495"/>
      <c r="EZ46" s="495"/>
      <c r="FA46" s="495"/>
      <c r="FB46" s="495"/>
      <c r="FC46" s="495"/>
      <c r="FD46" s="495"/>
      <c r="FE46" s="495"/>
      <c r="FF46" s="495"/>
      <c r="FG46" s="495"/>
      <c r="FH46" s="495"/>
      <c r="FI46" s="495"/>
      <c r="FJ46" s="495"/>
      <c r="FK46" s="495"/>
      <c r="FL46" s="495"/>
      <c r="FM46" s="495"/>
      <c r="FN46" s="495"/>
      <c r="FO46" s="495"/>
      <c r="FP46" s="495"/>
      <c r="FQ46" s="495"/>
      <c r="FR46" s="495"/>
      <c r="FS46" s="495"/>
      <c r="FT46" s="495"/>
      <c r="FU46" s="495"/>
      <c r="FV46" s="495"/>
      <c r="FW46" s="495"/>
      <c r="FX46" s="495"/>
      <c r="FY46" s="495"/>
      <c r="FZ46" s="495"/>
      <c r="GA46" s="495"/>
      <c r="GB46" s="495"/>
      <c r="GC46" s="495"/>
      <c r="GD46" s="495"/>
      <c r="GE46" s="495"/>
      <c r="GF46" s="495"/>
      <c r="GG46" s="495"/>
    </row>
    <row r="47" spans="1:189" s="456" customFormat="1">
      <c r="A47" s="755" t="e">
        <f>#REF!</f>
        <v>#REF!</v>
      </c>
      <c r="B47" s="754" t="e">
        <f>#REF!</f>
        <v>#REF!</v>
      </c>
      <c r="C47" s="1407"/>
      <c r="D47" s="730"/>
      <c r="E47" s="641"/>
      <c r="F47" s="633"/>
      <c r="H47" s="493"/>
      <c r="I47" s="494"/>
      <c r="J47" s="493"/>
      <c r="K47" s="495"/>
      <c r="L47" s="495"/>
      <c r="M47" s="495"/>
      <c r="N47" s="495"/>
      <c r="O47" s="495"/>
      <c r="P47" s="495"/>
      <c r="Q47" s="495"/>
      <c r="R47" s="495"/>
      <c r="S47" s="495"/>
      <c r="T47" s="495"/>
      <c r="U47" s="495"/>
      <c r="V47" s="495"/>
      <c r="W47" s="495"/>
      <c r="X47" s="495"/>
      <c r="Y47" s="495"/>
      <c r="Z47" s="495"/>
      <c r="AA47" s="495"/>
      <c r="AB47" s="495"/>
      <c r="AC47" s="495"/>
      <c r="AD47" s="495"/>
      <c r="AE47" s="495"/>
      <c r="AF47" s="495"/>
      <c r="AG47" s="495"/>
      <c r="AH47" s="495"/>
      <c r="AI47" s="495"/>
      <c r="AJ47" s="495"/>
      <c r="AK47" s="495"/>
      <c r="AL47" s="495"/>
      <c r="AM47" s="495"/>
      <c r="AN47" s="495"/>
      <c r="AO47" s="495"/>
      <c r="AP47" s="495"/>
      <c r="AQ47" s="495"/>
      <c r="AR47" s="495"/>
      <c r="AS47" s="495"/>
      <c r="AT47" s="495"/>
      <c r="AU47" s="495"/>
      <c r="AV47" s="495"/>
      <c r="AW47" s="495"/>
      <c r="AX47" s="495"/>
      <c r="AY47" s="495"/>
      <c r="AZ47" s="495"/>
      <c r="BA47" s="495"/>
      <c r="BB47" s="495"/>
      <c r="BC47" s="495"/>
      <c r="BD47" s="495"/>
      <c r="BE47" s="495"/>
      <c r="BF47" s="495"/>
      <c r="BG47" s="495"/>
      <c r="BH47" s="495"/>
      <c r="BI47" s="495"/>
      <c r="BJ47" s="495"/>
      <c r="BK47" s="495"/>
      <c r="BL47" s="495"/>
      <c r="BM47" s="495"/>
      <c r="BN47" s="495"/>
      <c r="BO47" s="495"/>
      <c r="BP47" s="495"/>
      <c r="BQ47" s="495"/>
      <c r="BR47" s="495"/>
      <c r="BS47" s="495"/>
      <c r="BT47" s="495"/>
      <c r="BU47" s="495"/>
      <c r="BV47" s="495"/>
      <c r="BW47" s="495"/>
      <c r="BX47" s="495"/>
      <c r="BY47" s="495"/>
      <c r="BZ47" s="495"/>
      <c r="CA47" s="495"/>
      <c r="CB47" s="495"/>
      <c r="CC47" s="495"/>
      <c r="CD47" s="495"/>
      <c r="CE47" s="495"/>
      <c r="CF47" s="495"/>
      <c r="CG47" s="495"/>
      <c r="CH47" s="495"/>
      <c r="CI47" s="495"/>
      <c r="CJ47" s="495"/>
      <c r="CK47" s="495"/>
      <c r="CL47" s="495"/>
      <c r="CM47" s="495"/>
      <c r="CN47" s="495"/>
      <c r="CO47" s="495"/>
      <c r="CP47" s="495"/>
      <c r="CQ47" s="495"/>
      <c r="CR47" s="495"/>
      <c r="CS47" s="495"/>
      <c r="CT47" s="495"/>
      <c r="CU47" s="495"/>
      <c r="CV47" s="495"/>
      <c r="CW47" s="495"/>
      <c r="CX47" s="495"/>
      <c r="CY47" s="495"/>
      <c r="CZ47" s="495"/>
      <c r="DA47" s="495"/>
      <c r="DB47" s="495"/>
      <c r="DC47" s="495"/>
      <c r="DD47" s="495"/>
      <c r="DE47" s="495"/>
      <c r="DF47" s="495"/>
      <c r="DG47" s="495"/>
      <c r="DH47" s="495"/>
      <c r="DI47" s="495"/>
      <c r="DJ47" s="495"/>
      <c r="DK47" s="495"/>
      <c r="DL47" s="495"/>
      <c r="DM47" s="495"/>
      <c r="DN47" s="495"/>
      <c r="DO47" s="495"/>
      <c r="DP47" s="495"/>
      <c r="DQ47" s="495"/>
      <c r="DR47" s="495"/>
      <c r="DS47" s="495"/>
      <c r="DT47" s="495"/>
      <c r="DU47" s="495"/>
      <c r="DV47" s="495"/>
      <c r="DW47" s="495"/>
      <c r="DX47" s="495"/>
      <c r="DY47" s="495"/>
      <c r="DZ47" s="495"/>
      <c r="EA47" s="495"/>
      <c r="EB47" s="495"/>
      <c r="EC47" s="495"/>
      <c r="ED47" s="495"/>
      <c r="EE47" s="495"/>
      <c r="EF47" s="495"/>
      <c r="EG47" s="495"/>
      <c r="EH47" s="495"/>
      <c r="EI47" s="495"/>
      <c r="EJ47" s="495"/>
      <c r="EK47" s="495"/>
      <c r="EL47" s="495"/>
      <c r="EM47" s="495"/>
      <c r="EN47" s="495"/>
      <c r="EO47" s="495"/>
      <c r="EP47" s="495"/>
      <c r="EQ47" s="495"/>
      <c r="ER47" s="495"/>
      <c r="ES47" s="495"/>
      <c r="ET47" s="495"/>
      <c r="EU47" s="495"/>
      <c r="EV47" s="495"/>
      <c r="EW47" s="495"/>
      <c r="EX47" s="495"/>
      <c r="EY47" s="495"/>
      <c r="EZ47" s="495"/>
      <c r="FA47" s="495"/>
      <c r="FB47" s="495"/>
      <c r="FC47" s="495"/>
      <c r="FD47" s="495"/>
      <c r="FE47" s="495"/>
      <c r="FF47" s="495"/>
      <c r="FG47" s="495"/>
      <c r="FH47" s="495"/>
      <c r="FI47" s="495"/>
      <c r="FJ47" s="495"/>
      <c r="FK47" s="495"/>
      <c r="FL47" s="495"/>
      <c r="FM47" s="495"/>
      <c r="FN47" s="495"/>
      <c r="FO47" s="495"/>
      <c r="FP47" s="495"/>
      <c r="FQ47" s="495"/>
      <c r="FR47" s="495"/>
      <c r="FS47" s="495"/>
      <c r="FT47" s="495"/>
      <c r="FU47" s="495"/>
      <c r="FV47" s="495"/>
      <c r="FW47" s="495"/>
      <c r="FX47" s="495"/>
      <c r="FY47" s="495"/>
      <c r="FZ47" s="495"/>
      <c r="GA47" s="495"/>
      <c r="GB47" s="495"/>
      <c r="GC47" s="495"/>
      <c r="GD47" s="495"/>
      <c r="GE47" s="495"/>
      <c r="GF47" s="495"/>
      <c r="GG47" s="495"/>
    </row>
    <row r="48" spans="1:189" s="456" customFormat="1">
      <c r="A48" s="638" t="e">
        <f>#REF!</f>
        <v>#REF!</v>
      </c>
      <c r="B48" s="735" t="e">
        <f>#REF!</f>
        <v>#REF!</v>
      </c>
      <c r="C48" s="1561" t="e">
        <f>#REF!</f>
        <v>#REF!</v>
      </c>
      <c r="D48" s="698">
        <f>J48</f>
        <v>73117.8</v>
      </c>
      <c r="E48" s="633" t="e">
        <f>#REF!</f>
        <v>#REF!</v>
      </c>
      <c r="F48" s="633" t="e">
        <f>+D48*E48</f>
        <v>#REF!</v>
      </c>
      <c r="H48" s="493">
        <f>+I17*0.8</f>
        <v>69636</v>
      </c>
      <c r="I48" s="494">
        <v>1.05</v>
      </c>
      <c r="J48" s="493">
        <f>H48*I48</f>
        <v>73117.8</v>
      </c>
      <c r="K48" s="495"/>
      <c r="L48" s="495"/>
      <c r="M48" s="495"/>
      <c r="N48" s="495"/>
      <c r="O48" s="495"/>
      <c r="P48" s="495"/>
      <c r="Q48" s="495"/>
      <c r="R48" s="495"/>
      <c r="S48" s="495"/>
      <c r="T48" s="495"/>
      <c r="U48" s="495"/>
      <c r="V48" s="495"/>
      <c r="W48" s="495"/>
      <c r="X48" s="495"/>
      <c r="Y48" s="495"/>
      <c r="Z48" s="495"/>
      <c r="AA48" s="495"/>
      <c r="AB48" s="495"/>
      <c r="AC48" s="495"/>
      <c r="AD48" s="495"/>
      <c r="AE48" s="495"/>
      <c r="AF48" s="495"/>
      <c r="AG48" s="495"/>
      <c r="AH48" s="495"/>
      <c r="AI48" s="495"/>
      <c r="AJ48" s="495"/>
      <c r="AK48" s="495"/>
      <c r="AL48" s="495"/>
      <c r="AM48" s="495"/>
      <c r="AN48" s="495"/>
      <c r="AO48" s="495"/>
      <c r="AP48" s="495"/>
      <c r="AQ48" s="495"/>
      <c r="AR48" s="495"/>
      <c r="AS48" s="495"/>
      <c r="AT48" s="495"/>
      <c r="AU48" s="495"/>
      <c r="AV48" s="495"/>
      <c r="AW48" s="495"/>
      <c r="AX48" s="495"/>
      <c r="AY48" s="495"/>
      <c r="AZ48" s="495"/>
      <c r="BA48" s="495"/>
      <c r="BB48" s="495"/>
      <c r="BC48" s="495"/>
      <c r="BD48" s="495"/>
      <c r="BE48" s="495"/>
      <c r="BF48" s="495"/>
      <c r="BG48" s="495"/>
      <c r="BH48" s="495"/>
      <c r="BI48" s="495"/>
      <c r="BJ48" s="495"/>
      <c r="BK48" s="495"/>
      <c r="BL48" s="495"/>
      <c r="BM48" s="495"/>
      <c r="BN48" s="495"/>
      <c r="BO48" s="495"/>
      <c r="BP48" s="495"/>
      <c r="BQ48" s="495"/>
      <c r="BR48" s="495"/>
      <c r="BS48" s="495"/>
      <c r="BT48" s="495"/>
      <c r="BU48" s="495"/>
      <c r="BV48" s="495"/>
      <c r="BW48" s="495"/>
      <c r="BX48" s="495"/>
      <c r="BY48" s="495"/>
      <c r="BZ48" s="495"/>
      <c r="CA48" s="495"/>
      <c r="CB48" s="495"/>
      <c r="CC48" s="495"/>
      <c r="CD48" s="495"/>
      <c r="CE48" s="495"/>
      <c r="CF48" s="495"/>
      <c r="CG48" s="495"/>
      <c r="CH48" s="495"/>
      <c r="CI48" s="495"/>
      <c r="CJ48" s="495"/>
      <c r="CK48" s="495"/>
      <c r="CL48" s="495"/>
      <c r="CM48" s="495"/>
      <c r="CN48" s="495"/>
      <c r="CO48" s="495"/>
      <c r="CP48" s="495"/>
      <c r="CQ48" s="495"/>
      <c r="CR48" s="495"/>
      <c r="CS48" s="495"/>
      <c r="CT48" s="495"/>
      <c r="CU48" s="495"/>
      <c r="CV48" s="495"/>
      <c r="CW48" s="495"/>
      <c r="CX48" s="495"/>
      <c r="CY48" s="495"/>
      <c r="CZ48" s="495"/>
      <c r="DA48" s="495"/>
      <c r="DB48" s="495"/>
      <c r="DC48" s="495"/>
      <c r="DD48" s="495"/>
      <c r="DE48" s="495"/>
      <c r="DF48" s="495"/>
      <c r="DG48" s="495"/>
      <c r="DH48" s="495"/>
      <c r="DI48" s="495"/>
      <c r="DJ48" s="495"/>
      <c r="DK48" s="495"/>
      <c r="DL48" s="495"/>
      <c r="DM48" s="495"/>
      <c r="DN48" s="495"/>
      <c r="DO48" s="495"/>
      <c r="DP48" s="495"/>
      <c r="DQ48" s="495"/>
      <c r="DR48" s="495"/>
      <c r="DS48" s="495"/>
      <c r="DT48" s="495"/>
      <c r="DU48" s="495"/>
      <c r="DV48" s="495"/>
      <c r="DW48" s="495"/>
      <c r="DX48" s="495"/>
      <c r="DY48" s="495"/>
      <c r="DZ48" s="495"/>
      <c r="EA48" s="495"/>
      <c r="EB48" s="495"/>
      <c r="EC48" s="495"/>
      <c r="ED48" s="495"/>
      <c r="EE48" s="495"/>
      <c r="EF48" s="495"/>
      <c r="EG48" s="495"/>
      <c r="EH48" s="495"/>
      <c r="EI48" s="495"/>
      <c r="EJ48" s="495"/>
      <c r="EK48" s="495"/>
      <c r="EL48" s="495"/>
      <c r="EM48" s="495"/>
      <c r="EN48" s="495"/>
      <c r="EO48" s="495"/>
      <c r="EP48" s="495"/>
      <c r="EQ48" s="495"/>
      <c r="ER48" s="495"/>
      <c r="ES48" s="495"/>
      <c r="ET48" s="495"/>
      <c r="EU48" s="495"/>
      <c r="EV48" s="495"/>
      <c r="EW48" s="495"/>
      <c r="EX48" s="495"/>
      <c r="EY48" s="495"/>
      <c r="EZ48" s="495"/>
      <c r="FA48" s="495"/>
      <c r="FB48" s="495"/>
      <c r="FC48" s="495"/>
      <c r="FD48" s="495"/>
      <c r="FE48" s="495"/>
      <c r="FF48" s="495"/>
      <c r="FG48" s="495"/>
      <c r="FH48" s="495"/>
      <c r="FI48" s="495"/>
      <c r="FJ48" s="495"/>
      <c r="FK48" s="495"/>
      <c r="FL48" s="495"/>
      <c r="FM48" s="495"/>
      <c r="FN48" s="495"/>
      <c r="FO48" s="495"/>
      <c r="FP48" s="495"/>
      <c r="FQ48" s="495"/>
      <c r="FR48" s="495"/>
      <c r="FS48" s="495"/>
      <c r="FT48" s="495"/>
      <c r="FU48" s="495"/>
      <c r="FV48" s="495"/>
      <c r="FW48" s="495"/>
      <c r="FX48" s="495"/>
      <c r="FY48" s="495"/>
      <c r="FZ48" s="495"/>
      <c r="GA48" s="495"/>
      <c r="GB48" s="495"/>
      <c r="GC48" s="495"/>
      <c r="GD48" s="495"/>
      <c r="GE48" s="495"/>
      <c r="GF48" s="495"/>
      <c r="GG48" s="495"/>
    </row>
    <row r="49" spans="1:189" s="538" customFormat="1">
      <c r="A49" s="639" t="e">
        <f>#REF!</f>
        <v>#REF!</v>
      </c>
      <c r="B49" s="715" t="e">
        <f>#REF!</f>
        <v>#REF!</v>
      </c>
      <c r="C49" s="1480" t="e">
        <f>#REF!</f>
        <v>#REF!</v>
      </c>
      <c r="D49" s="646">
        <f>J49</f>
        <v>122859.45000000001</v>
      </c>
      <c r="E49" s="650" t="e">
        <f>#REF!</f>
        <v>#REF!</v>
      </c>
      <c r="F49" s="547" t="e">
        <f>+D49*E49</f>
        <v>#REF!</v>
      </c>
      <c r="H49" s="539">
        <f>+K13+K2*40+I17*0.2</f>
        <v>117009</v>
      </c>
      <c r="I49" s="540">
        <v>1.05</v>
      </c>
      <c r="J49" s="539">
        <f>H49*I49</f>
        <v>122859.45000000001</v>
      </c>
    </row>
    <row r="50" spans="1:189" s="456" customFormat="1">
      <c r="A50" s="755" t="e">
        <f>#REF!</f>
        <v>#REF!</v>
      </c>
      <c r="B50" s="754" t="e">
        <f>#REF!</f>
        <v>#REF!</v>
      </c>
      <c r="C50" s="1536"/>
      <c r="D50" s="644"/>
      <c r="E50" s="641"/>
      <c r="F50" s="641"/>
      <c r="H50" s="493"/>
      <c r="I50" s="494"/>
      <c r="J50" s="493"/>
      <c r="K50" s="495"/>
      <c r="L50" s="495"/>
      <c r="M50" s="495"/>
      <c r="N50" s="495"/>
      <c r="O50" s="495"/>
      <c r="P50" s="495"/>
      <c r="Q50" s="495"/>
      <c r="R50" s="495"/>
      <c r="S50" s="495"/>
      <c r="T50" s="495"/>
      <c r="U50" s="495"/>
      <c r="V50" s="495"/>
      <c r="W50" s="495"/>
      <c r="X50" s="495"/>
      <c r="Y50" s="495"/>
      <c r="Z50" s="495"/>
      <c r="AA50" s="495"/>
      <c r="AB50" s="495"/>
      <c r="AC50" s="495"/>
      <c r="AD50" s="495"/>
      <c r="AE50" s="495"/>
      <c r="AF50" s="495"/>
      <c r="AG50" s="495"/>
      <c r="AH50" s="495"/>
      <c r="AI50" s="495"/>
      <c r="AJ50" s="495"/>
      <c r="AK50" s="495"/>
      <c r="AL50" s="495"/>
      <c r="AM50" s="495"/>
      <c r="AN50" s="495"/>
      <c r="AO50" s="495"/>
      <c r="AP50" s="495"/>
      <c r="AQ50" s="495"/>
      <c r="AR50" s="495"/>
      <c r="AS50" s="495"/>
      <c r="AT50" s="495"/>
      <c r="AU50" s="495"/>
      <c r="AV50" s="495"/>
      <c r="AW50" s="495"/>
      <c r="AX50" s="495"/>
      <c r="AY50" s="495"/>
      <c r="AZ50" s="495"/>
      <c r="BA50" s="495"/>
      <c r="BB50" s="495"/>
      <c r="BC50" s="495"/>
      <c r="BD50" s="495"/>
      <c r="BE50" s="495"/>
      <c r="BF50" s="495"/>
      <c r="BG50" s="495"/>
      <c r="BH50" s="495"/>
      <c r="BI50" s="495"/>
      <c r="BJ50" s="495"/>
      <c r="BK50" s="495"/>
      <c r="BL50" s="495"/>
      <c r="BM50" s="495"/>
      <c r="BN50" s="495"/>
      <c r="BO50" s="495"/>
      <c r="BP50" s="495"/>
      <c r="BQ50" s="495"/>
      <c r="BR50" s="495"/>
      <c r="BS50" s="495"/>
      <c r="BT50" s="495"/>
      <c r="BU50" s="495"/>
      <c r="BV50" s="495"/>
      <c r="BW50" s="495"/>
      <c r="BX50" s="495"/>
      <c r="BY50" s="495"/>
      <c r="BZ50" s="495"/>
      <c r="CA50" s="495"/>
      <c r="CB50" s="495"/>
      <c r="CC50" s="495"/>
      <c r="CD50" s="495"/>
      <c r="CE50" s="495"/>
      <c r="CF50" s="495"/>
      <c r="CG50" s="495"/>
      <c r="CH50" s="495"/>
      <c r="CI50" s="495"/>
      <c r="CJ50" s="495"/>
      <c r="CK50" s="495"/>
      <c r="CL50" s="495"/>
      <c r="CM50" s="495"/>
      <c r="CN50" s="495"/>
      <c r="CO50" s="495"/>
      <c r="CP50" s="495"/>
      <c r="CQ50" s="495"/>
      <c r="CR50" s="495"/>
      <c r="CS50" s="495"/>
      <c r="CT50" s="495"/>
      <c r="CU50" s="495"/>
      <c r="CV50" s="495"/>
      <c r="CW50" s="495"/>
      <c r="CX50" s="495"/>
      <c r="CY50" s="495"/>
      <c r="CZ50" s="495"/>
      <c r="DA50" s="495"/>
      <c r="DB50" s="495"/>
      <c r="DC50" s="495"/>
      <c r="DD50" s="495"/>
      <c r="DE50" s="495"/>
      <c r="DF50" s="495"/>
      <c r="DG50" s="495"/>
      <c r="DH50" s="495"/>
      <c r="DI50" s="495"/>
      <c r="DJ50" s="495"/>
      <c r="DK50" s="495"/>
      <c r="DL50" s="495"/>
      <c r="DM50" s="495"/>
      <c r="DN50" s="495"/>
      <c r="DO50" s="495"/>
      <c r="DP50" s="495"/>
      <c r="DQ50" s="495"/>
      <c r="DR50" s="495"/>
      <c r="DS50" s="495"/>
      <c r="DT50" s="495"/>
      <c r="DU50" s="495"/>
      <c r="DV50" s="495"/>
      <c r="DW50" s="495"/>
      <c r="DX50" s="495"/>
      <c r="DY50" s="495"/>
      <c r="DZ50" s="495"/>
      <c r="EA50" s="495"/>
      <c r="EB50" s="495"/>
      <c r="EC50" s="495"/>
      <c r="ED50" s="495"/>
      <c r="EE50" s="495"/>
      <c r="EF50" s="495"/>
      <c r="EG50" s="495"/>
      <c r="EH50" s="495"/>
      <c r="EI50" s="495"/>
      <c r="EJ50" s="495"/>
      <c r="EK50" s="495"/>
      <c r="EL50" s="495"/>
      <c r="EM50" s="495"/>
      <c r="EN50" s="495"/>
      <c r="EO50" s="495"/>
      <c r="EP50" s="495"/>
      <c r="EQ50" s="495"/>
      <c r="ER50" s="495"/>
      <c r="ES50" s="495"/>
      <c r="ET50" s="495"/>
      <c r="EU50" s="495"/>
      <c r="EV50" s="495"/>
      <c r="EW50" s="495"/>
      <c r="EX50" s="495"/>
      <c r="EY50" s="495"/>
      <c r="EZ50" s="495"/>
      <c r="FA50" s="495"/>
      <c r="FB50" s="495"/>
      <c r="FC50" s="495"/>
      <c r="FD50" s="495"/>
      <c r="FE50" s="495"/>
      <c r="FF50" s="495"/>
      <c r="FG50" s="495"/>
      <c r="FH50" s="495"/>
      <c r="FI50" s="495"/>
      <c r="FJ50" s="495"/>
      <c r="FK50" s="495"/>
      <c r="FL50" s="495"/>
      <c r="FM50" s="495"/>
      <c r="FN50" s="495"/>
      <c r="FO50" s="495"/>
      <c r="FP50" s="495"/>
      <c r="FQ50" s="495"/>
      <c r="FR50" s="495"/>
      <c r="FS50" s="495"/>
      <c r="FT50" s="495"/>
      <c r="FU50" s="495"/>
      <c r="FV50" s="495"/>
      <c r="FW50" s="495"/>
      <c r="FX50" s="495"/>
      <c r="FY50" s="495"/>
      <c r="FZ50" s="495"/>
      <c r="GA50" s="495"/>
      <c r="GB50" s="495"/>
      <c r="GC50" s="495"/>
      <c r="GD50" s="495"/>
      <c r="GE50" s="495"/>
      <c r="GF50" s="495"/>
      <c r="GG50" s="495"/>
    </row>
    <row r="51" spans="1:189" s="456" customFormat="1">
      <c r="A51" s="1570"/>
      <c r="B51" s="729"/>
      <c r="C51" s="1537" t="e">
        <f>#REF!</f>
        <v>#REF!</v>
      </c>
      <c r="D51" s="647">
        <f>H51</f>
        <v>300</v>
      </c>
      <c r="E51" s="527" t="e">
        <f>#REF!</f>
        <v>#REF!</v>
      </c>
      <c r="F51" s="527" t="e">
        <f>+D51*E51</f>
        <v>#REF!</v>
      </c>
      <c r="H51" s="493">
        <f>300</f>
        <v>300</v>
      </c>
      <c r="I51" s="494"/>
      <c r="J51" s="493"/>
      <c r="K51" s="495"/>
      <c r="L51" s="495"/>
      <c r="M51" s="495"/>
      <c r="N51" s="495"/>
      <c r="O51" s="495"/>
      <c r="P51" s="495"/>
      <c r="Q51" s="495"/>
      <c r="R51" s="495"/>
      <c r="S51" s="495"/>
      <c r="T51" s="495"/>
      <c r="U51" s="495"/>
      <c r="V51" s="495"/>
      <c r="W51" s="495"/>
      <c r="X51" s="495"/>
      <c r="Y51" s="495"/>
      <c r="Z51" s="495"/>
      <c r="AA51" s="495"/>
      <c r="AB51" s="495"/>
      <c r="AC51" s="495"/>
      <c r="AD51" s="495"/>
      <c r="AE51" s="495"/>
      <c r="AF51" s="495"/>
      <c r="AG51" s="495"/>
      <c r="AH51" s="495"/>
      <c r="AI51" s="495"/>
      <c r="AJ51" s="495"/>
      <c r="AK51" s="495"/>
      <c r="AL51" s="495"/>
      <c r="AM51" s="495"/>
      <c r="AN51" s="495"/>
      <c r="AO51" s="495"/>
      <c r="AP51" s="495"/>
      <c r="AQ51" s="495"/>
      <c r="AR51" s="495"/>
      <c r="AS51" s="495"/>
      <c r="AT51" s="495"/>
      <c r="AU51" s="495"/>
      <c r="AV51" s="495"/>
      <c r="AW51" s="495"/>
      <c r="AX51" s="495"/>
      <c r="AY51" s="495"/>
      <c r="AZ51" s="495"/>
      <c r="BA51" s="495"/>
      <c r="BB51" s="495"/>
      <c r="BC51" s="495"/>
      <c r="BD51" s="495"/>
      <c r="BE51" s="495"/>
      <c r="BF51" s="495"/>
      <c r="BG51" s="495"/>
      <c r="BH51" s="495"/>
      <c r="BI51" s="495"/>
      <c r="BJ51" s="495"/>
      <c r="BK51" s="495"/>
      <c r="BL51" s="495"/>
      <c r="BM51" s="495"/>
      <c r="BN51" s="495"/>
      <c r="BO51" s="495"/>
      <c r="BP51" s="495"/>
      <c r="BQ51" s="495"/>
      <c r="BR51" s="495"/>
      <c r="BS51" s="495"/>
      <c r="BT51" s="495"/>
      <c r="BU51" s="495"/>
      <c r="BV51" s="495"/>
      <c r="BW51" s="495"/>
      <c r="BX51" s="495"/>
      <c r="BY51" s="495"/>
      <c r="BZ51" s="495"/>
      <c r="CA51" s="495"/>
      <c r="CB51" s="495"/>
      <c r="CC51" s="495"/>
      <c r="CD51" s="495"/>
      <c r="CE51" s="495"/>
      <c r="CF51" s="495"/>
      <c r="CG51" s="495"/>
      <c r="CH51" s="495"/>
      <c r="CI51" s="495"/>
      <c r="CJ51" s="495"/>
      <c r="CK51" s="495"/>
      <c r="CL51" s="495"/>
      <c r="CM51" s="495"/>
      <c r="CN51" s="495"/>
      <c r="CO51" s="495"/>
      <c r="CP51" s="495"/>
      <c r="CQ51" s="495"/>
      <c r="CR51" s="495"/>
      <c r="CS51" s="495"/>
      <c r="CT51" s="495"/>
      <c r="CU51" s="495"/>
      <c r="CV51" s="495"/>
      <c r="CW51" s="495"/>
      <c r="CX51" s="495"/>
      <c r="CY51" s="495"/>
      <c r="CZ51" s="495"/>
      <c r="DA51" s="495"/>
      <c r="DB51" s="495"/>
      <c r="DC51" s="495"/>
      <c r="DD51" s="495"/>
      <c r="DE51" s="495"/>
      <c r="DF51" s="495"/>
      <c r="DG51" s="495"/>
      <c r="DH51" s="495"/>
      <c r="DI51" s="495"/>
      <c r="DJ51" s="495"/>
      <c r="DK51" s="495"/>
      <c r="DL51" s="495"/>
      <c r="DM51" s="495"/>
      <c r="DN51" s="495"/>
      <c r="DO51" s="495"/>
      <c r="DP51" s="495"/>
      <c r="DQ51" s="495"/>
      <c r="DR51" s="495"/>
      <c r="DS51" s="495"/>
      <c r="DT51" s="495"/>
      <c r="DU51" s="495"/>
      <c r="DV51" s="495"/>
      <c r="DW51" s="495"/>
      <c r="DX51" s="495"/>
      <c r="DY51" s="495"/>
      <c r="DZ51" s="495"/>
      <c r="EA51" s="495"/>
      <c r="EB51" s="495"/>
      <c r="EC51" s="495"/>
      <c r="ED51" s="495"/>
      <c r="EE51" s="495"/>
      <c r="EF51" s="495"/>
      <c r="EG51" s="495"/>
      <c r="EH51" s="495"/>
      <c r="EI51" s="495"/>
      <c r="EJ51" s="495"/>
      <c r="EK51" s="495"/>
      <c r="EL51" s="495"/>
      <c r="EM51" s="495"/>
      <c r="EN51" s="495"/>
      <c r="EO51" s="495"/>
      <c r="EP51" s="495"/>
      <c r="EQ51" s="495"/>
      <c r="ER51" s="495"/>
      <c r="ES51" s="495"/>
      <c r="ET51" s="495"/>
      <c r="EU51" s="495"/>
      <c r="EV51" s="495"/>
      <c r="EW51" s="495"/>
      <c r="EX51" s="495"/>
      <c r="EY51" s="495"/>
      <c r="EZ51" s="495"/>
      <c r="FA51" s="495"/>
      <c r="FB51" s="495"/>
      <c r="FC51" s="495"/>
      <c r="FD51" s="495"/>
      <c r="FE51" s="495"/>
      <c r="FF51" s="495"/>
      <c r="FG51" s="495"/>
      <c r="FH51" s="495"/>
      <c r="FI51" s="495"/>
      <c r="FJ51" s="495"/>
      <c r="FK51" s="495"/>
      <c r="FL51" s="495"/>
      <c r="FM51" s="495"/>
      <c r="FN51" s="495"/>
      <c r="FO51" s="495"/>
      <c r="FP51" s="495"/>
      <c r="FQ51" s="495"/>
      <c r="FR51" s="495"/>
      <c r="FS51" s="495"/>
      <c r="FT51" s="495"/>
      <c r="FU51" s="495"/>
      <c r="FV51" s="495"/>
      <c r="FW51" s="495"/>
      <c r="FX51" s="495"/>
      <c r="FY51" s="495"/>
      <c r="FZ51" s="495"/>
      <c r="GA51" s="495"/>
      <c r="GB51" s="495"/>
      <c r="GC51" s="495"/>
      <c r="GD51" s="495"/>
      <c r="GE51" s="495"/>
      <c r="GF51" s="495"/>
      <c r="GG51" s="495"/>
    </row>
    <row r="52" spans="1:189" s="456" customFormat="1">
      <c r="A52" s="689" t="e">
        <f>#REF!</f>
        <v>#REF!</v>
      </c>
      <c r="B52" s="752" t="e">
        <f>#REF!</f>
        <v>#REF!</v>
      </c>
      <c r="C52" s="1487"/>
      <c r="D52" s="651"/>
      <c r="E52" s="641"/>
      <c r="F52" s="641"/>
      <c r="H52" s="493"/>
      <c r="I52" s="494"/>
      <c r="J52" s="493"/>
      <c r="K52" s="495"/>
      <c r="L52" s="495"/>
      <c r="M52" s="495"/>
      <c r="N52" s="495"/>
      <c r="O52" s="495"/>
      <c r="P52" s="495"/>
      <c r="Q52" s="495"/>
      <c r="R52" s="495"/>
      <c r="S52" s="495"/>
      <c r="T52" s="495"/>
      <c r="U52" s="495"/>
      <c r="V52" s="495"/>
      <c r="W52" s="495"/>
      <c r="X52" s="495"/>
      <c r="Y52" s="495"/>
      <c r="Z52" s="495"/>
      <c r="AA52" s="495"/>
      <c r="AB52" s="495"/>
      <c r="AC52" s="495"/>
      <c r="AD52" s="495"/>
      <c r="AE52" s="495"/>
      <c r="AF52" s="495"/>
      <c r="AG52" s="495"/>
      <c r="AH52" s="495"/>
      <c r="AI52" s="495"/>
      <c r="AJ52" s="495"/>
      <c r="AK52" s="495"/>
      <c r="AL52" s="495"/>
      <c r="AM52" s="495"/>
      <c r="AN52" s="495"/>
      <c r="AO52" s="495"/>
      <c r="AP52" s="495"/>
      <c r="AQ52" s="495"/>
      <c r="AR52" s="495"/>
      <c r="AS52" s="495"/>
      <c r="AT52" s="495"/>
      <c r="AU52" s="495"/>
      <c r="AV52" s="495"/>
      <c r="AW52" s="495"/>
      <c r="AX52" s="495"/>
      <c r="AY52" s="495"/>
      <c r="AZ52" s="495"/>
      <c r="BA52" s="495"/>
      <c r="BB52" s="495"/>
      <c r="BC52" s="495"/>
      <c r="BD52" s="495"/>
      <c r="BE52" s="495"/>
      <c r="BF52" s="495"/>
      <c r="BG52" s="495"/>
      <c r="BH52" s="495"/>
      <c r="BI52" s="495"/>
      <c r="BJ52" s="495"/>
      <c r="BK52" s="495"/>
      <c r="BL52" s="495"/>
      <c r="BM52" s="495"/>
      <c r="BN52" s="495"/>
      <c r="BO52" s="495"/>
      <c r="BP52" s="495"/>
      <c r="BQ52" s="495"/>
      <c r="BR52" s="495"/>
      <c r="BS52" s="495"/>
      <c r="BT52" s="495"/>
      <c r="BU52" s="495"/>
      <c r="BV52" s="495"/>
      <c r="BW52" s="495"/>
      <c r="BX52" s="495"/>
      <c r="BY52" s="495"/>
      <c r="BZ52" s="495"/>
      <c r="CA52" s="495"/>
      <c r="CB52" s="495"/>
      <c r="CC52" s="495"/>
      <c r="CD52" s="495"/>
      <c r="CE52" s="495"/>
      <c r="CF52" s="495"/>
      <c r="CG52" s="495"/>
      <c r="CH52" s="495"/>
      <c r="CI52" s="495"/>
      <c r="CJ52" s="495"/>
      <c r="CK52" s="495"/>
      <c r="CL52" s="495"/>
      <c r="CM52" s="495"/>
      <c r="CN52" s="495"/>
      <c r="CO52" s="495"/>
      <c r="CP52" s="495"/>
      <c r="CQ52" s="495"/>
      <c r="CR52" s="495"/>
      <c r="CS52" s="495"/>
      <c r="CT52" s="495"/>
      <c r="CU52" s="495"/>
      <c r="CV52" s="495"/>
      <c r="CW52" s="495"/>
      <c r="CX52" s="495"/>
      <c r="CY52" s="495"/>
      <c r="CZ52" s="495"/>
      <c r="DA52" s="495"/>
      <c r="DB52" s="495"/>
      <c r="DC52" s="495"/>
      <c r="DD52" s="495"/>
      <c r="DE52" s="495"/>
      <c r="DF52" s="495"/>
      <c r="DG52" s="495"/>
      <c r="DH52" s="495"/>
      <c r="DI52" s="495"/>
      <c r="DJ52" s="495"/>
      <c r="DK52" s="495"/>
      <c r="DL52" s="495"/>
      <c r="DM52" s="495"/>
      <c r="DN52" s="495"/>
      <c r="DO52" s="495"/>
      <c r="DP52" s="495"/>
      <c r="DQ52" s="495"/>
      <c r="DR52" s="495"/>
      <c r="DS52" s="495"/>
      <c r="DT52" s="495"/>
      <c r="DU52" s="495"/>
      <c r="DV52" s="495"/>
      <c r="DW52" s="495"/>
      <c r="DX52" s="495"/>
      <c r="DY52" s="495"/>
      <c r="DZ52" s="495"/>
      <c r="EA52" s="495"/>
      <c r="EB52" s="495"/>
      <c r="EC52" s="495"/>
      <c r="ED52" s="495"/>
      <c r="EE52" s="495"/>
      <c r="EF52" s="495"/>
      <c r="EG52" s="495"/>
      <c r="EH52" s="495"/>
      <c r="EI52" s="495"/>
      <c r="EJ52" s="495"/>
      <c r="EK52" s="495"/>
      <c r="EL52" s="495"/>
      <c r="EM52" s="495"/>
      <c r="EN52" s="495"/>
      <c r="EO52" s="495"/>
      <c r="EP52" s="495"/>
      <c r="EQ52" s="495"/>
      <c r="ER52" s="495"/>
      <c r="ES52" s="495"/>
      <c r="ET52" s="495"/>
      <c r="EU52" s="495"/>
      <c r="EV52" s="495"/>
      <c r="EW52" s="495"/>
      <c r="EX52" s="495"/>
      <c r="EY52" s="495"/>
      <c r="EZ52" s="495"/>
      <c r="FA52" s="495"/>
      <c r="FB52" s="495"/>
      <c r="FC52" s="495"/>
      <c r="FD52" s="495"/>
      <c r="FE52" s="495"/>
      <c r="FF52" s="495"/>
      <c r="FG52" s="495"/>
      <c r="FH52" s="495"/>
      <c r="FI52" s="495"/>
      <c r="FJ52" s="495"/>
      <c r="FK52" s="495"/>
      <c r="FL52" s="495"/>
      <c r="FM52" s="495"/>
      <c r="FN52" s="495"/>
      <c r="FO52" s="495"/>
      <c r="FP52" s="495"/>
      <c r="FQ52" s="495"/>
      <c r="FR52" s="495"/>
      <c r="FS52" s="495"/>
      <c r="FT52" s="495"/>
      <c r="FU52" s="495"/>
      <c r="FV52" s="495"/>
      <c r="FW52" s="495"/>
      <c r="FX52" s="495"/>
      <c r="FY52" s="495"/>
      <c r="FZ52" s="495"/>
      <c r="GA52" s="495"/>
      <c r="GB52" s="495"/>
      <c r="GC52" s="495"/>
      <c r="GD52" s="495"/>
      <c r="GE52" s="495"/>
      <c r="GF52" s="495"/>
      <c r="GG52" s="495"/>
    </row>
    <row r="53" spans="1:189" s="456" customFormat="1">
      <c r="A53" s="750" t="e">
        <f>#REF!</f>
        <v>#REF!</v>
      </c>
      <c r="B53" s="729" t="e">
        <f>#REF!</f>
        <v>#REF!</v>
      </c>
      <c r="C53" s="1561" t="e">
        <f>#REF!</f>
        <v>#REF!</v>
      </c>
      <c r="D53" s="704">
        <v>1</v>
      </c>
      <c r="E53" s="633">
        <v>54109125.000000007</v>
      </c>
      <c r="F53" s="633">
        <f>+D53*E53</f>
        <v>54109125.000000007</v>
      </c>
      <c r="H53" s="494">
        <f>(F17+F12)/1000</f>
        <v>7.851</v>
      </c>
      <c r="I53" s="494">
        <v>1.05</v>
      </c>
      <c r="J53" s="705">
        <f>H53*I53</f>
        <v>8.2435500000000008</v>
      </c>
      <c r="K53" s="495"/>
      <c r="L53" s="495"/>
      <c r="M53" s="495"/>
      <c r="N53" s="495"/>
      <c r="O53" s="495"/>
      <c r="P53" s="495"/>
      <c r="Q53" s="495"/>
      <c r="R53" s="495"/>
      <c r="S53" s="495"/>
      <c r="T53" s="495"/>
      <c r="U53" s="495"/>
      <c r="V53" s="495"/>
      <c r="W53" s="495"/>
      <c r="X53" s="495"/>
      <c r="Y53" s="495"/>
      <c r="Z53" s="495"/>
      <c r="AA53" s="495"/>
      <c r="AB53" s="495"/>
      <c r="AC53" s="495"/>
      <c r="AD53" s="495"/>
      <c r="AE53" s="495"/>
      <c r="AF53" s="495"/>
      <c r="AG53" s="495"/>
      <c r="AH53" s="495"/>
      <c r="AI53" s="495"/>
      <c r="AJ53" s="495"/>
      <c r="AK53" s="495"/>
      <c r="AL53" s="495"/>
      <c r="AM53" s="495"/>
      <c r="AN53" s="495"/>
      <c r="AO53" s="495"/>
      <c r="AP53" s="495"/>
      <c r="AQ53" s="495"/>
      <c r="AR53" s="495"/>
      <c r="AS53" s="495"/>
      <c r="AT53" s="495"/>
      <c r="AU53" s="495"/>
      <c r="AV53" s="495"/>
      <c r="AW53" s="495"/>
      <c r="AX53" s="495"/>
      <c r="AY53" s="495"/>
      <c r="AZ53" s="495"/>
      <c r="BA53" s="495"/>
      <c r="BB53" s="495"/>
      <c r="BC53" s="495"/>
      <c r="BD53" s="495"/>
      <c r="BE53" s="495"/>
      <c r="BF53" s="495"/>
      <c r="BG53" s="495"/>
      <c r="BH53" s="495"/>
      <c r="BI53" s="495"/>
      <c r="BJ53" s="495"/>
      <c r="BK53" s="495"/>
      <c r="BL53" s="495"/>
      <c r="BM53" s="495"/>
      <c r="BN53" s="495"/>
      <c r="BO53" s="495"/>
      <c r="BP53" s="495"/>
      <c r="BQ53" s="495"/>
      <c r="BR53" s="495"/>
      <c r="BS53" s="495"/>
      <c r="BT53" s="495"/>
      <c r="BU53" s="495"/>
      <c r="BV53" s="495"/>
      <c r="BW53" s="495"/>
      <c r="BX53" s="495"/>
      <c r="BY53" s="495"/>
      <c r="BZ53" s="495"/>
      <c r="CA53" s="495"/>
      <c r="CB53" s="495"/>
      <c r="CC53" s="495"/>
      <c r="CD53" s="495"/>
      <c r="CE53" s="495"/>
      <c r="CF53" s="495"/>
      <c r="CG53" s="495"/>
      <c r="CH53" s="495"/>
      <c r="CI53" s="495"/>
      <c r="CJ53" s="495"/>
      <c r="CK53" s="495"/>
      <c r="CL53" s="495"/>
      <c r="CM53" s="495"/>
      <c r="CN53" s="495"/>
      <c r="CO53" s="495"/>
      <c r="CP53" s="495"/>
      <c r="CQ53" s="495"/>
      <c r="CR53" s="495"/>
      <c r="CS53" s="495"/>
      <c r="CT53" s="495"/>
      <c r="CU53" s="495"/>
      <c r="CV53" s="495"/>
      <c r="CW53" s="495"/>
      <c r="CX53" s="495"/>
      <c r="CY53" s="495"/>
      <c r="CZ53" s="495"/>
      <c r="DA53" s="495"/>
      <c r="DB53" s="495"/>
      <c r="DC53" s="495"/>
      <c r="DD53" s="495"/>
      <c r="DE53" s="495"/>
      <c r="DF53" s="495"/>
      <c r="DG53" s="495"/>
      <c r="DH53" s="495"/>
      <c r="DI53" s="495"/>
      <c r="DJ53" s="495"/>
      <c r="DK53" s="495"/>
      <c r="DL53" s="495"/>
      <c r="DM53" s="495"/>
      <c r="DN53" s="495"/>
      <c r="DO53" s="495"/>
      <c r="DP53" s="495"/>
      <c r="DQ53" s="495"/>
      <c r="DR53" s="495"/>
      <c r="DS53" s="495"/>
      <c r="DT53" s="495"/>
      <c r="DU53" s="495"/>
      <c r="DV53" s="495"/>
      <c r="DW53" s="495"/>
      <c r="DX53" s="495"/>
      <c r="DY53" s="495"/>
      <c r="DZ53" s="495"/>
      <c r="EA53" s="495"/>
      <c r="EB53" s="495"/>
      <c r="EC53" s="495"/>
      <c r="ED53" s="495"/>
      <c r="EE53" s="495"/>
      <c r="EF53" s="495"/>
      <c r="EG53" s="495"/>
      <c r="EH53" s="495"/>
      <c r="EI53" s="495"/>
      <c r="EJ53" s="495"/>
      <c r="EK53" s="495"/>
      <c r="EL53" s="495"/>
      <c r="EM53" s="495"/>
      <c r="EN53" s="495"/>
      <c r="EO53" s="495"/>
      <c r="EP53" s="495"/>
      <c r="EQ53" s="495"/>
      <c r="ER53" s="495"/>
      <c r="ES53" s="495"/>
      <c r="ET53" s="495"/>
      <c r="EU53" s="495"/>
      <c r="EV53" s="495"/>
      <c r="EW53" s="495"/>
      <c r="EX53" s="495"/>
      <c r="EY53" s="495"/>
      <c r="EZ53" s="495"/>
      <c r="FA53" s="495"/>
      <c r="FB53" s="495"/>
      <c r="FC53" s="495"/>
      <c r="FD53" s="495"/>
      <c r="FE53" s="495"/>
      <c r="FF53" s="495"/>
      <c r="FG53" s="495"/>
      <c r="FH53" s="495"/>
      <c r="FI53" s="495"/>
      <c r="FJ53" s="495"/>
      <c r="FK53" s="495"/>
      <c r="FL53" s="495"/>
      <c r="FM53" s="495"/>
      <c r="FN53" s="495"/>
      <c r="FO53" s="495"/>
      <c r="FP53" s="495"/>
      <c r="FQ53" s="495"/>
      <c r="FR53" s="495"/>
      <c r="FS53" s="495"/>
      <c r="FT53" s="495"/>
      <c r="FU53" s="495"/>
      <c r="FV53" s="495"/>
      <c r="FW53" s="495"/>
      <c r="FX53" s="495"/>
      <c r="FY53" s="495"/>
      <c r="FZ53" s="495"/>
      <c r="GA53" s="495"/>
      <c r="GB53" s="495"/>
      <c r="GC53" s="495"/>
      <c r="GD53" s="495"/>
      <c r="GE53" s="495"/>
      <c r="GF53" s="495"/>
      <c r="GG53" s="495"/>
    </row>
    <row r="54" spans="1:189" s="495" customFormat="1">
      <c r="A54" s="750" t="e">
        <f>#REF!</f>
        <v>#REF!</v>
      </c>
      <c r="B54" s="729" t="e">
        <f>#REF!</f>
        <v>#REF!</v>
      </c>
      <c r="C54" s="1561" t="e">
        <f>#REF!</f>
        <v>#REF!</v>
      </c>
      <c r="D54" s="704">
        <v>1</v>
      </c>
      <c r="E54" s="633">
        <v>43287300.000000007</v>
      </c>
      <c r="F54" s="633">
        <f>+D54*E54</f>
        <v>43287300.000000007</v>
      </c>
      <c r="G54" s="456"/>
      <c r="H54" s="494">
        <f>H53</f>
        <v>7.851</v>
      </c>
      <c r="I54" s="494">
        <v>1.05</v>
      </c>
      <c r="J54" s="705">
        <f>H54*I54</f>
        <v>8.2435500000000008</v>
      </c>
    </row>
    <row r="55" spans="1:189" s="495" customFormat="1">
      <c r="A55" s="750" t="e">
        <f>#REF!</f>
        <v>#REF!</v>
      </c>
      <c r="B55" s="729" t="e">
        <f>#REF!</f>
        <v>#REF!</v>
      </c>
      <c r="C55" s="1561" t="e">
        <f>#REF!</f>
        <v>#REF!</v>
      </c>
      <c r="D55" s="654">
        <f>J55</f>
        <v>874</v>
      </c>
      <c r="E55" s="633" t="e">
        <f>#REF!</f>
        <v>#REF!</v>
      </c>
      <c r="F55" s="633" t="e">
        <f>+D55*E55</f>
        <v>#REF!</v>
      </c>
      <c r="G55" s="456"/>
      <c r="H55" s="494">
        <f>147+85+300*2</f>
        <v>832</v>
      </c>
      <c r="I55" s="494">
        <v>1.05</v>
      </c>
      <c r="J55" s="705">
        <f>ROUND(H55*I55,0)</f>
        <v>874</v>
      </c>
    </row>
    <row r="56" spans="1:189" s="495" customFormat="1">
      <c r="A56" s="751" t="e">
        <f>#REF!</f>
        <v>#REF!</v>
      </c>
      <c r="B56" s="708" t="e">
        <f>#REF!</f>
        <v>#REF!</v>
      </c>
      <c r="C56" s="1480" t="e">
        <f>#REF!</f>
        <v>#REF!</v>
      </c>
      <c r="D56" s="706">
        <v>1</v>
      </c>
      <c r="E56" s="633">
        <v>8881139.9082000013</v>
      </c>
      <c r="F56" s="527">
        <f>+D56*E56</f>
        <v>8881139.9082000013</v>
      </c>
      <c r="G56" s="456"/>
      <c r="H56" s="494">
        <f>H54</f>
        <v>7.851</v>
      </c>
      <c r="I56" s="494">
        <v>1.05</v>
      </c>
      <c r="J56" s="705">
        <f>H56*I56</f>
        <v>8.2435500000000008</v>
      </c>
    </row>
    <row r="57" spans="1:189" s="495" customFormat="1">
      <c r="A57" s="755" t="e">
        <f>#REF!</f>
        <v>#REF!</v>
      </c>
      <c r="B57" s="754" t="e">
        <f>#REF!</f>
        <v>#REF!</v>
      </c>
      <c r="C57" s="1540"/>
      <c r="D57" s="707"/>
      <c r="E57" s="641"/>
      <c r="F57" s="633"/>
      <c r="G57" s="456"/>
      <c r="H57" s="493"/>
      <c r="I57" s="494">
        <v>1.05</v>
      </c>
      <c r="J57" s="493"/>
    </row>
    <row r="58" spans="1:189" s="495" customFormat="1">
      <c r="A58" s="751"/>
      <c r="B58" s="708"/>
      <c r="C58" s="1537" t="e">
        <f>#REF!</f>
        <v>#REF!</v>
      </c>
      <c r="D58" s="661">
        <f>J58</f>
        <v>4200</v>
      </c>
      <c r="E58" s="527" t="e">
        <f>#REF!</f>
        <v>#REF!</v>
      </c>
      <c r="F58" s="527" t="e">
        <f>+D58*E58</f>
        <v>#REF!</v>
      </c>
      <c r="G58" s="456"/>
      <c r="H58" s="493">
        <f>10*300+1000</f>
        <v>4000</v>
      </c>
      <c r="I58" s="494">
        <v>1.05</v>
      </c>
      <c r="J58" s="493">
        <f>H58*I58</f>
        <v>4200</v>
      </c>
    </row>
    <row r="59" spans="1:189" s="495" customFormat="1">
      <c r="A59" s="689" t="e">
        <f>#REF!</f>
        <v>#REF!</v>
      </c>
      <c r="B59" s="752" t="e">
        <f>#REF!</f>
        <v>#REF!</v>
      </c>
      <c r="C59" s="1574"/>
      <c r="D59" s="831"/>
      <c r="E59" s="641"/>
      <c r="F59" s="641"/>
      <c r="G59" s="456"/>
      <c r="H59" s="493"/>
      <c r="I59" s="494">
        <v>1.05</v>
      </c>
      <c r="J59" s="493"/>
    </row>
    <row r="60" spans="1:189" s="495" customFormat="1">
      <c r="A60" s="751"/>
      <c r="B60" s="708"/>
      <c r="C60" s="1537" t="e">
        <f>#REF!</f>
        <v>#REF!</v>
      </c>
      <c r="D60" s="661">
        <f>J60</f>
        <v>1155</v>
      </c>
      <c r="E60" s="527" t="e">
        <f>#REF!</f>
        <v>#REF!</v>
      </c>
      <c r="F60" s="527" t="e">
        <f>+D60*E60</f>
        <v>#REF!</v>
      </c>
      <c r="G60" s="456"/>
      <c r="H60" s="493">
        <f>300*2+500</f>
        <v>1100</v>
      </c>
      <c r="I60" s="494">
        <v>1.05</v>
      </c>
      <c r="J60" s="493">
        <f>H60*I60</f>
        <v>1155</v>
      </c>
    </row>
    <row r="61" spans="1:189" s="495" customFormat="1">
      <c r="A61" s="689" t="e">
        <f>#REF!</f>
        <v>#REF!</v>
      </c>
      <c r="B61" s="752" t="e">
        <f>#REF!</f>
        <v>#REF!</v>
      </c>
      <c r="C61" s="1577"/>
      <c r="D61" s="651"/>
      <c r="E61" s="641"/>
      <c r="F61" s="641"/>
      <c r="G61" s="456"/>
      <c r="H61" s="493"/>
      <c r="I61" s="494">
        <v>1.05</v>
      </c>
      <c r="J61" s="493"/>
    </row>
    <row r="62" spans="1:189" s="495" customFormat="1">
      <c r="A62" s="750" t="e">
        <f>#REF!</f>
        <v>#REF!</v>
      </c>
      <c r="B62" s="729" t="e">
        <f>#REF!</f>
        <v>#REF!</v>
      </c>
      <c r="C62" s="1561" t="e">
        <f>#REF!</f>
        <v>#REF!</v>
      </c>
      <c r="D62" s="707">
        <f>J62</f>
        <v>5645.5</v>
      </c>
      <c r="E62" s="633" t="e">
        <f>#REF!</f>
        <v>#REF!</v>
      </c>
      <c r="F62" s="633" t="e">
        <f>+D62*E62</f>
        <v>#REF!</v>
      </c>
      <c r="G62" s="456"/>
      <c r="H62" s="707">
        <f>(150+266+325+420+309+309+82+800+800+992+490+287+287+240+240+367+90+660+127+560+157+560+157+80+302+248+248+392+240+333+335+335+615+502+235+150+192+255+255+384+384+738+738+131+798+150+120+120+460+109+140+594+420+420+466+466+132+538+243+355+355+300+325+166+138)*50%</f>
        <v>11291</v>
      </c>
      <c r="I62" s="494">
        <v>0.5</v>
      </c>
      <c r="J62" s="493">
        <f>H62*I62</f>
        <v>5645.5</v>
      </c>
    </row>
    <row r="63" spans="1:189" s="495" customFormat="1">
      <c r="A63" s="750" t="e">
        <f>#REF!</f>
        <v>#REF!</v>
      </c>
      <c r="B63" s="729" t="e">
        <f>#REF!</f>
        <v>#REF!</v>
      </c>
      <c r="C63" s="1480" t="e">
        <f>#REF!</f>
        <v>#REF!</v>
      </c>
      <c r="D63" s="707">
        <f>J63</f>
        <v>0</v>
      </c>
      <c r="E63" s="633" t="e">
        <f>#REF!</f>
        <v>#REF!</v>
      </c>
      <c r="F63" s="527" t="e">
        <f>+D63*E63</f>
        <v>#REF!</v>
      </c>
      <c r="G63" s="456"/>
      <c r="H63" s="493">
        <f>(305+490+1207)*40%</f>
        <v>800.80000000000007</v>
      </c>
      <c r="I63" s="494">
        <f>1.1*0</f>
        <v>0</v>
      </c>
      <c r="J63" s="493">
        <f>H63*I63</f>
        <v>0</v>
      </c>
    </row>
    <row r="64" spans="1:189" s="495" customFormat="1">
      <c r="A64" s="689" t="e">
        <f>#REF!</f>
        <v>#REF!</v>
      </c>
      <c r="B64" s="752" t="e">
        <f>#REF!</f>
        <v>#REF!</v>
      </c>
      <c r="C64" s="1574"/>
      <c r="D64" s="651"/>
      <c r="E64" s="641"/>
      <c r="F64" s="641"/>
      <c r="G64" s="456"/>
      <c r="H64" s="493"/>
      <c r="I64" s="494"/>
      <c r="J64" s="493"/>
    </row>
    <row r="65" spans="1:12" s="495" customFormat="1">
      <c r="A65" s="751"/>
      <c r="B65" s="708"/>
      <c r="C65" s="1537" t="e">
        <f>#REF!</f>
        <v>#REF!</v>
      </c>
      <c r="D65" s="661">
        <f>J65</f>
        <v>0</v>
      </c>
      <c r="E65" s="527" t="e">
        <f>#REF!</f>
        <v>#REF!</v>
      </c>
      <c r="F65" s="527" t="e">
        <f>+D65*E65</f>
        <v>#REF!</v>
      </c>
      <c r="G65" s="456"/>
      <c r="H65" s="493">
        <v>0</v>
      </c>
      <c r="I65" s="494">
        <v>1.05</v>
      </c>
      <c r="J65" s="493">
        <f>H65*I65</f>
        <v>0</v>
      </c>
    </row>
    <row r="66" spans="1:12" s="495" customFormat="1">
      <c r="A66" s="689" t="e">
        <f>#REF!</f>
        <v>#REF!</v>
      </c>
      <c r="B66" s="752" t="e">
        <f>#REF!</f>
        <v>#REF!</v>
      </c>
      <c r="C66" s="1574"/>
      <c r="D66" s="651"/>
      <c r="E66" s="641"/>
      <c r="F66" s="641"/>
      <c r="G66" s="456"/>
      <c r="H66" s="493"/>
      <c r="I66" s="494"/>
      <c r="J66" s="493"/>
    </row>
    <row r="67" spans="1:12" s="495" customFormat="1">
      <c r="A67" s="751"/>
      <c r="B67" s="708"/>
      <c r="C67" s="1537" t="e">
        <f>#REF!</f>
        <v>#REF!</v>
      </c>
      <c r="D67" s="647">
        <v>0</v>
      </c>
      <c r="E67" s="527" t="e">
        <f>#REF!</f>
        <v>#REF!</v>
      </c>
      <c r="F67" s="527" t="e">
        <f>+D67*E67</f>
        <v>#REF!</v>
      </c>
      <c r="G67" s="456"/>
      <c r="H67" s="493"/>
      <c r="I67" s="494"/>
      <c r="J67" s="493"/>
    </row>
    <row r="68" spans="1:12" s="495" customFormat="1">
      <c r="A68" s="689" t="e">
        <f>#REF!</f>
        <v>#REF!</v>
      </c>
      <c r="B68" s="752" t="e">
        <f>#REF!</f>
        <v>#REF!</v>
      </c>
      <c r="C68" s="1574"/>
      <c r="D68" s="651"/>
      <c r="E68" s="641"/>
      <c r="F68" s="641"/>
      <c r="G68" s="456"/>
      <c r="H68" s="493"/>
      <c r="I68" s="494"/>
      <c r="J68" s="493"/>
    </row>
    <row r="69" spans="1:12" s="495" customFormat="1">
      <c r="A69" s="751"/>
      <c r="B69" s="708"/>
      <c r="C69" s="1537" t="e">
        <f>#REF!</f>
        <v>#REF!</v>
      </c>
      <c r="D69" s="647">
        <v>0</v>
      </c>
      <c r="E69" s="527" t="e">
        <f>#REF!</f>
        <v>#REF!</v>
      </c>
      <c r="F69" s="527" t="e">
        <f>+D69*E69</f>
        <v>#REF!</v>
      </c>
      <c r="G69" s="456"/>
      <c r="H69" s="493"/>
      <c r="I69" s="494"/>
      <c r="J69" s="493"/>
    </row>
    <row r="70" spans="1:12" s="495" customFormat="1" ht="18.75">
      <c r="A70" s="763"/>
      <c r="B70" s="464"/>
      <c r="C70" s="634"/>
      <c r="D70" s="635"/>
      <c r="E70" s="636" t="s">
        <v>111</v>
      </c>
      <c r="F70" s="1122" t="e">
        <f>SUM(F45:F69)</f>
        <v>#REF!</v>
      </c>
      <c r="G70" s="456"/>
      <c r="H70" s="493"/>
      <c r="I70" s="494"/>
      <c r="J70" s="493"/>
    </row>
    <row r="71" spans="1:12" s="129" customFormat="1" ht="15" customHeight="1">
      <c r="A71" s="406"/>
      <c r="B71" s="40"/>
      <c r="C71" s="51"/>
      <c r="D71" s="76"/>
      <c r="E71" s="66"/>
      <c r="F71" s="66"/>
      <c r="G71" s="142"/>
      <c r="H71" s="255"/>
      <c r="I71" s="262"/>
      <c r="J71" s="255"/>
    </row>
    <row r="72" spans="1:12" s="779" customFormat="1" ht="24.95" customHeight="1">
      <c r="A72" s="1905" t="e">
        <f>#REF!</f>
        <v>#REF!</v>
      </c>
      <c r="B72" s="1906"/>
      <c r="C72" s="1906"/>
      <c r="D72" s="1906"/>
      <c r="E72" s="1906"/>
      <c r="F72" s="1907"/>
      <c r="G72" s="776"/>
      <c r="H72" s="777"/>
      <c r="I72" s="778"/>
      <c r="J72" s="777"/>
    </row>
    <row r="73" spans="1:12" s="495" customFormat="1">
      <c r="A73" s="755" t="e">
        <f>#REF!</f>
        <v>#REF!</v>
      </c>
      <c r="B73" s="754" t="e">
        <f>#REF!</f>
        <v>#REF!</v>
      </c>
      <c r="C73" s="1532"/>
      <c r="D73" s="660"/>
      <c r="E73" s="633"/>
      <c r="F73" s="633"/>
      <c r="G73" s="456"/>
      <c r="H73" s="493"/>
      <c r="I73" s="494"/>
      <c r="J73" s="493"/>
    </row>
    <row r="74" spans="1:12" s="495" customFormat="1">
      <c r="A74" s="750" t="e">
        <f>#REF!</f>
        <v>#REF!</v>
      </c>
      <c r="B74" s="729" t="e">
        <f>#REF!</f>
        <v>#REF!</v>
      </c>
      <c r="C74" s="809" t="e">
        <f>#REF!</f>
        <v>#REF!</v>
      </c>
      <c r="D74" s="713">
        <f>J74</f>
        <v>57449.700000000004</v>
      </c>
      <c r="E74" s="633" t="e">
        <f>#REF!</f>
        <v>#REF!</v>
      </c>
      <c r="F74" s="633" t="e">
        <f>D74*E74</f>
        <v>#REF!</v>
      </c>
      <c r="G74" s="456"/>
      <c r="H74" s="769">
        <f>+I17*0.6</f>
        <v>52227</v>
      </c>
      <c r="I74" s="494">
        <f>1.1</f>
        <v>1.1000000000000001</v>
      </c>
      <c r="J74" s="493">
        <f>H74*I74</f>
        <v>57449.700000000004</v>
      </c>
      <c r="L74" s="495" t="s">
        <v>485</v>
      </c>
    </row>
    <row r="75" spans="1:12" s="495" customFormat="1">
      <c r="A75" s="751" t="e">
        <f>#REF!</f>
        <v>#REF!</v>
      </c>
      <c r="B75" s="708" t="e">
        <f>#REF!</f>
        <v>#REF!</v>
      </c>
      <c r="C75" s="646" t="e">
        <f>#REF!</f>
        <v>#REF!</v>
      </c>
      <c r="D75" s="646">
        <f>J75</f>
        <v>29910.584000000003</v>
      </c>
      <c r="E75" s="527" t="e">
        <f>#REF!</f>
        <v>#REF!</v>
      </c>
      <c r="F75" s="527" t="e">
        <f>+D75*E75</f>
        <v>#REF!</v>
      </c>
      <c r="G75" s="456"/>
      <c r="H75" s="769">
        <f>+K12*(9+1.2+2.94+2)*1</f>
        <v>27191.439999999999</v>
      </c>
      <c r="I75" s="494">
        <v>1.1000000000000001</v>
      </c>
      <c r="J75" s="493">
        <f>H75*I75</f>
        <v>29910.584000000003</v>
      </c>
      <c r="L75" s="495" t="s">
        <v>484</v>
      </c>
    </row>
    <row r="76" spans="1:12" s="495" customFormat="1">
      <c r="A76" s="755" t="e">
        <f>#REF!</f>
        <v>#REF!</v>
      </c>
      <c r="B76" s="678" t="e">
        <f>#REF!</f>
        <v>#REF!</v>
      </c>
      <c r="C76" s="1540"/>
      <c r="D76" s="1555"/>
      <c r="E76" s="633"/>
      <c r="F76" s="633"/>
      <c r="G76" s="456"/>
      <c r="H76" s="493"/>
      <c r="I76" s="494"/>
      <c r="J76" s="493"/>
    </row>
    <row r="77" spans="1:12" s="495" customFormat="1">
      <c r="A77" s="751"/>
      <c r="B77" s="708"/>
      <c r="C77" s="1537" t="e">
        <f>#REF!</f>
        <v>#REF!</v>
      </c>
      <c r="D77" s="1500">
        <f>J77</f>
        <v>0</v>
      </c>
      <c r="E77" s="527" t="e">
        <f>#REF!</f>
        <v>#REF!</v>
      </c>
      <c r="F77" s="527" t="e">
        <f>+D77*E77</f>
        <v>#REF!</v>
      </c>
      <c r="G77" s="456"/>
      <c r="H77" s="493">
        <v>0</v>
      </c>
      <c r="I77" s="494">
        <v>1.1499999999999999</v>
      </c>
      <c r="J77" s="493">
        <f>H77*I77</f>
        <v>0</v>
      </c>
    </row>
    <row r="78" spans="1:12" s="495" customFormat="1">
      <c r="A78" s="755" t="e">
        <f>#REF!</f>
        <v>#REF!</v>
      </c>
      <c r="B78" s="678" t="e">
        <f>#REF!</f>
        <v>#REF!</v>
      </c>
      <c r="C78" s="1540"/>
      <c r="D78" s="1555"/>
      <c r="E78" s="641"/>
      <c r="F78" s="641"/>
      <c r="G78" s="456"/>
      <c r="H78" s="493"/>
      <c r="I78" s="494"/>
      <c r="J78" s="493"/>
      <c r="L78" s="756"/>
    </row>
    <row r="79" spans="1:12" s="495" customFormat="1">
      <c r="A79" s="751"/>
      <c r="B79" s="708"/>
      <c r="C79" s="1537" t="e">
        <f>#REF!</f>
        <v>#REF!</v>
      </c>
      <c r="D79" s="661">
        <f>J79</f>
        <v>114834.16999999998</v>
      </c>
      <c r="E79" s="527" t="e">
        <f>#REF!</f>
        <v>#REF!</v>
      </c>
      <c r="F79" s="527" t="e">
        <f>+D79*E79</f>
        <v>#REF!</v>
      </c>
      <c r="G79" s="1716">
        <f>+I17*0.7+(10+1.2+2.94+3.06+2+2+3)*F12*1</f>
        <v>104394.69999999998</v>
      </c>
      <c r="H79" s="700">
        <f>H74*0.25+H75*0+(7+1.2)*1*F12+(2.94+2.55+2)*2.7*F12+1*(I12-(2.94+2.55+2)*2-(7+1.2)*2)*I11</f>
        <v>103359.298</v>
      </c>
      <c r="I79" s="494">
        <v>1.1000000000000001</v>
      </c>
      <c r="J79" s="493">
        <f>+G79*I79</f>
        <v>114834.16999999998</v>
      </c>
      <c r="K79" s="756"/>
    </row>
    <row r="80" spans="1:12" s="797" customFormat="1" ht="30" customHeight="1">
      <c r="A80" s="1281" t="e">
        <f>#REF!</f>
        <v>#REF!</v>
      </c>
      <c r="B80" s="826" t="e">
        <f>#REF!</f>
        <v>#REF!</v>
      </c>
      <c r="C80" s="1494"/>
      <c r="D80" s="660"/>
      <c r="E80" s="796"/>
      <c r="F80" s="796"/>
      <c r="H80" s="798"/>
      <c r="I80" s="799"/>
      <c r="J80" s="798"/>
    </row>
    <row r="81" spans="1:11" s="538" customFormat="1">
      <c r="A81" s="639"/>
      <c r="B81" s="715"/>
      <c r="C81" s="1557" t="e">
        <f>#REF!</f>
        <v>#REF!</v>
      </c>
      <c r="D81" s="661">
        <f>J81</f>
        <v>111189.07799999999</v>
      </c>
      <c r="E81" s="547" t="e">
        <f>#REF!</f>
        <v>#REF!</v>
      </c>
      <c r="F81" s="547" t="e">
        <f>+D81*E81</f>
        <v>#REF!</v>
      </c>
      <c r="G81" s="1715">
        <f>+I17*(0.7)+K12*(10+1.2+2.94+2.55)*1.5</f>
        <v>105894.35999999999</v>
      </c>
      <c r="H81" s="539">
        <f>I11*I12*1+I17*0.5*0.5</f>
        <v>101245.25</v>
      </c>
      <c r="I81" s="540">
        <v>1.05</v>
      </c>
      <c r="J81" s="539">
        <f>+G81*I81</f>
        <v>111189.07799999999</v>
      </c>
      <c r="K81" s="538" t="s">
        <v>492</v>
      </c>
    </row>
    <row r="82" spans="1:11" s="538" customFormat="1">
      <c r="A82" s="755" t="e">
        <f>#REF!</f>
        <v>#REF!</v>
      </c>
      <c r="B82" s="678" t="e">
        <f>#REF!</f>
        <v>#REF!</v>
      </c>
      <c r="C82" s="1568"/>
      <c r="D82" s="1556"/>
      <c r="E82" s="544"/>
      <c r="F82" s="544"/>
      <c r="H82" s="539"/>
      <c r="I82" s="540"/>
      <c r="J82" s="539"/>
    </row>
    <row r="83" spans="1:11" s="538" customFormat="1">
      <c r="A83" s="639"/>
      <c r="B83" s="715"/>
      <c r="C83" s="1557" t="e">
        <f>#REF!</f>
        <v>#REF!</v>
      </c>
      <c r="D83" s="661">
        <f>J83</f>
        <v>97645.195450000014</v>
      </c>
      <c r="E83" s="547" t="e">
        <f>#REF!</f>
        <v>#REF!</v>
      </c>
      <c r="F83" s="547" t="e">
        <f>D83*E83</f>
        <v>#REF!</v>
      </c>
      <c r="G83" s="1715">
        <f>+K12*(16.5+2.55+2)*(1.35+1)*0.65+K2*40*(1.35+1)*0.6</f>
        <v>88768.359500000006</v>
      </c>
      <c r="H83" s="539">
        <f>(1.7+0.17-0.3)*I12*F12</f>
        <v>174822.63999999998</v>
      </c>
      <c r="I83" s="540">
        <v>1.1000000000000001</v>
      </c>
      <c r="J83" s="539">
        <f>+G83*I83</f>
        <v>97645.195450000014</v>
      </c>
      <c r="K83" s="538" t="s">
        <v>488</v>
      </c>
    </row>
    <row r="84" spans="1:11" s="538" customFormat="1">
      <c r="A84" s="791" t="e">
        <f>#REF!</f>
        <v>#REF!</v>
      </c>
      <c r="B84" s="824" t="e">
        <f>#REF!</f>
        <v>#REF!</v>
      </c>
      <c r="C84" s="1568"/>
      <c r="D84" s="1556"/>
      <c r="E84" s="544"/>
      <c r="F84" s="544"/>
      <c r="H84" s="539"/>
      <c r="I84" s="540"/>
      <c r="J84" s="539"/>
    </row>
    <row r="85" spans="1:11" s="538" customFormat="1">
      <c r="A85" s="639"/>
      <c r="B85" s="715"/>
      <c r="C85" s="1557" t="e">
        <f>#REF!</f>
        <v>#REF!</v>
      </c>
      <c r="D85" s="661">
        <f>J85</f>
        <v>0</v>
      </c>
      <c r="E85" s="547" t="e">
        <f>#REF!</f>
        <v>#REF!</v>
      </c>
      <c r="F85" s="547" t="e">
        <f>D85*E85</f>
        <v>#REF!</v>
      </c>
      <c r="H85" s="780">
        <f>I11*I12+F13*G13+F14*7.84+F15*9.84+F16*11.84</f>
        <v>138202</v>
      </c>
      <c r="I85" s="540">
        <f>1.05*0</f>
        <v>0</v>
      </c>
      <c r="J85" s="539">
        <f>H85*I85</f>
        <v>0</v>
      </c>
    </row>
    <row r="86" spans="1:11" s="538" customFormat="1">
      <c r="A86" s="745" t="e">
        <f>#REF!</f>
        <v>#REF!</v>
      </c>
      <c r="B86" s="830" t="e">
        <f>#REF!</f>
        <v>#REF!</v>
      </c>
      <c r="C86" s="1576"/>
      <c r="D86" s="1575"/>
      <c r="E86" s="544"/>
      <c r="F86" s="544"/>
      <c r="H86" s="539"/>
      <c r="I86" s="540"/>
      <c r="J86" s="539"/>
    </row>
    <row r="87" spans="1:11" s="538" customFormat="1">
      <c r="A87" s="639"/>
      <c r="B87" s="715"/>
      <c r="C87" s="1557" t="e">
        <f>#REF!</f>
        <v>#REF!</v>
      </c>
      <c r="D87" s="661">
        <f>J87</f>
        <v>19756</v>
      </c>
      <c r="E87" s="547" t="e">
        <f>#REF!</f>
        <v>#REF!</v>
      </c>
      <c r="F87" s="547" t="e">
        <f>+D87*E87</f>
        <v>#REF!</v>
      </c>
      <c r="G87" s="538">
        <f>+K12*10</f>
        <v>17960</v>
      </c>
      <c r="H87" s="539">
        <f>10*F12</f>
        <v>17960</v>
      </c>
      <c r="I87" s="540">
        <v>1.1000000000000001</v>
      </c>
      <c r="J87" s="539">
        <f>H87*I87</f>
        <v>19756</v>
      </c>
    </row>
    <row r="88" spans="1:11" s="538" customFormat="1">
      <c r="A88" s="791" t="e">
        <f>#REF!</f>
        <v>#REF!</v>
      </c>
      <c r="B88" s="824" t="e">
        <f>#REF!</f>
        <v>#REF!</v>
      </c>
      <c r="C88" s="1568"/>
      <c r="D88" s="1556"/>
      <c r="E88" s="544"/>
      <c r="F88" s="544"/>
      <c r="H88" s="539"/>
      <c r="I88" s="540"/>
      <c r="J88" s="539"/>
    </row>
    <row r="89" spans="1:11" s="538" customFormat="1">
      <c r="A89" s="639"/>
      <c r="B89" s="715"/>
      <c r="C89" s="1557" t="e">
        <f>#REF!</f>
        <v>#REF!</v>
      </c>
      <c r="D89" s="661">
        <f>J89</f>
        <v>19756</v>
      </c>
      <c r="E89" s="547" t="e">
        <f>#REF!</f>
        <v>#REF!</v>
      </c>
      <c r="F89" s="547" t="e">
        <f>+D89*E89</f>
        <v>#REF!</v>
      </c>
      <c r="H89" s="539">
        <f>H87</f>
        <v>17960</v>
      </c>
      <c r="I89" s="540">
        <v>1.1000000000000001</v>
      </c>
      <c r="J89" s="539">
        <f>H89*I89</f>
        <v>19756</v>
      </c>
    </row>
    <row r="90" spans="1:11" s="538" customFormat="1">
      <c r="A90" s="791" t="e">
        <f>#REF!</f>
        <v>#REF!</v>
      </c>
      <c r="B90" s="824" t="e">
        <f>#REF!</f>
        <v>#REF!</v>
      </c>
      <c r="C90" s="1568"/>
      <c r="D90" s="1556"/>
      <c r="E90" s="544"/>
      <c r="F90" s="544"/>
      <c r="H90" s="539"/>
      <c r="I90" s="540"/>
      <c r="J90" s="539"/>
    </row>
    <row r="91" spans="1:11" s="538" customFormat="1">
      <c r="A91" s="639"/>
      <c r="B91" s="715"/>
      <c r="C91" s="1537" t="e">
        <f>#REF!</f>
        <v>#REF!</v>
      </c>
      <c r="D91" s="661">
        <v>1</v>
      </c>
      <c r="E91" s="547" t="e">
        <f>#REF!</f>
        <v>#REF!</v>
      </c>
      <c r="F91" s="547" t="e">
        <f>+D91*E91</f>
        <v>#REF!</v>
      </c>
      <c r="H91" s="539"/>
      <c r="I91" s="540">
        <v>1.05</v>
      </c>
      <c r="J91" s="539">
        <f>H91*I91</f>
        <v>0</v>
      </c>
    </row>
    <row r="92" spans="1:11" s="495" customFormat="1" ht="18.75">
      <c r="A92" s="1278"/>
      <c r="B92" s="500"/>
      <c r="C92" s="634"/>
      <c r="D92" s="635"/>
      <c r="E92" s="636" t="s">
        <v>110</v>
      </c>
      <c r="F92" s="1122" t="e">
        <f>SUM(F73:F91)</f>
        <v>#REF!</v>
      </c>
      <c r="G92" s="456"/>
      <c r="H92" s="700"/>
      <c r="I92" s="701"/>
      <c r="J92" s="700"/>
    </row>
    <row r="93" spans="1:11" s="129" customFormat="1" ht="15" customHeight="1">
      <c r="A93" s="1423"/>
      <c r="B93" s="501"/>
      <c r="C93" s="501"/>
      <c r="D93" s="501"/>
      <c r="E93" s="501"/>
      <c r="F93" s="501"/>
      <c r="G93" s="142">
        <f>+H17*0.15+100*9*20*0.15</f>
        <v>10688.49</v>
      </c>
      <c r="H93" s="256">
        <f>0.15*(F13*H13+F14*H14+F15*H15+F16*H16)+100*20*9.84*0.15</f>
        <v>10940.49</v>
      </c>
      <c r="I93" s="330" t="s">
        <v>243</v>
      </c>
      <c r="J93" s="256"/>
    </row>
    <row r="94" spans="1:11" s="779" customFormat="1" ht="24.95" customHeight="1">
      <c r="A94" s="1905" t="e">
        <f>#REF!</f>
        <v>#REF!</v>
      </c>
      <c r="B94" s="1906"/>
      <c r="C94" s="1906"/>
      <c r="D94" s="1906"/>
      <c r="E94" s="1906"/>
      <c r="F94" s="1907"/>
      <c r="G94" s="776">
        <f>+I17*0.2+100*6*20*0.2</f>
        <v>19809</v>
      </c>
      <c r="H94" s="492">
        <f>0.2*(H13*F13+F14*H14+F15*H15+F16*H16+7*2*F12)+100*20*0.2*9.84</f>
        <v>19616.120000000003</v>
      </c>
      <c r="I94" s="800" t="s">
        <v>244</v>
      </c>
      <c r="J94" s="492"/>
    </row>
    <row r="95" spans="1:11" s="495" customFormat="1">
      <c r="A95" s="755" t="e">
        <f>#REF!</f>
        <v>#REF!</v>
      </c>
      <c r="B95" s="754" t="e">
        <f>#REF!</f>
        <v>#REF!</v>
      </c>
      <c r="C95" s="1532"/>
      <c r="D95" s="712"/>
      <c r="E95" s="650"/>
      <c r="F95" s="650"/>
      <c r="G95" s="456"/>
      <c r="H95" s="801">
        <f>0.2*(F13*(G13-H13)+F14*(G14-H14)+F15*(G15-H15)+F16*(G16-H16)+100*20*(15-9.84))</f>
        <v>8821.68</v>
      </c>
      <c r="I95" s="701" t="s">
        <v>245</v>
      </c>
      <c r="J95" s="700"/>
    </row>
    <row r="96" spans="1:11" s="495" customFormat="1">
      <c r="A96" s="751" t="e">
        <f>#REF!</f>
        <v>#REF!</v>
      </c>
      <c r="B96" s="708" t="e">
        <f>#REF!</f>
        <v>#REF!</v>
      </c>
      <c r="C96" s="1529" t="e">
        <f>#REF!</f>
        <v>#REF!</v>
      </c>
      <c r="D96" s="1500">
        <f>J96</f>
        <v>43316.119000000006</v>
      </c>
      <c r="E96" s="547" t="e">
        <f>#REF!</f>
        <v>#REF!</v>
      </c>
      <c r="F96" s="547" t="e">
        <f>+D96*E96</f>
        <v>#REF!</v>
      </c>
      <c r="G96" s="456"/>
      <c r="H96" s="801">
        <f>SUM(H93:H95)</f>
        <v>39378.29</v>
      </c>
      <c r="I96" s="701">
        <f>1.1</f>
        <v>1.1000000000000001</v>
      </c>
      <c r="J96" s="700">
        <f>H96*I96</f>
        <v>43316.119000000006</v>
      </c>
    </row>
    <row r="97" spans="1:11" s="495" customFormat="1">
      <c r="A97" s="689" t="e">
        <f>#REF!</f>
        <v>#REF!</v>
      </c>
      <c r="B97" s="752" t="e">
        <f>#REF!</f>
        <v>#REF!</v>
      </c>
      <c r="C97" s="802"/>
      <c r="D97" s="641"/>
      <c r="E97" s="641"/>
      <c r="F97" s="641"/>
      <c r="G97" s="456"/>
      <c r="H97" s="700"/>
      <c r="I97" s="701"/>
      <c r="J97" s="700"/>
    </row>
    <row r="98" spans="1:11" s="495" customFormat="1">
      <c r="A98" s="696"/>
      <c r="B98" s="708"/>
      <c r="C98" s="1529" t="e">
        <f>#REF!</f>
        <v>#REF!</v>
      </c>
      <c r="D98" s="527">
        <f>J98</f>
        <v>0</v>
      </c>
      <c r="E98" s="527" t="e">
        <f>#REF!</f>
        <v>#REF!</v>
      </c>
      <c r="F98" s="527" t="e">
        <f>+D98*E98</f>
        <v>#REF!</v>
      </c>
      <c r="G98" s="456"/>
      <c r="H98" s="700">
        <f>(2*7*I11+F13*H13+F14*H14+F15*H15+F16*H16+100*9.84*20)*2*0</f>
        <v>0</v>
      </c>
      <c r="I98" s="701">
        <f>1.05</f>
        <v>1.05</v>
      </c>
      <c r="J98" s="700">
        <f>H98*I98</f>
        <v>0</v>
      </c>
      <c r="K98" s="495" t="s">
        <v>261</v>
      </c>
    </row>
    <row r="99" spans="1:11" s="495" customFormat="1">
      <c r="A99" s="689" t="e">
        <f>#REF!</f>
        <v>#REF!</v>
      </c>
      <c r="B99" s="752" t="e">
        <f>#REF!</f>
        <v>#REF!</v>
      </c>
      <c r="C99" s="802"/>
      <c r="D99" s="641"/>
      <c r="E99" s="641"/>
      <c r="F99" s="641"/>
      <c r="G99" s="456"/>
      <c r="H99" s="493"/>
      <c r="I99" s="494"/>
      <c r="J99" s="493"/>
    </row>
    <row r="100" spans="1:11" s="495" customFormat="1">
      <c r="A100" s="696"/>
      <c r="B100" s="708"/>
      <c r="C100" s="1529" t="e">
        <f>#REF!</f>
        <v>#REF!</v>
      </c>
      <c r="D100" s="527">
        <f>+D98</f>
        <v>0</v>
      </c>
      <c r="E100" s="527" t="e">
        <f>#REF!</f>
        <v>#REF!</v>
      </c>
      <c r="F100" s="527" t="e">
        <f>+D100*E100</f>
        <v>#REF!</v>
      </c>
      <c r="G100" s="456"/>
      <c r="H100" s="493"/>
      <c r="I100" s="494"/>
      <c r="J100" s="493"/>
    </row>
    <row r="101" spans="1:11" s="495" customFormat="1">
      <c r="A101" s="689" t="e">
        <f>+#REF!</f>
        <v>#REF!</v>
      </c>
      <c r="B101" s="752" t="e">
        <f>+#REF!</f>
        <v>#REF!</v>
      </c>
      <c r="C101" s="802"/>
      <c r="D101" s="641"/>
      <c r="E101" s="641"/>
      <c r="F101" s="641"/>
      <c r="G101" s="456"/>
      <c r="H101" s="493"/>
      <c r="I101" s="494"/>
      <c r="J101" s="493"/>
    </row>
    <row r="102" spans="1:11" s="495" customFormat="1">
      <c r="A102" s="696"/>
      <c r="B102" s="708"/>
      <c r="C102" s="1528" t="e">
        <f>#REF!</f>
        <v>#REF!</v>
      </c>
      <c r="D102" s="650">
        <f>J102</f>
        <v>1066697.7750000001</v>
      </c>
      <c r="E102" s="633" t="e">
        <f>#REF!</f>
        <v>#REF!</v>
      </c>
      <c r="F102" s="633" t="e">
        <f>+D102*E102</f>
        <v>#REF!</v>
      </c>
      <c r="G102" s="456"/>
      <c r="H102" s="493">
        <f>1950*H93*5%</f>
        <v>1066697.7750000001</v>
      </c>
      <c r="I102" s="494">
        <v>1</v>
      </c>
      <c r="J102" s="493">
        <f>H102*I102</f>
        <v>1066697.7750000001</v>
      </c>
    </row>
    <row r="103" spans="1:11" s="495" customFormat="1">
      <c r="A103" s="755" t="e">
        <f>#REF!</f>
        <v>#REF!</v>
      </c>
      <c r="B103" s="754" t="e">
        <f>#REF!</f>
        <v>#REF!</v>
      </c>
      <c r="C103" s="1506"/>
      <c r="D103" s="544"/>
      <c r="E103" s="641"/>
      <c r="F103" s="641"/>
      <c r="G103" s="456"/>
      <c r="H103" s="493"/>
      <c r="I103" s="494"/>
      <c r="J103" s="493"/>
    </row>
    <row r="104" spans="1:11" s="495" customFormat="1">
      <c r="A104" s="755" t="e">
        <f>#REF!</f>
        <v>#REF!</v>
      </c>
      <c r="B104" s="754" t="e">
        <f>#REF!</f>
        <v>#REF!</v>
      </c>
      <c r="C104" s="1548"/>
      <c r="D104" s="650"/>
      <c r="E104" s="633"/>
      <c r="F104" s="633"/>
      <c r="G104" s="456"/>
      <c r="H104" s="493"/>
      <c r="I104" s="494"/>
      <c r="J104" s="493"/>
    </row>
    <row r="105" spans="1:11" s="495" customFormat="1">
      <c r="A105" s="750" t="e">
        <f>#REF!</f>
        <v>#REF!</v>
      </c>
      <c r="B105" s="729" t="e">
        <f>#REF!</f>
        <v>#REF!</v>
      </c>
      <c r="C105" s="1485" t="e">
        <f>#REF!</f>
        <v>#REF!</v>
      </c>
      <c r="D105" s="650">
        <f>+J105*0.9</f>
        <v>66955.798800000004</v>
      </c>
      <c r="E105" s="633" t="e">
        <f>#REF!</f>
        <v>#REF!</v>
      </c>
      <c r="F105" s="633" t="e">
        <f t="shared" ref="F105:F106" si="2">+D105*E105</f>
        <v>#REF!</v>
      </c>
      <c r="G105" s="456"/>
      <c r="H105" s="493">
        <f>+H93/0.15</f>
        <v>72936.600000000006</v>
      </c>
      <c r="I105" s="494">
        <v>1.02</v>
      </c>
      <c r="J105" s="493">
        <f>+H105*I105</f>
        <v>74395.332000000009</v>
      </c>
    </row>
    <row r="106" spans="1:11" s="495" customFormat="1">
      <c r="A106" s="750" t="e">
        <f>#REF!</f>
        <v>#REF!</v>
      </c>
      <c r="B106" s="729" t="e">
        <f>#REF!</f>
        <v>#REF!</v>
      </c>
      <c r="C106" s="1485" t="e">
        <f>#REF!</f>
        <v>#REF!</v>
      </c>
      <c r="D106" s="650">
        <f>+J106*0.83</f>
        <v>37342.171439999998</v>
      </c>
      <c r="E106" s="633" t="e">
        <f>#REF!</f>
        <v>#REF!</v>
      </c>
      <c r="F106" s="633" t="e">
        <f t="shared" si="2"/>
        <v>#REF!</v>
      </c>
      <c r="G106" s="456"/>
      <c r="H106" s="493">
        <f>+H95/0.2</f>
        <v>44108.4</v>
      </c>
      <c r="I106" s="494">
        <v>1.02</v>
      </c>
      <c r="J106" s="493">
        <f>+H106*I106</f>
        <v>44990.567999999999</v>
      </c>
    </row>
    <row r="107" spans="1:11" s="495" customFormat="1">
      <c r="A107" s="755" t="e">
        <f>#REF!</f>
        <v>#REF!</v>
      </c>
      <c r="B107" s="754" t="e">
        <f>#REF!</f>
        <v>#REF!</v>
      </c>
      <c r="C107" s="1485"/>
      <c r="D107" s="654"/>
      <c r="E107" s="633"/>
      <c r="F107" s="633"/>
      <c r="G107" s="456"/>
      <c r="H107" s="493"/>
      <c r="I107" s="494">
        <v>1.02</v>
      </c>
      <c r="J107" s="493"/>
    </row>
    <row r="108" spans="1:11" s="495" customFormat="1">
      <c r="A108" s="750" t="e">
        <f>#REF!</f>
        <v>#REF!</v>
      </c>
      <c r="B108" s="729" t="e">
        <f>#REF!</f>
        <v>#REF!</v>
      </c>
      <c r="C108" s="1485" t="e">
        <f>#REF!</f>
        <v>#REF!</v>
      </c>
      <c r="D108" s="654">
        <f>+D105</f>
        <v>66955.798800000004</v>
      </c>
      <c r="E108" s="633" t="e">
        <f>#REF!</f>
        <v>#REF!</v>
      </c>
      <c r="F108" s="633" t="e">
        <f>+D108*E108</f>
        <v>#REF!</v>
      </c>
      <c r="G108" s="456"/>
      <c r="H108" s="493">
        <f>F13*H13+F14*H14+F15*H15+F16*H16+100*20*9.84</f>
        <v>72936.600000000006</v>
      </c>
      <c r="I108" s="494">
        <v>1.02</v>
      </c>
      <c r="J108" s="493">
        <f>H108*I108</f>
        <v>74395.332000000009</v>
      </c>
    </row>
    <row r="109" spans="1:11" s="495" customFormat="1">
      <c r="A109" s="750" t="e">
        <f>#REF!</f>
        <v>#REF!</v>
      </c>
      <c r="B109" s="729" t="e">
        <f>#REF!</f>
        <v>#REF!</v>
      </c>
      <c r="C109" s="1408" t="e">
        <f>#REF!</f>
        <v>#REF!</v>
      </c>
      <c r="D109" s="648">
        <f>+D106</f>
        <v>37342.171439999998</v>
      </c>
      <c r="E109" s="527" t="e">
        <f>#REF!</f>
        <v>#REF!</v>
      </c>
      <c r="F109" s="527" t="e">
        <f>+D109*E109</f>
        <v>#REF!</v>
      </c>
      <c r="G109" s="456"/>
      <c r="H109" s="769">
        <f>(G13-H13)*F13+(G14-H14)*F14+(G15-H15)*F15+(G16-H16)*F16+100*20*(15-9.84)</f>
        <v>44108.4</v>
      </c>
      <c r="I109" s="494">
        <v>1.02</v>
      </c>
      <c r="J109" s="493">
        <f>H109*I109</f>
        <v>44990.567999999999</v>
      </c>
    </row>
    <row r="110" spans="1:11" s="495" customFormat="1">
      <c r="A110" s="689" t="e">
        <f>#REF!</f>
        <v>#REF!</v>
      </c>
      <c r="B110" s="752" t="e">
        <f>#REF!</f>
        <v>#REF!</v>
      </c>
      <c r="C110" s="1566"/>
      <c r="D110" s="662"/>
      <c r="E110" s="641"/>
      <c r="F110" s="641"/>
      <c r="G110" s="456"/>
      <c r="H110" s="769"/>
      <c r="I110" s="494"/>
      <c r="J110" s="493"/>
    </row>
    <row r="111" spans="1:11" s="495" customFormat="1">
      <c r="A111" s="755" t="e">
        <f>#REF!</f>
        <v>#REF!</v>
      </c>
      <c r="B111" s="754" t="e">
        <f>#REF!</f>
        <v>#REF!</v>
      </c>
      <c r="C111" s="1558"/>
      <c r="D111" s="654"/>
      <c r="E111" s="633"/>
      <c r="F111" s="633"/>
      <c r="G111" s="456"/>
      <c r="H111" s="769"/>
      <c r="I111" s="494"/>
      <c r="J111" s="493"/>
    </row>
    <row r="112" spans="1:11" s="495" customFormat="1">
      <c r="A112" s="750" t="e">
        <f>#REF!</f>
        <v>#REF!</v>
      </c>
      <c r="B112" s="729" t="e">
        <f>#REF!</f>
        <v>#REF!</v>
      </c>
      <c r="C112" s="1558" t="e">
        <f>#REF!</f>
        <v>#REF!</v>
      </c>
      <c r="D112" s="654">
        <f>+J112</f>
        <v>1198.5</v>
      </c>
      <c r="E112" s="633" t="e">
        <f>#REF!</f>
        <v>#REF!</v>
      </c>
      <c r="F112" s="633" t="e">
        <f t="shared" ref="F112:F116" si="3">+D112*E112</f>
        <v>#REF!</v>
      </c>
      <c r="G112" s="456"/>
      <c r="H112" s="495">
        <f>20*25+45*15</f>
        <v>1175</v>
      </c>
      <c r="I112" s="494">
        <v>1.02</v>
      </c>
      <c r="J112" s="493">
        <f>H112*I112</f>
        <v>1198.5</v>
      </c>
    </row>
    <row r="113" spans="1:12" s="495" customFormat="1">
      <c r="A113" s="750" t="e">
        <f>#REF!</f>
        <v>#REF!</v>
      </c>
      <c r="B113" s="729" t="e">
        <f>#REF!</f>
        <v>#REF!</v>
      </c>
      <c r="C113" s="1558" t="e">
        <f>#REF!</f>
        <v>#REF!</v>
      </c>
      <c r="D113" s="654">
        <f t="shared" ref="D113:D115" si="4">+J113</f>
        <v>16016.04</v>
      </c>
      <c r="E113" s="633" t="e">
        <f>#REF!</f>
        <v>#REF!</v>
      </c>
      <c r="F113" s="633" t="e">
        <f t="shared" si="3"/>
        <v>#REF!</v>
      </c>
      <c r="G113" s="456"/>
      <c r="H113" s="493">
        <f>2*SUM(F12:F16)</f>
        <v>15702</v>
      </c>
      <c r="I113" s="494">
        <v>1.02</v>
      </c>
      <c r="J113" s="493">
        <f>H113*I113</f>
        <v>16016.04</v>
      </c>
      <c r="L113" s="495">
        <f>150*12</f>
        <v>1800</v>
      </c>
    </row>
    <row r="114" spans="1:12" s="495" customFormat="1">
      <c r="A114" s="750" t="e">
        <f>#REF!</f>
        <v>#REF!</v>
      </c>
      <c r="B114" s="729" t="e">
        <f>#REF!</f>
        <v>#REF!</v>
      </c>
      <c r="C114" s="1558" t="e">
        <f>#REF!</f>
        <v>#REF!</v>
      </c>
      <c r="D114" s="654">
        <f t="shared" si="4"/>
        <v>0</v>
      </c>
      <c r="E114" s="633" t="e">
        <f>#REF!</f>
        <v>#REF!</v>
      </c>
      <c r="F114" s="633" t="e">
        <f t="shared" si="3"/>
        <v>#REF!</v>
      </c>
      <c r="G114" s="456"/>
      <c r="H114" s="803">
        <f>H115*0</f>
        <v>0</v>
      </c>
      <c r="I114" s="494">
        <v>1.02</v>
      </c>
      <c r="J114" s="493">
        <f>H114*I114</f>
        <v>0</v>
      </c>
    </row>
    <row r="115" spans="1:12" s="495" customFormat="1">
      <c r="A115" s="750" t="e">
        <f>#REF!</f>
        <v>#REF!</v>
      </c>
      <c r="B115" s="729" t="e">
        <f>#REF!</f>
        <v>#REF!</v>
      </c>
      <c r="C115" s="1558" t="e">
        <f>#REF!</f>
        <v>#REF!</v>
      </c>
      <c r="D115" s="654">
        <f t="shared" si="4"/>
        <v>18264.12</v>
      </c>
      <c r="E115" s="633" t="e">
        <f>#REF!</f>
        <v>#REF!</v>
      </c>
      <c r="F115" s="633" t="e">
        <f t="shared" si="3"/>
        <v>#REF!</v>
      </c>
      <c r="G115" s="456"/>
      <c r="H115" s="493">
        <f>2*(SUM(F13:F16)+100*20)+F12</f>
        <v>17906</v>
      </c>
      <c r="I115" s="494">
        <v>1.02</v>
      </c>
      <c r="J115" s="493">
        <f>H115*I115</f>
        <v>18264.12</v>
      </c>
    </row>
    <row r="116" spans="1:12" s="495" customFormat="1">
      <c r="A116" s="755" t="e">
        <f>#REF!</f>
        <v>#REF!</v>
      </c>
      <c r="B116" s="754" t="e">
        <f>#REF!</f>
        <v>#REF!</v>
      </c>
      <c r="C116" s="1563"/>
      <c r="D116" s="757"/>
      <c r="E116" s="633"/>
      <c r="F116" s="633">
        <f t="shared" si="3"/>
        <v>0</v>
      </c>
      <c r="G116" s="456"/>
      <c r="H116" s="493"/>
      <c r="I116" s="494"/>
      <c r="J116" s="493"/>
    </row>
    <row r="117" spans="1:12" s="495" customFormat="1">
      <c r="A117" s="750" t="e">
        <f>#REF!</f>
        <v>#REF!</v>
      </c>
      <c r="B117" s="729" t="e">
        <f>#REF!</f>
        <v>#REF!</v>
      </c>
      <c r="C117" s="1558" t="e">
        <f>#REF!</f>
        <v>#REF!</v>
      </c>
      <c r="D117" s="757">
        <f>+D112</f>
        <v>1198.5</v>
      </c>
      <c r="E117" s="633" t="e">
        <f>#REF!</f>
        <v>#REF!</v>
      </c>
      <c r="F117" s="633" t="e">
        <f>+D117*E117</f>
        <v>#REF!</v>
      </c>
      <c r="G117" s="456"/>
    </row>
    <row r="118" spans="1:12" s="495" customFormat="1">
      <c r="A118" s="750" t="e">
        <f>#REF!</f>
        <v>#REF!</v>
      </c>
      <c r="B118" s="729" t="e">
        <f>#REF!</f>
        <v>#REF!</v>
      </c>
      <c r="C118" s="1558" t="e">
        <f>#REF!</f>
        <v>#REF!</v>
      </c>
      <c r="D118" s="757">
        <f t="shared" ref="D118:D120" si="5">+D113</f>
        <v>16016.04</v>
      </c>
      <c r="E118" s="633" t="e">
        <f>#REF!</f>
        <v>#REF!</v>
      </c>
      <c r="F118" s="633" t="e">
        <f>+D118*E118</f>
        <v>#REF!</v>
      </c>
      <c r="G118" s="456"/>
    </row>
    <row r="119" spans="1:12" s="495" customFormat="1">
      <c r="A119" s="750" t="e">
        <f>#REF!</f>
        <v>#REF!</v>
      </c>
      <c r="B119" s="729" t="e">
        <f>#REF!</f>
        <v>#REF!</v>
      </c>
      <c r="C119" s="1558" t="e">
        <f>#REF!</f>
        <v>#REF!</v>
      </c>
      <c r="D119" s="757">
        <f t="shared" si="5"/>
        <v>0</v>
      </c>
      <c r="E119" s="633" t="e">
        <f>#REF!</f>
        <v>#REF!</v>
      </c>
      <c r="F119" s="633" t="e">
        <f>+D119*E119</f>
        <v>#REF!</v>
      </c>
      <c r="G119" s="456"/>
    </row>
    <row r="120" spans="1:12" s="495" customFormat="1">
      <c r="A120" s="750" t="e">
        <f>#REF!</f>
        <v>#REF!</v>
      </c>
      <c r="B120" s="729" t="e">
        <f>#REF!</f>
        <v>#REF!</v>
      </c>
      <c r="C120" s="1558" t="e">
        <f>#REF!</f>
        <v>#REF!</v>
      </c>
      <c r="D120" s="757">
        <f t="shared" si="5"/>
        <v>18264.12</v>
      </c>
      <c r="E120" s="633" t="e">
        <f>#REF!</f>
        <v>#REF!</v>
      </c>
      <c r="F120" s="633" t="e">
        <f>+D120*E120</f>
        <v>#REF!</v>
      </c>
      <c r="G120" s="456"/>
    </row>
    <row r="121" spans="1:12" s="495" customFormat="1" ht="30" customHeight="1">
      <c r="A121" s="794" t="e">
        <f>#REF!</f>
        <v>#REF!</v>
      </c>
      <c r="B121" s="782" t="e">
        <f>#REF!</f>
        <v>#REF!</v>
      </c>
      <c r="C121" s="1566"/>
      <c r="D121" s="784"/>
      <c r="E121" s="641"/>
      <c r="F121" s="641"/>
      <c r="G121" s="456"/>
      <c r="H121" s="803"/>
      <c r="I121" s="494"/>
      <c r="J121" s="493"/>
    </row>
    <row r="122" spans="1:12" s="495" customFormat="1" ht="24" customHeight="1">
      <c r="A122" s="783" t="e">
        <f>#REF!</f>
        <v>#REF!</v>
      </c>
      <c r="B122" s="1110" t="e">
        <f>#REF!</f>
        <v>#REF!</v>
      </c>
      <c r="C122" s="1558"/>
      <c r="D122" s="757"/>
      <c r="E122" s="633"/>
      <c r="F122" s="633"/>
      <c r="G122" s="456"/>
      <c r="H122" s="803"/>
      <c r="I122" s="494"/>
      <c r="J122" s="493"/>
    </row>
    <row r="123" spans="1:12" s="495" customFormat="1">
      <c r="A123" s="1271" t="e">
        <f>#REF!</f>
        <v>#REF!</v>
      </c>
      <c r="B123" s="828" t="e">
        <f>#REF!</f>
        <v>#REF!</v>
      </c>
      <c r="C123" s="1558" t="e">
        <f>#REF!</f>
        <v>#REF!</v>
      </c>
      <c r="D123" s="757">
        <f>+D105*0.1</f>
        <v>6695.5798800000011</v>
      </c>
      <c r="E123" s="633" t="e">
        <f>#REF!</f>
        <v>#REF!</v>
      </c>
      <c r="F123" s="633" t="e">
        <f>+D123*E123</f>
        <v>#REF!</v>
      </c>
      <c r="G123" s="456"/>
      <c r="H123" s="803"/>
      <c r="I123" s="494"/>
      <c r="J123" s="493"/>
    </row>
    <row r="124" spans="1:12" s="495" customFormat="1">
      <c r="A124" s="1271" t="e">
        <f>#REF!</f>
        <v>#REF!</v>
      </c>
      <c r="B124" s="828" t="e">
        <f>#REF!</f>
        <v>#REF!</v>
      </c>
      <c r="C124" s="1558" t="e">
        <f>#REF!</f>
        <v>#REF!</v>
      </c>
      <c r="D124" s="757">
        <f>+D106*0.2</f>
        <v>7468.4342880000004</v>
      </c>
      <c r="E124" s="633" t="e">
        <f>#REF!</f>
        <v>#REF!</v>
      </c>
      <c r="F124" s="633" t="e">
        <f t="shared" ref="F124:F127" si="6">+D124*E124</f>
        <v>#REF!</v>
      </c>
      <c r="G124" s="456"/>
      <c r="H124" s="803"/>
      <c r="I124" s="494"/>
      <c r="J124" s="493"/>
    </row>
    <row r="125" spans="1:12" s="495" customFormat="1" ht="24" customHeight="1">
      <c r="A125" s="783" t="e">
        <f>#REF!</f>
        <v>#REF!</v>
      </c>
      <c r="B125" s="1110" t="e">
        <f>#REF!</f>
        <v>#REF!</v>
      </c>
      <c r="C125" s="1558"/>
      <c r="D125" s="757"/>
      <c r="E125" s="633"/>
      <c r="F125" s="633"/>
      <c r="G125" s="456"/>
      <c r="H125" s="803"/>
      <c r="I125" s="494"/>
      <c r="J125" s="493"/>
    </row>
    <row r="126" spans="1:12" s="495" customFormat="1">
      <c r="A126" s="1271" t="e">
        <f>#REF!</f>
        <v>#REF!</v>
      </c>
      <c r="B126" s="828" t="e">
        <f>#REF!</f>
        <v>#REF!</v>
      </c>
      <c r="C126" s="1558" t="e">
        <f>#REF!</f>
        <v>#REF!</v>
      </c>
      <c r="D126" s="757">
        <f>+D123</f>
        <v>6695.5798800000011</v>
      </c>
      <c r="E126" s="633" t="e">
        <f>#REF!</f>
        <v>#REF!</v>
      </c>
      <c r="F126" s="633" t="e">
        <f t="shared" si="6"/>
        <v>#REF!</v>
      </c>
      <c r="G126" s="456"/>
      <c r="H126" s="803"/>
      <c r="I126" s="494"/>
      <c r="J126" s="493"/>
    </row>
    <row r="127" spans="1:12" s="495" customFormat="1">
      <c r="A127" s="1272" t="e">
        <f>#REF!</f>
        <v>#REF!</v>
      </c>
      <c r="B127" s="1273" t="e">
        <f>#REF!</f>
        <v>#REF!</v>
      </c>
      <c r="C127" s="1560" t="e">
        <f>#REF!</f>
        <v>#REF!</v>
      </c>
      <c r="D127" s="758">
        <f>+D124</f>
        <v>7468.4342880000004</v>
      </c>
      <c r="E127" s="527" t="e">
        <f>#REF!</f>
        <v>#REF!</v>
      </c>
      <c r="F127" s="527" t="e">
        <f t="shared" si="6"/>
        <v>#REF!</v>
      </c>
      <c r="G127" s="456"/>
      <c r="H127" s="803"/>
      <c r="I127" s="494"/>
      <c r="J127" s="493"/>
    </row>
    <row r="128" spans="1:12" s="495" customFormat="1" ht="18.75">
      <c r="A128" s="709"/>
      <c r="B128" s="460"/>
      <c r="C128" s="634"/>
      <c r="D128" s="635"/>
      <c r="E128" s="636" t="s">
        <v>109</v>
      </c>
      <c r="F128" s="1122" t="e">
        <f>SUM(F95:F127)</f>
        <v>#REF!</v>
      </c>
      <c r="G128" s="456"/>
      <c r="H128" s="493"/>
      <c r="I128" s="494"/>
      <c r="J128" s="493"/>
    </row>
    <row r="129" spans="1:12" s="129" customFormat="1" ht="15" customHeight="1">
      <c r="A129" s="406"/>
      <c r="B129" s="12"/>
      <c r="C129" s="51"/>
      <c r="D129" s="76"/>
      <c r="E129" s="91"/>
      <c r="F129" s="91"/>
      <c r="G129" s="142"/>
      <c r="H129" s="255"/>
      <c r="I129" s="262"/>
      <c r="J129" s="262">
        <f>4.82*2.4*1.46</f>
        <v>16.889279999999999</v>
      </c>
      <c r="L129" s="129">
        <f>5.9/2</f>
        <v>2.95</v>
      </c>
    </row>
    <row r="130" spans="1:12" s="779" customFormat="1" ht="24.95" customHeight="1">
      <c r="A130" s="1905" t="e">
        <f>#REF!</f>
        <v>#REF!</v>
      </c>
      <c r="B130" s="1906"/>
      <c r="C130" s="1906"/>
      <c r="D130" s="1906"/>
      <c r="E130" s="1906"/>
      <c r="F130" s="1907"/>
      <c r="G130" s="776"/>
      <c r="H130" s="777"/>
      <c r="I130" s="778"/>
      <c r="J130" s="777"/>
      <c r="L130" s="779">
        <f>2.95*2</f>
        <v>5.9</v>
      </c>
    </row>
    <row r="131" spans="1:12" s="495" customFormat="1">
      <c r="A131" s="791" t="e">
        <f>#REF!</f>
        <v>#REF!</v>
      </c>
      <c r="B131" s="767" t="e">
        <f>#REF!</f>
        <v>#REF!</v>
      </c>
      <c r="C131" s="1532"/>
      <c r="D131" s="660"/>
      <c r="E131" s="633"/>
      <c r="F131" s="633"/>
      <c r="G131" s="456"/>
      <c r="H131" s="493"/>
      <c r="I131" s="494"/>
      <c r="J131" s="493"/>
      <c r="L131" s="495">
        <v>6.1</v>
      </c>
    </row>
    <row r="132" spans="1:12" s="495" customFormat="1">
      <c r="A132" s="639"/>
      <c r="B132" s="715"/>
      <c r="C132" s="1529" t="e">
        <f>#REF!</f>
        <v>#REF!</v>
      </c>
      <c r="D132" s="661">
        <f>J132</f>
        <v>43986.84</v>
      </c>
      <c r="E132" s="527" t="e">
        <f>#REF!</f>
        <v>#REF!</v>
      </c>
      <c r="F132" s="527" t="e">
        <f>+D132*E132</f>
        <v>#REF!</v>
      </c>
      <c r="G132" s="456"/>
      <c r="H132" s="700">
        <f>F3*(2.5+0.3*3+0.6*2+0.1*2)*(1.5+0.3+0.3+0.1)+F4*(1.2+0.3*2+0.4*2+0.1*2)+F5*(1+0.25*2+0.4*2+0.1*2)*(1+0.2*2+0.1)+F6*(0.6+0.4*2+0.25*2+0.1*2)*(0.6+0.25*2+0.1)+F7*(0.6+0.4*2+0.2*2+0.1*2)*(0.8+0.2+0.2+0.1)+F8*(0.8+0.7*2)*(0.8+0.1+0.2*2)+F9*(0.8+0.7*2)*(0.6+0.5)+F10*(0.8+0.7*2)*(1+0.7)+100*20*2*(0.6+0.4*2+0.2*2+0.1*2)*(0.6+0.1+0.2+0.2)+(1.5*2.5)*F11</f>
        <v>36655.699999999997</v>
      </c>
      <c r="I132" s="494">
        <v>1.2</v>
      </c>
      <c r="J132" s="493">
        <f>H132*I132</f>
        <v>43986.84</v>
      </c>
      <c r="L132" s="495">
        <f>2*9</f>
        <v>18</v>
      </c>
    </row>
    <row r="133" spans="1:12" s="495" customFormat="1">
      <c r="A133" s="745" t="e">
        <f>#REF!</f>
        <v>#REF!</v>
      </c>
      <c r="B133" s="768" t="e">
        <f>#REF!</f>
        <v>#REF!</v>
      </c>
      <c r="C133" s="1533"/>
      <c r="D133" s="1565"/>
      <c r="E133" s="641"/>
      <c r="F133" s="1564"/>
      <c r="G133" s="456"/>
      <c r="H133" s="493"/>
      <c r="I133" s="494"/>
      <c r="J133" s="493"/>
      <c r="L133" s="495">
        <f>2*2</f>
        <v>4</v>
      </c>
    </row>
    <row r="134" spans="1:12" s="495" customFormat="1">
      <c r="A134" s="639"/>
      <c r="B134" s="795"/>
      <c r="C134" s="1529" t="e">
        <f>#REF!</f>
        <v>#REF!</v>
      </c>
      <c r="D134" s="661">
        <f>J134</f>
        <v>31064.7</v>
      </c>
      <c r="E134" s="527" t="e">
        <f>#REF!</f>
        <v>#REF!</v>
      </c>
      <c r="F134" s="527" t="e">
        <f>+D134*E134</f>
        <v>#REF!</v>
      </c>
      <c r="G134" s="456"/>
      <c r="H134" s="493">
        <f>H132-F3*3.1*1.8-F4*1.8*1.3-F5*1.4*1.3+F6*1*0.8-F7*1*1-F8*1.2*1.1-F9*1.2*0.9-F10*1.2*1.3-F11*(1.2*0.25+2.25*0.25)</f>
        <v>31064.7</v>
      </c>
      <c r="I134" s="494">
        <v>1</v>
      </c>
      <c r="J134" s="493">
        <f>H134*I134</f>
        <v>31064.7</v>
      </c>
      <c r="L134" s="495">
        <f>2*3</f>
        <v>6</v>
      </c>
    </row>
    <row r="135" spans="1:12" s="495" customFormat="1">
      <c r="A135" s="755" t="e">
        <f>#REF!</f>
        <v>#REF!</v>
      </c>
      <c r="B135" s="678" t="e">
        <f>#REF!</f>
        <v>#REF!</v>
      </c>
      <c r="C135" s="1494"/>
      <c r="D135" s="660"/>
      <c r="E135" s="641"/>
      <c r="F135" s="633"/>
      <c r="G135" s="456"/>
      <c r="H135" s="493"/>
      <c r="I135" s="494"/>
      <c r="J135" s="493"/>
    </row>
    <row r="136" spans="1:12" s="495" customFormat="1">
      <c r="A136" s="751"/>
      <c r="B136" s="753"/>
      <c r="C136" s="1557" t="e">
        <f>#REF!</f>
        <v>#REF!</v>
      </c>
      <c r="D136" s="661">
        <f>J136</f>
        <v>80</v>
      </c>
      <c r="E136" s="527" t="e">
        <f>#REF!</f>
        <v>#REF!</v>
      </c>
      <c r="F136" s="527" t="e">
        <f>+D136*E136</f>
        <v>#REF!</v>
      </c>
      <c r="G136" s="456"/>
      <c r="H136" s="705">
        <v>80</v>
      </c>
      <c r="I136" s="494">
        <v>1</v>
      </c>
      <c r="J136" s="493">
        <f>H136*I136</f>
        <v>80</v>
      </c>
    </row>
    <row r="137" spans="1:12" s="495" customFormat="1">
      <c r="A137" s="689" t="e">
        <f>#REF!</f>
        <v>#REF!</v>
      </c>
      <c r="B137" s="711" t="e">
        <f>#REF!</f>
        <v>#REF!</v>
      </c>
      <c r="C137" s="1487"/>
      <c r="D137" s="784"/>
      <c r="E137" s="641"/>
      <c r="F137" s="641"/>
      <c r="G137" s="456"/>
      <c r="H137" s="493"/>
      <c r="I137" s="494"/>
      <c r="J137" s="493"/>
    </row>
    <row r="138" spans="1:12" s="495" customFormat="1">
      <c r="A138" s="750"/>
      <c r="B138" s="677"/>
      <c r="C138" s="1408" t="e">
        <f>#REF!</f>
        <v>#REF!</v>
      </c>
      <c r="D138" s="648">
        <v>1800</v>
      </c>
      <c r="E138" s="527" t="e">
        <f>#REF!</f>
        <v>#REF!</v>
      </c>
      <c r="F138" s="527" t="e">
        <f>+D138*E138</f>
        <v>#REF!</v>
      </c>
      <c r="G138" s="456"/>
      <c r="H138" s="493">
        <v>250</v>
      </c>
      <c r="I138" s="494">
        <v>1</v>
      </c>
      <c r="J138" s="493">
        <f>H138*I138</f>
        <v>250</v>
      </c>
      <c r="K138" s="495">
        <f>2</f>
        <v>2</v>
      </c>
    </row>
    <row r="139" spans="1:12" s="495" customFormat="1">
      <c r="A139" s="689" t="e">
        <f>#REF!</f>
        <v>#REF!</v>
      </c>
      <c r="B139" s="752" t="e">
        <f>#REF!</f>
        <v>#REF!</v>
      </c>
      <c r="C139" s="1573"/>
      <c r="D139" s="707"/>
      <c r="E139" s="641"/>
      <c r="F139" s="641"/>
      <c r="G139" s="456"/>
      <c r="H139" s="493"/>
      <c r="I139" s="494"/>
      <c r="J139" s="493"/>
      <c r="K139" s="495">
        <f>J138*K138/2</f>
        <v>250</v>
      </c>
    </row>
    <row r="140" spans="1:12" s="495" customFormat="1">
      <c r="A140" s="750" t="e">
        <f>#REF!</f>
        <v>#REF!</v>
      </c>
      <c r="B140" s="729" t="e">
        <f>#REF!</f>
        <v>#REF!</v>
      </c>
      <c r="C140" s="1558" t="e">
        <f>#REF!</f>
        <v>#REF!</v>
      </c>
      <c r="D140" s="707">
        <f>D145*110</f>
        <v>27500</v>
      </c>
      <c r="E140" s="633" t="e">
        <f>#REF!</f>
        <v>#REF!</v>
      </c>
      <c r="F140" s="633" t="e">
        <f>+D140*E140</f>
        <v>#REF!</v>
      </c>
      <c r="G140" s="456"/>
      <c r="H140" s="493"/>
      <c r="I140" s="494"/>
      <c r="J140" s="493"/>
    </row>
    <row r="141" spans="1:12" s="495" customFormat="1">
      <c r="A141" s="751" t="e">
        <f>#REF!</f>
        <v>#REF!</v>
      </c>
      <c r="B141" s="708" t="e">
        <f>#REF!</f>
        <v>#REF!</v>
      </c>
      <c r="C141" s="1560" t="e">
        <f>#REF!</f>
        <v>#REF!</v>
      </c>
      <c r="D141" s="647">
        <v>0</v>
      </c>
      <c r="E141" s="527" t="e">
        <f>#REF!</f>
        <v>#REF!</v>
      </c>
      <c r="F141" s="527" t="e">
        <f>+D141*E141</f>
        <v>#REF!</v>
      </c>
      <c r="G141" s="456"/>
      <c r="H141" s="493"/>
      <c r="I141" s="494"/>
      <c r="J141" s="493"/>
    </row>
    <row r="142" spans="1:12" s="495" customFormat="1">
      <c r="A142" s="689" t="e">
        <f>#REF!</f>
        <v>#REF!</v>
      </c>
      <c r="B142" s="752" t="e">
        <f>#REF!</f>
        <v>#REF!</v>
      </c>
      <c r="C142" s="1544"/>
      <c r="D142" s="707"/>
      <c r="E142" s="641"/>
      <c r="F142" s="641"/>
      <c r="G142" s="456"/>
      <c r="H142" s="493"/>
      <c r="I142" s="494"/>
      <c r="J142" s="493"/>
    </row>
    <row r="143" spans="1:12" s="495" customFormat="1">
      <c r="A143" s="751"/>
      <c r="B143" s="708"/>
      <c r="C143" s="1546" t="e">
        <f>#REF!</f>
        <v>#REF!</v>
      </c>
      <c r="D143" s="648">
        <v>300</v>
      </c>
      <c r="E143" s="734" t="e">
        <f>#REF!</f>
        <v>#REF!</v>
      </c>
      <c r="F143" s="527" t="e">
        <f>+D143*E143</f>
        <v>#REF!</v>
      </c>
      <c r="G143" s="456"/>
      <c r="H143" s="493">
        <v>150</v>
      </c>
      <c r="I143" s="494">
        <v>1</v>
      </c>
      <c r="J143" s="493">
        <f>H143*I143</f>
        <v>150</v>
      </c>
    </row>
    <row r="144" spans="1:12" s="495" customFormat="1">
      <c r="A144" s="689" t="e">
        <f>#REF!</f>
        <v>#REF!</v>
      </c>
      <c r="B144" s="752" t="e">
        <f>#REF!</f>
        <v>#REF!</v>
      </c>
      <c r="C144" s="1544"/>
      <c r="D144" s="707"/>
      <c r="E144" s="641"/>
      <c r="F144" s="641"/>
      <c r="G144" s="456"/>
      <c r="H144" s="493"/>
      <c r="I144" s="494"/>
      <c r="J144" s="493"/>
    </row>
    <row r="145" spans="1:189" s="495" customFormat="1">
      <c r="A145" s="751"/>
      <c r="B145" s="708"/>
      <c r="C145" s="1546" t="e">
        <f>#REF!</f>
        <v>#REF!</v>
      </c>
      <c r="D145" s="644">
        <v>250</v>
      </c>
      <c r="E145" s="527" t="e">
        <f>#REF!</f>
        <v>#REF!</v>
      </c>
      <c r="F145" s="527" t="e">
        <f>+D145*E145</f>
        <v>#REF!</v>
      </c>
      <c r="G145" s="456"/>
      <c r="H145" s="493">
        <v>200</v>
      </c>
      <c r="I145" s="494">
        <v>1</v>
      </c>
      <c r="J145" s="493">
        <f>H145*I145</f>
        <v>200</v>
      </c>
    </row>
    <row r="146" spans="1:189" s="495" customFormat="1">
      <c r="A146" s="689" t="e">
        <f>#REF!</f>
        <v>#REF!</v>
      </c>
      <c r="B146" s="782" t="e">
        <f>#REF!</f>
        <v>#REF!</v>
      </c>
      <c r="C146" s="1571"/>
      <c r="D146" s="651"/>
      <c r="E146" s="641"/>
      <c r="F146" s="641"/>
      <c r="G146" s="456"/>
      <c r="H146" s="493"/>
      <c r="I146" s="494"/>
      <c r="J146" s="493"/>
    </row>
    <row r="147" spans="1:189" s="495" customFormat="1">
      <c r="A147" s="750" t="e">
        <f>#REF!</f>
        <v>#REF!</v>
      </c>
      <c r="B147" s="729" t="e">
        <f>#REF!</f>
        <v>#REF!</v>
      </c>
      <c r="C147" s="1558" t="e">
        <f>#REF!</f>
        <v>#REF!</v>
      </c>
      <c r="D147" s="707">
        <f>J147</f>
        <v>282.27500000000003</v>
      </c>
      <c r="E147" s="633" t="e">
        <f>#REF!</f>
        <v>#REF!</v>
      </c>
      <c r="F147" s="633" t="e">
        <f>+D147*E147</f>
        <v>#REF!</v>
      </c>
      <c r="G147" s="456"/>
      <c r="H147" s="493">
        <f>5%*J62</f>
        <v>282.27500000000003</v>
      </c>
      <c r="I147" s="494">
        <v>1</v>
      </c>
      <c r="J147" s="493">
        <f>H147*I147</f>
        <v>282.27500000000003</v>
      </c>
    </row>
    <row r="148" spans="1:189" s="495" customFormat="1">
      <c r="A148" s="750" t="e">
        <f>#REF!</f>
        <v>#REF!</v>
      </c>
      <c r="B148" s="729" t="e">
        <f>#REF!</f>
        <v>#REF!</v>
      </c>
      <c r="C148" s="1558" t="e">
        <f>#REF!</f>
        <v>#REF!</v>
      </c>
      <c r="D148" s="707">
        <f>J148</f>
        <v>112.91</v>
      </c>
      <c r="E148" s="633" t="e">
        <f>#REF!</f>
        <v>#REF!</v>
      </c>
      <c r="F148" s="633" t="e">
        <f>+D148*E148</f>
        <v>#REF!</v>
      </c>
      <c r="G148" s="456"/>
      <c r="H148" s="493">
        <f>2%*J62</f>
        <v>112.91</v>
      </c>
      <c r="I148" s="494">
        <v>1</v>
      </c>
      <c r="J148" s="493">
        <f>H148*I148</f>
        <v>112.91</v>
      </c>
      <c r="L148" s="756"/>
    </row>
    <row r="149" spans="1:189" s="495" customFormat="1">
      <c r="A149" s="751" t="e">
        <f>#REF!</f>
        <v>#REF!</v>
      </c>
      <c r="B149" s="708" t="e">
        <f>#REF!</f>
        <v>#REF!</v>
      </c>
      <c r="C149" s="1558" t="e">
        <f>#REF!</f>
        <v>#REF!</v>
      </c>
      <c r="D149" s="757">
        <f>H149</f>
        <v>0</v>
      </c>
      <c r="E149" s="633" t="e">
        <f>#REF!</f>
        <v>#REF!</v>
      </c>
      <c r="F149" s="633" t="e">
        <f>+D149*E149</f>
        <v>#REF!</v>
      </c>
      <c r="G149" s="456"/>
      <c r="H149" s="493">
        <v>0</v>
      </c>
      <c r="I149" s="494"/>
      <c r="J149" s="493"/>
    </row>
    <row r="150" spans="1:189" s="466" customFormat="1">
      <c r="A150" s="689" t="e">
        <f>#REF!</f>
        <v>#REF!</v>
      </c>
      <c r="B150" s="782" t="e">
        <f>#REF!</f>
        <v>#REF!</v>
      </c>
      <c r="C150" s="1407"/>
      <c r="D150" s="662"/>
      <c r="E150" s="641"/>
      <c r="F150" s="641"/>
      <c r="H150" s="496"/>
      <c r="I150" s="497"/>
      <c r="J150" s="496"/>
      <c r="K150" s="498"/>
      <c r="L150" s="498"/>
      <c r="M150" s="498"/>
      <c r="N150" s="498"/>
      <c r="O150" s="498"/>
      <c r="P150" s="498"/>
      <c r="Q150" s="498"/>
      <c r="R150" s="498"/>
      <c r="S150" s="498"/>
      <c r="T150" s="498"/>
      <c r="U150" s="498"/>
      <c r="V150" s="498"/>
      <c r="W150" s="498"/>
      <c r="X150" s="498"/>
      <c r="Y150" s="498"/>
      <c r="Z150" s="498"/>
      <c r="AA150" s="498"/>
      <c r="AB150" s="498"/>
      <c r="AC150" s="498"/>
      <c r="AD150" s="498"/>
      <c r="AE150" s="498"/>
      <c r="AF150" s="498"/>
      <c r="AG150" s="498"/>
      <c r="AH150" s="498"/>
      <c r="AI150" s="498"/>
      <c r="AJ150" s="498"/>
      <c r="AK150" s="498"/>
      <c r="AL150" s="498"/>
      <c r="AM150" s="498"/>
      <c r="AN150" s="498"/>
      <c r="AO150" s="498"/>
      <c r="AP150" s="498"/>
      <c r="AQ150" s="498"/>
      <c r="AR150" s="498"/>
      <c r="AS150" s="498"/>
      <c r="AT150" s="498"/>
      <c r="AU150" s="498"/>
      <c r="AV150" s="498"/>
      <c r="AW150" s="498"/>
      <c r="AX150" s="498"/>
      <c r="AY150" s="498"/>
      <c r="AZ150" s="498"/>
      <c r="BA150" s="498"/>
      <c r="BB150" s="498"/>
      <c r="BC150" s="498"/>
      <c r="BD150" s="498"/>
      <c r="BE150" s="498"/>
      <c r="BF150" s="498"/>
      <c r="BG150" s="498"/>
      <c r="BH150" s="498"/>
      <c r="BI150" s="498"/>
      <c r="BJ150" s="498"/>
      <c r="BK150" s="498"/>
      <c r="BL150" s="498"/>
      <c r="BM150" s="498"/>
      <c r="BN150" s="498"/>
      <c r="BO150" s="498"/>
      <c r="BP150" s="498"/>
      <c r="BQ150" s="498"/>
      <c r="BR150" s="498"/>
      <c r="BS150" s="498"/>
      <c r="BT150" s="498"/>
      <c r="BU150" s="498"/>
      <c r="BV150" s="498"/>
      <c r="BW150" s="498"/>
      <c r="BX150" s="498"/>
      <c r="BY150" s="498"/>
      <c r="BZ150" s="498"/>
      <c r="CA150" s="498"/>
      <c r="CB150" s="498"/>
      <c r="CC150" s="498"/>
      <c r="CD150" s="498"/>
      <c r="CE150" s="498"/>
      <c r="CF150" s="498"/>
      <c r="CG150" s="498"/>
      <c r="CH150" s="498"/>
      <c r="CI150" s="498"/>
      <c r="CJ150" s="498"/>
      <c r="CK150" s="498"/>
      <c r="CL150" s="498"/>
      <c r="CM150" s="498"/>
      <c r="CN150" s="498"/>
      <c r="CO150" s="498"/>
      <c r="CP150" s="498"/>
      <c r="CQ150" s="498"/>
      <c r="CR150" s="498"/>
      <c r="CS150" s="498"/>
      <c r="CT150" s="498"/>
      <c r="CU150" s="498"/>
      <c r="CV150" s="498"/>
      <c r="CW150" s="498"/>
      <c r="CX150" s="498"/>
      <c r="CY150" s="498"/>
      <c r="CZ150" s="498"/>
      <c r="DA150" s="498"/>
      <c r="DB150" s="498"/>
      <c r="DC150" s="498"/>
      <c r="DD150" s="498"/>
      <c r="DE150" s="498"/>
      <c r="DF150" s="498"/>
      <c r="DG150" s="498"/>
      <c r="DH150" s="498"/>
      <c r="DI150" s="498"/>
      <c r="DJ150" s="498"/>
      <c r="DK150" s="498"/>
      <c r="DL150" s="498"/>
      <c r="DM150" s="498"/>
      <c r="DN150" s="498"/>
      <c r="DO150" s="498"/>
      <c r="DP150" s="498"/>
      <c r="DQ150" s="498"/>
      <c r="DR150" s="498"/>
      <c r="DS150" s="498"/>
      <c r="DT150" s="498"/>
      <c r="DU150" s="498"/>
      <c r="DV150" s="498"/>
      <c r="DW150" s="498"/>
      <c r="DX150" s="498"/>
      <c r="DY150" s="498"/>
      <c r="DZ150" s="498"/>
      <c r="EA150" s="498"/>
      <c r="EB150" s="498"/>
      <c r="EC150" s="498"/>
      <c r="ED150" s="498"/>
      <c r="EE150" s="498"/>
      <c r="EF150" s="498"/>
      <c r="EG150" s="498"/>
      <c r="EH150" s="498"/>
      <c r="EI150" s="498"/>
      <c r="EJ150" s="498"/>
      <c r="EK150" s="498"/>
      <c r="EL150" s="498"/>
      <c r="EM150" s="498"/>
      <c r="EN150" s="498"/>
      <c r="EO150" s="498"/>
      <c r="EP150" s="498"/>
      <c r="EQ150" s="498"/>
      <c r="ER150" s="498"/>
      <c r="ES150" s="498"/>
      <c r="ET150" s="498"/>
      <c r="EU150" s="498"/>
      <c r="EV150" s="498"/>
      <c r="EW150" s="498"/>
      <c r="EX150" s="498"/>
      <c r="EY150" s="498"/>
      <c r="EZ150" s="498"/>
      <c r="FA150" s="498"/>
      <c r="FB150" s="498"/>
      <c r="FC150" s="498"/>
      <c r="FD150" s="498"/>
      <c r="FE150" s="498"/>
      <c r="FF150" s="498"/>
      <c r="FG150" s="498"/>
      <c r="FH150" s="498"/>
      <c r="FI150" s="498"/>
      <c r="FJ150" s="498"/>
      <c r="FK150" s="498"/>
      <c r="FL150" s="498"/>
      <c r="FM150" s="498"/>
      <c r="FN150" s="498"/>
      <c r="FO150" s="498"/>
      <c r="FP150" s="498"/>
      <c r="FQ150" s="498"/>
      <c r="FR150" s="498"/>
      <c r="FS150" s="498"/>
      <c r="FT150" s="498"/>
      <c r="FU150" s="498"/>
      <c r="FV150" s="498"/>
      <c r="FW150" s="498"/>
      <c r="FX150" s="498"/>
      <c r="FY150" s="498"/>
      <c r="FZ150" s="498"/>
      <c r="GA150" s="498"/>
      <c r="GB150" s="498"/>
      <c r="GC150" s="498"/>
      <c r="GD150" s="498"/>
      <c r="GE150" s="498"/>
      <c r="GF150" s="498"/>
      <c r="GG150" s="498"/>
    </row>
    <row r="151" spans="1:189" s="466" customFormat="1">
      <c r="A151" s="750" t="e">
        <f>+#REF!</f>
        <v>#REF!</v>
      </c>
      <c r="B151" s="729" t="e">
        <f>+#REF!</f>
        <v>#REF!</v>
      </c>
      <c r="C151" s="1485" t="e">
        <f>+#REF!</f>
        <v>#REF!</v>
      </c>
      <c r="D151" s="654">
        <f t="shared" ref="D151:D159" si="7">J151</f>
        <v>5428.0800000000008</v>
      </c>
      <c r="E151" s="633" t="e">
        <f>#REF!</f>
        <v>#REF!</v>
      </c>
      <c r="F151" s="633" t="e">
        <f>+D151*E151</f>
        <v>#REF!</v>
      </c>
      <c r="H151" s="496">
        <f>2308 *1.2+20*2*60</f>
        <v>5169.6000000000004</v>
      </c>
      <c r="I151" s="497">
        <v>1.05</v>
      </c>
      <c r="J151" s="496">
        <f>H151*I151</f>
        <v>5428.0800000000008</v>
      </c>
      <c r="K151" s="498"/>
      <c r="L151" s="498"/>
      <c r="M151" s="498"/>
      <c r="N151" s="498"/>
      <c r="O151" s="498"/>
      <c r="P151" s="498"/>
      <c r="Q151" s="498"/>
      <c r="R151" s="498"/>
      <c r="S151" s="498"/>
      <c r="T151" s="498"/>
      <c r="U151" s="498"/>
      <c r="V151" s="498"/>
      <c r="W151" s="498"/>
      <c r="X151" s="498"/>
      <c r="Y151" s="498"/>
      <c r="Z151" s="498"/>
      <c r="AA151" s="498"/>
      <c r="AB151" s="498"/>
      <c r="AC151" s="498"/>
      <c r="AD151" s="498"/>
      <c r="AE151" s="498"/>
      <c r="AF151" s="498"/>
      <c r="AG151" s="498"/>
      <c r="AH151" s="498"/>
      <c r="AI151" s="498"/>
      <c r="AJ151" s="498"/>
      <c r="AK151" s="498"/>
      <c r="AL151" s="498"/>
      <c r="AM151" s="498"/>
      <c r="AN151" s="498"/>
      <c r="AO151" s="498"/>
      <c r="AP151" s="498"/>
      <c r="AQ151" s="498"/>
      <c r="AR151" s="498"/>
      <c r="AS151" s="498"/>
      <c r="AT151" s="498"/>
      <c r="AU151" s="498"/>
      <c r="AV151" s="498"/>
      <c r="AW151" s="498"/>
      <c r="AX151" s="498"/>
      <c r="AY151" s="498"/>
      <c r="AZ151" s="498"/>
      <c r="BA151" s="498"/>
      <c r="BB151" s="498"/>
      <c r="BC151" s="498"/>
      <c r="BD151" s="498"/>
      <c r="BE151" s="498"/>
      <c r="BF151" s="498"/>
      <c r="BG151" s="498"/>
      <c r="BH151" s="498"/>
      <c r="BI151" s="498"/>
      <c r="BJ151" s="498"/>
      <c r="BK151" s="498"/>
      <c r="BL151" s="498"/>
      <c r="BM151" s="498"/>
      <c r="BN151" s="498"/>
      <c r="BO151" s="498"/>
      <c r="BP151" s="498"/>
      <c r="BQ151" s="498"/>
      <c r="BR151" s="498"/>
      <c r="BS151" s="498"/>
      <c r="BT151" s="498"/>
      <c r="BU151" s="498"/>
      <c r="BV151" s="498"/>
      <c r="BW151" s="498"/>
      <c r="BX151" s="498"/>
      <c r="BY151" s="498"/>
      <c r="BZ151" s="498"/>
      <c r="CA151" s="498"/>
      <c r="CB151" s="498"/>
      <c r="CC151" s="498"/>
      <c r="CD151" s="498"/>
      <c r="CE151" s="498"/>
      <c r="CF151" s="498"/>
      <c r="CG151" s="498"/>
      <c r="CH151" s="498"/>
      <c r="CI151" s="498"/>
      <c r="CJ151" s="498"/>
      <c r="CK151" s="498"/>
      <c r="CL151" s="498"/>
      <c r="CM151" s="498"/>
      <c r="CN151" s="498"/>
      <c r="CO151" s="498"/>
      <c r="CP151" s="498"/>
      <c r="CQ151" s="498"/>
      <c r="CR151" s="498"/>
      <c r="CS151" s="498"/>
      <c r="CT151" s="498"/>
      <c r="CU151" s="498"/>
      <c r="CV151" s="498"/>
      <c r="CW151" s="498"/>
      <c r="CX151" s="498"/>
      <c r="CY151" s="498"/>
      <c r="CZ151" s="498"/>
      <c r="DA151" s="498"/>
      <c r="DB151" s="498"/>
      <c r="DC151" s="498"/>
      <c r="DD151" s="498"/>
      <c r="DE151" s="498"/>
      <c r="DF151" s="498"/>
      <c r="DG151" s="498"/>
      <c r="DH151" s="498"/>
      <c r="DI151" s="498"/>
      <c r="DJ151" s="498"/>
      <c r="DK151" s="498"/>
      <c r="DL151" s="498"/>
      <c r="DM151" s="498"/>
      <c r="DN151" s="498"/>
      <c r="DO151" s="498"/>
      <c r="DP151" s="498"/>
      <c r="DQ151" s="498"/>
      <c r="DR151" s="498"/>
      <c r="DS151" s="498"/>
      <c r="DT151" s="498"/>
      <c r="DU151" s="498"/>
      <c r="DV151" s="498"/>
      <c r="DW151" s="498"/>
      <c r="DX151" s="498"/>
      <c r="DY151" s="498"/>
      <c r="DZ151" s="498"/>
      <c r="EA151" s="498"/>
      <c r="EB151" s="498"/>
      <c r="EC151" s="498"/>
      <c r="ED151" s="498"/>
      <c r="EE151" s="498"/>
      <c r="EF151" s="498"/>
      <c r="EG151" s="498"/>
      <c r="EH151" s="498"/>
      <c r="EI151" s="498"/>
      <c r="EJ151" s="498"/>
      <c r="EK151" s="498"/>
      <c r="EL151" s="498"/>
      <c r="EM151" s="498"/>
      <c r="EN151" s="498"/>
      <c r="EO151" s="498"/>
      <c r="EP151" s="498"/>
      <c r="EQ151" s="498"/>
      <c r="ER151" s="498"/>
      <c r="ES151" s="498"/>
      <c r="ET151" s="498"/>
      <c r="EU151" s="498"/>
      <c r="EV151" s="498"/>
      <c r="EW151" s="498"/>
      <c r="EX151" s="498"/>
      <c r="EY151" s="498"/>
      <c r="EZ151" s="498"/>
      <c r="FA151" s="498"/>
      <c r="FB151" s="498"/>
      <c r="FC151" s="498"/>
      <c r="FD151" s="498"/>
      <c r="FE151" s="498"/>
      <c r="FF151" s="498"/>
      <c r="FG151" s="498"/>
      <c r="FH151" s="498"/>
      <c r="FI151" s="498"/>
      <c r="FJ151" s="498"/>
      <c r="FK151" s="498"/>
      <c r="FL151" s="498"/>
      <c r="FM151" s="498"/>
      <c r="FN151" s="498"/>
      <c r="FO151" s="498"/>
      <c r="FP151" s="498"/>
      <c r="FQ151" s="498"/>
      <c r="FR151" s="498"/>
      <c r="FS151" s="498"/>
      <c r="FT151" s="498"/>
      <c r="FU151" s="498"/>
      <c r="FV151" s="498"/>
      <c r="FW151" s="498"/>
      <c r="FX151" s="498"/>
      <c r="FY151" s="498"/>
      <c r="FZ151" s="498"/>
      <c r="GA151" s="498"/>
      <c r="GB151" s="498"/>
      <c r="GC151" s="498"/>
      <c r="GD151" s="498"/>
      <c r="GE151" s="498"/>
      <c r="GF151" s="498"/>
      <c r="GG151" s="498"/>
    </row>
    <row r="152" spans="1:189" s="466" customFormat="1">
      <c r="A152" s="729" t="e">
        <f>+#REF!</f>
        <v>#REF!</v>
      </c>
      <c r="B152" s="729" t="e">
        <f>+#REF!</f>
        <v>#REF!</v>
      </c>
      <c r="C152" s="1485" t="e">
        <f>+#REF!</f>
        <v>#REF!</v>
      </c>
      <c r="D152" s="654">
        <f>+J152</f>
        <v>787.5</v>
      </c>
      <c r="E152" s="633" t="e">
        <f>+#REF!</f>
        <v>#REF!</v>
      </c>
      <c r="F152" s="633" t="e">
        <f t="shared" ref="F152:F155" si="8">+D152*E152</f>
        <v>#REF!</v>
      </c>
      <c r="H152" s="496">
        <f>250*3</f>
        <v>750</v>
      </c>
      <c r="I152" s="497">
        <v>1.05</v>
      </c>
      <c r="J152" s="496">
        <f>H152*I152</f>
        <v>787.5</v>
      </c>
      <c r="K152" s="498"/>
      <c r="L152" s="498"/>
      <c r="M152" s="498"/>
      <c r="N152" s="498"/>
      <c r="O152" s="498"/>
      <c r="P152" s="498"/>
      <c r="Q152" s="498"/>
      <c r="R152" s="498"/>
      <c r="S152" s="498"/>
      <c r="T152" s="498"/>
      <c r="U152" s="498"/>
      <c r="V152" s="498"/>
      <c r="W152" s="498"/>
      <c r="X152" s="498"/>
      <c r="Y152" s="498"/>
      <c r="Z152" s="498"/>
      <c r="AA152" s="498"/>
      <c r="AB152" s="498"/>
      <c r="AC152" s="498"/>
      <c r="AD152" s="498"/>
      <c r="AE152" s="498"/>
      <c r="AF152" s="498"/>
      <c r="AG152" s="498"/>
      <c r="AH152" s="498"/>
      <c r="AI152" s="498"/>
      <c r="AJ152" s="498"/>
      <c r="AK152" s="498"/>
      <c r="AL152" s="498"/>
      <c r="AM152" s="498"/>
      <c r="AN152" s="498"/>
      <c r="AO152" s="498"/>
      <c r="AP152" s="498"/>
      <c r="AQ152" s="498"/>
      <c r="AR152" s="498"/>
      <c r="AS152" s="498"/>
      <c r="AT152" s="498"/>
      <c r="AU152" s="498"/>
      <c r="AV152" s="498"/>
      <c r="AW152" s="498"/>
      <c r="AX152" s="498"/>
      <c r="AY152" s="498"/>
      <c r="AZ152" s="498"/>
      <c r="BA152" s="498"/>
      <c r="BB152" s="498"/>
      <c r="BC152" s="498"/>
      <c r="BD152" s="498"/>
      <c r="BE152" s="498"/>
      <c r="BF152" s="498"/>
      <c r="BG152" s="498"/>
      <c r="BH152" s="498"/>
      <c r="BI152" s="498"/>
      <c r="BJ152" s="498"/>
      <c r="BK152" s="498"/>
      <c r="BL152" s="498"/>
      <c r="BM152" s="498"/>
      <c r="BN152" s="498"/>
      <c r="BO152" s="498"/>
      <c r="BP152" s="498"/>
      <c r="BQ152" s="498"/>
      <c r="BR152" s="498"/>
      <c r="BS152" s="498"/>
      <c r="BT152" s="498"/>
      <c r="BU152" s="498"/>
      <c r="BV152" s="498"/>
      <c r="BW152" s="498"/>
      <c r="BX152" s="498"/>
      <c r="BY152" s="498"/>
      <c r="BZ152" s="498"/>
      <c r="CA152" s="498"/>
      <c r="CB152" s="498"/>
      <c r="CC152" s="498"/>
      <c r="CD152" s="498"/>
      <c r="CE152" s="498"/>
      <c r="CF152" s="498"/>
      <c r="CG152" s="498"/>
      <c r="CH152" s="498"/>
      <c r="CI152" s="498"/>
      <c r="CJ152" s="498"/>
      <c r="CK152" s="498"/>
      <c r="CL152" s="498"/>
      <c r="CM152" s="498"/>
      <c r="CN152" s="498"/>
      <c r="CO152" s="498"/>
      <c r="CP152" s="498"/>
      <c r="CQ152" s="498"/>
      <c r="CR152" s="498"/>
      <c r="CS152" s="498"/>
      <c r="CT152" s="498"/>
      <c r="CU152" s="498"/>
      <c r="CV152" s="498"/>
      <c r="CW152" s="498"/>
      <c r="CX152" s="498"/>
      <c r="CY152" s="498"/>
      <c r="CZ152" s="498"/>
      <c r="DA152" s="498"/>
      <c r="DB152" s="498"/>
      <c r="DC152" s="498"/>
      <c r="DD152" s="498"/>
      <c r="DE152" s="498"/>
      <c r="DF152" s="498"/>
      <c r="DG152" s="498"/>
      <c r="DH152" s="498"/>
      <c r="DI152" s="498"/>
      <c r="DJ152" s="498"/>
      <c r="DK152" s="498"/>
      <c r="DL152" s="498"/>
      <c r="DM152" s="498"/>
      <c r="DN152" s="498"/>
      <c r="DO152" s="498"/>
      <c r="DP152" s="498"/>
      <c r="DQ152" s="498"/>
      <c r="DR152" s="498"/>
      <c r="DS152" s="498"/>
      <c r="DT152" s="498"/>
      <c r="DU152" s="498"/>
      <c r="DV152" s="498"/>
      <c r="DW152" s="498"/>
      <c r="DX152" s="498"/>
      <c r="DY152" s="498"/>
      <c r="DZ152" s="498"/>
      <c r="EA152" s="498"/>
      <c r="EB152" s="498"/>
      <c r="EC152" s="498"/>
      <c r="ED152" s="498"/>
      <c r="EE152" s="498"/>
      <c r="EF152" s="498"/>
      <c r="EG152" s="498"/>
      <c r="EH152" s="498"/>
      <c r="EI152" s="498"/>
      <c r="EJ152" s="498"/>
      <c r="EK152" s="498"/>
      <c r="EL152" s="498"/>
      <c r="EM152" s="498"/>
      <c r="EN152" s="498"/>
      <c r="EO152" s="498"/>
      <c r="EP152" s="498"/>
      <c r="EQ152" s="498"/>
      <c r="ER152" s="498"/>
      <c r="ES152" s="498"/>
      <c r="ET152" s="498"/>
      <c r="EU152" s="498"/>
      <c r="EV152" s="498"/>
      <c r="EW152" s="498"/>
      <c r="EX152" s="498"/>
      <c r="EY152" s="498"/>
      <c r="EZ152" s="498"/>
      <c r="FA152" s="498"/>
      <c r="FB152" s="498"/>
      <c r="FC152" s="498"/>
      <c r="FD152" s="498"/>
      <c r="FE152" s="498"/>
      <c r="FF152" s="498"/>
      <c r="FG152" s="498"/>
      <c r="FH152" s="498"/>
      <c r="FI152" s="498"/>
      <c r="FJ152" s="498"/>
      <c r="FK152" s="498"/>
      <c r="FL152" s="498"/>
      <c r="FM152" s="498"/>
      <c r="FN152" s="498"/>
      <c r="FO152" s="498"/>
      <c r="FP152" s="498"/>
      <c r="FQ152" s="498"/>
      <c r="FR152" s="498"/>
      <c r="FS152" s="498"/>
      <c r="FT152" s="498"/>
      <c r="FU152" s="498"/>
      <c r="FV152" s="498"/>
      <c r="FW152" s="498"/>
      <c r="FX152" s="498"/>
      <c r="FY152" s="498"/>
      <c r="FZ152" s="498"/>
      <c r="GA152" s="498"/>
      <c r="GB152" s="498"/>
      <c r="GC152" s="498"/>
      <c r="GD152" s="498"/>
      <c r="GE152" s="498"/>
      <c r="GF152" s="498"/>
      <c r="GG152" s="498"/>
    </row>
    <row r="153" spans="1:189" s="466" customFormat="1">
      <c r="A153" s="750" t="e">
        <f>+#REF!</f>
        <v>#REF!</v>
      </c>
      <c r="B153" s="729" t="e">
        <f>+#REF!</f>
        <v>#REF!</v>
      </c>
      <c r="C153" s="1485" t="e">
        <f>+#REF!</f>
        <v>#REF!</v>
      </c>
      <c r="D153" s="654">
        <f t="shared" si="7"/>
        <v>0</v>
      </c>
      <c r="E153" s="633" t="e">
        <f>#REF!</f>
        <v>#REF!</v>
      </c>
      <c r="F153" s="633" t="e">
        <f t="shared" si="8"/>
        <v>#REF!</v>
      </c>
      <c r="H153" s="496">
        <f>F7*2*0</f>
        <v>0</v>
      </c>
      <c r="I153" s="497">
        <v>1.05</v>
      </c>
      <c r="J153" s="496">
        <f t="shared" ref="J153:J157" si="9">H153*I153</f>
        <v>0</v>
      </c>
      <c r="K153" s="498"/>
      <c r="L153" s="498"/>
      <c r="M153" s="498"/>
      <c r="N153" s="498"/>
      <c r="O153" s="498"/>
      <c r="P153" s="498"/>
      <c r="Q153" s="498"/>
      <c r="R153" s="498"/>
      <c r="S153" s="498"/>
      <c r="T153" s="498"/>
      <c r="U153" s="498"/>
      <c r="V153" s="498"/>
      <c r="W153" s="498"/>
      <c r="X153" s="498"/>
      <c r="Y153" s="498"/>
      <c r="Z153" s="498"/>
      <c r="AA153" s="498"/>
      <c r="AB153" s="498"/>
      <c r="AC153" s="498"/>
      <c r="AD153" s="498"/>
      <c r="AE153" s="498"/>
      <c r="AF153" s="498"/>
      <c r="AG153" s="498"/>
      <c r="AH153" s="498"/>
      <c r="AI153" s="498"/>
      <c r="AJ153" s="498"/>
      <c r="AK153" s="498"/>
      <c r="AL153" s="498"/>
      <c r="AM153" s="498"/>
      <c r="AN153" s="498"/>
      <c r="AO153" s="498"/>
      <c r="AP153" s="498"/>
      <c r="AQ153" s="498"/>
      <c r="AR153" s="498"/>
      <c r="AS153" s="498"/>
      <c r="AT153" s="498"/>
      <c r="AU153" s="498"/>
      <c r="AV153" s="498"/>
      <c r="AW153" s="498"/>
      <c r="AX153" s="498"/>
      <c r="AY153" s="498"/>
      <c r="AZ153" s="498"/>
      <c r="BA153" s="498"/>
      <c r="BB153" s="498"/>
      <c r="BC153" s="498"/>
      <c r="BD153" s="498"/>
      <c r="BE153" s="498"/>
      <c r="BF153" s="498"/>
      <c r="BG153" s="498"/>
      <c r="BH153" s="498"/>
      <c r="BI153" s="498"/>
      <c r="BJ153" s="498"/>
      <c r="BK153" s="498"/>
      <c r="BL153" s="498"/>
      <c r="BM153" s="498"/>
      <c r="BN153" s="498"/>
      <c r="BO153" s="498"/>
      <c r="BP153" s="498"/>
      <c r="BQ153" s="498"/>
      <c r="BR153" s="498"/>
      <c r="BS153" s="498"/>
      <c r="BT153" s="498"/>
      <c r="BU153" s="498"/>
      <c r="BV153" s="498"/>
      <c r="BW153" s="498"/>
      <c r="BX153" s="498"/>
      <c r="BY153" s="498"/>
      <c r="BZ153" s="498"/>
      <c r="CA153" s="498"/>
      <c r="CB153" s="498"/>
      <c r="CC153" s="498"/>
      <c r="CD153" s="498"/>
      <c r="CE153" s="498"/>
      <c r="CF153" s="498"/>
      <c r="CG153" s="498"/>
      <c r="CH153" s="498"/>
      <c r="CI153" s="498"/>
      <c r="CJ153" s="498"/>
      <c r="CK153" s="498"/>
      <c r="CL153" s="498"/>
      <c r="CM153" s="498"/>
      <c r="CN153" s="498"/>
      <c r="CO153" s="498"/>
      <c r="CP153" s="498"/>
      <c r="CQ153" s="498"/>
      <c r="CR153" s="498"/>
      <c r="CS153" s="498"/>
      <c r="CT153" s="498"/>
      <c r="CU153" s="498"/>
      <c r="CV153" s="498"/>
      <c r="CW153" s="498"/>
      <c r="CX153" s="498"/>
      <c r="CY153" s="498"/>
      <c r="CZ153" s="498"/>
      <c r="DA153" s="498"/>
      <c r="DB153" s="498"/>
      <c r="DC153" s="498"/>
      <c r="DD153" s="498"/>
      <c r="DE153" s="498"/>
      <c r="DF153" s="498"/>
      <c r="DG153" s="498"/>
      <c r="DH153" s="498"/>
      <c r="DI153" s="498"/>
      <c r="DJ153" s="498"/>
      <c r="DK153" s="498"/>
      <c r="DL153" s="498"/>
      <c r="DM153" s="498"/>
      <c r="DN153" s="498"/>
      <c r="DO153" s="498"/>
      <c r="DP153" s="498"/>
      <c r="DQ153" s="498"/>
      <c r="DR153" s="498"/>
      <c r="DS153" s="498"/>
      <c r="DT153" s="498"/>
      <c r="DU153" s="498"/>
      <c r="DV153" s="498"/>
      <c r="DW153" s="498"/>
      <c r="DX153" s="498"/>
      <c r="DY153" s="498"/>
      <c r="DZ153" s="498"/>
      <c r="EA153" s="498"/>
      <c r="EB153" s="498"/>
      <c r="EC153" s="498"/>
      <c r="ED153" s="498"/>
      <c r="EE153" s="498"/>
      <c r="EF153" s="498"/>
      <c r="EG153" s="498"/>
      <c r="EH153" s="498"/>
      <c r="EI153" s="498"/>
      <c r="EJ153" s="498"/>
      <c r="EK153" s="498"/>
      <c r="EL153" s="498"/>
      <c r="EM153" s="498"/>
      <c r="EN153" s="498"/>
      <c r="EO153" s="498"/>
      <c r="EP153" s="498"/>
      <c r="EQ153" s="498"/>
      <c r="ER153" s="498"/>
      <c r="ES153" s="498"/>
      <c r="ET153" s="498"/>
      <c r="EU153" s="498"/>
      <c r="EV153" s="498"/>
      <c r="EW153" s="498"/>
      <c r="EX153" s="498"/>
      <c r="EY153" s="498"/>
      <c r="EZ153" s="498"/>
      <c r="FA153" s="498"/>
      <c r="FB153" s="498"/>
      <c r="FC153" s="498"/>
      <c r="FD153" s="498"/>
      <c r="FE153" s="498"/>
      <c r="FF153" s="498"/>
      <c r="FG153" s="498"/>
      <c r="FH153" s="498"/>
      <c r="FI153" s="498"/>
      <c r="FJ153" s="498"/>
      <c r="FK153" s="498"/>
      <c r="FL153" s="498"/>
      <c r="FM153" s="498"/>
      <c r="FN153" s="498"/>
      <c r="FO153" s="498"/>
      <c r="FP153" s="498"/>
      <c r="FQ153" s="498"/>
      <c r="FR153" s="498"/>
      <c r="FS153" s="498"/>
      <c r="FT153" s="498"/>
      <c r="FU153" s="498"/>
      <c r="FV153" s="498"/>
      <c r="FW153" s="498"/>
      <c r="FX153" s="498"/>
      <c r="FY153" s="498"/>
      <c r="FZ153" s="498"/>
      <c r="GA153" s="498"/>
      <c r="GB153" s="498"/>
      <c r="GC153" s="498"/>
      <c r="GD153" s="498"/>
      <c r="GE153" s="498"/>
      <c r="GF153" s="498"/>
      <c r="GG153" s="498"/>
    </row>
    <row r="154" spans="1:189" s="466" customFormat="1">
      <c r="A154" s="750" t="e">
        <f>+#REF!</f>
        <v>#REF!</v>
      </c>
      <c r="B154" s="729" t="e">
        <f>+#REF!</f>
        <v>#REF!</v>
      </c>
      <c r="C154" s="1485" t="e">
        <f>+#REF!</f>
        <v>#REF!</v>
      </c>
      <c r="D154" s="654">
        <f t="shared" si="7"/>
        <v>0</v>
      </c>
      <c r="E154" s="633" t="e">
        <f>#REF!</f>
        <v>#REF!</v>
      </c>
      <c r="F154" s="633" t="e">
        <f t="shared" si="8"/>
        <v>#REF!</v>
      </c>
      <c r="H154" s="496">
        <f>F9</f>
        <v>0</v>
      </c>
      <c r="I154" s="497">
        <v>1.05</v>
      </c>
      <c r="J154" s="496">
        <f t="shared" si="9"/>
        <v>0</v>
      </c>
      <c r="K154" s="498"/>
      <c r="L154" s="498"/>
      <c r="M154" s="498"/>
      <c r="N154" s="498"/>
      <c r="O154" s="498"/>
      <c r="P154" s="498"/>
      <c r="Q154" s="498"/>
      <c r="R154" s="498"/>
      <c r="S154" s="498"/>
      <c r="T154" s="498"/>
      <c r="U154" s="498"/>
      <c r="V154" s="498"/>
      <c r="W154" s="498"/>
      <c r="X154" s="498"/>
      <c r="Y154" s="498"/>
      <c r="Z154" s="498"/>
      <c r="AA154" s="498"/>
      <c r="AB154" s="498"/>
      <c r="AC154" s="498"/>
      <c r="AD154" s="498"/>
      <c r="AE154" s="498"/>
      <c r="AF154" s="498"/>
      <c r="AG154" s="498"/>
      <c r="AH154" s="498"/>
      <c r="AI154" s="498"/>
      <c r="AJ154" s="498"/>
      <c r="AK154" s="498"/>
      <c r="AL154" s="498"/>
      <c r="AM154" s="498"/>
      <c r="AN154" s="498"/>
      <c r="AO154" s="498"/>
      <c r="AP154" s="498"/>
      <c r="AQ154" s="498"/>
      <c r="AR154" s="498"/>
      <c r="AS154" s="498"/>
      <c r="AT154" s="498"/>
      <c r="AU154" s="498"/>
      <c r="AV154" s="498"/>
      <c r="AW154" s="498"/>
      <c r="AX154" s="498"/>
      <c r="AY154" s="498"/>
      <c r="AZ154" s="498"/>
      <c r="BA154" s="498"/>
      <c r="BB154" s="498"/>
      <c r="BC154" s="498"/>
      <c r="BD154" s="498"/>
      <c r="BE154" s="498"/>
      <c r="BF154" s="498"/>
      <c r="BG154" s="498"/>
      <c r="BH154" s="498"/>
      <c r="BI154" s="498"/>
      <c r="BJ154" s="498"/>
      <c r="BK154" s="498"/>
      <c r="BL154" s="498"/>
      <c r="BM154" s="498"/>
      <c r="BN154" s="498"/>
      <c r="BO154" s="498"/>
      <c r="BP154" s="498"/>
      <c r="BQ154" s="498"/>
      <c r="BR154" s="498"/>
      <c r="BS154" s="498"/>
      <c r="BT154" s="498"/>
      <c r="BU154" s="498"/>
      <c r="BV154" s="498"/>
      <c r="BW154" s="498"/>
      <c r="BX154" s="498"/>
      <c r="BY154" s="498"/>
      <c r="BZ154" s="498"/>
      <c r="CA154" s="498"/>
      <c r="CB154" s="498"/>
      <c r="CC154" s="498"/>
      <c r="CD154" s="498"/>
      <c r="CE154" s="498"/>
      <c r="CF154" s="498"/>
      <c r="CG154" s="498"/>
      <c r="CH154" s="498"/>
      <c r="CI154" s="498"/>
      <c r="CJ154" s="498"/>
      <c r="CK154" s="498"/>
      <c r="CL154" s="498"/>
      <c r="CM154" s="498"/>
      <c r="CN154" s="498"/>
      <c r="CO154" s="498"/>
      <c r="CP154" s="498"/>
      <c r="CQ154" s="498"/>
      <c r="CR154" s="498"/>
      <c r="CS154" s="498"/>
      <c r="CT154" s="498"/>
      <c r="CU154" s="498"/>
      <c r="CV154" s="498"/>
      <c r="CW154" s="498"/>
      <c r="CX154" s="498"/>
      <c r="CY154" s="498"/>
      <c r="CZ154" s="498"/>
      <c r="DA154" s="498"/>
      <c r="DB154" s="498"/>
      <c r="DC154" s="498"/>
      <c r="DD154" s="498"/>
      <c r="DE154" s="498"/>
      <c r="DF154" s="498"/>
      <c r="DG154" s="498"/>
      <c r="DH154" s="498"/>
      <c r="DI154" s="498"/>
      <c r="DJ154" s="498"/>
      <c r="DK154" s="498"/>
      <c r="DL154" s="498"/>
      <c r="DM154" s="498"/>
      <c r="DN154" s="498"/>
      <c r="DO154" s="498"/>
      <c r="DP154" s="498"/>
      <c r="DQ154" s="498"/>
      <c r="DR154" s="498"/>
      <c r="DS154" s="498"/>
      <c r="DT154" s="498"/>
      <c r="DU154" s="498"/>
      <c r="DV154" s="498"/>
      <c r="DW154" s="498"/>
      <c r="DX154" s="498"/>
      <c r="DY154" s="498"/>
      <c r="DZ154" s="498"/>
      <c r="EA154" s="498"/>
      <c r="EB154" s="498"/>
      <c r="EC154" s="498"/>
      <c r="ED154" s="498"/>
      <c r="EE154" s="498"/>
      <c r="EF154" s="498"/>
      <c r="EG154" s="498"/>
      <c r="EH154" s="498"/>
      <c r="EI154" s="498"/>
      <c r="EJ154" s="498"/>
      <c r="EK154" s="498"/>
      <c r="EL154" s="498"/>
      <c r="EM154" s="498"/>
      <c r="EN154" s="498"/>
      <c r="EO154" s="498"/>
      <c r="EP154" s="498"/>
      <c r="EQ154" s="498"/>
      <c r="ER154" s="498"/>
      <c r="ES154" s="498"/>
      <c r="ET154" s="498"/>
      <c r="EU154" s="498"/>
      <c r="EV154" s="498"/>
      <c r="EW154" s="498"/>
      <c r="EX154" s="498"/>
      <c r="EY154" s="498"/>
      <c r="EZ154" s="498"/>
      <c r="FA154" s="498"/>
      <c r="FB154" s="498"/>
      <c r="FC154" s="498"/>
      <c r="FD154" s="498"/>
      <c r="FE154" s="498"/>
      <c r="FF154" s="498"/>
      <c r="FG154" s="498"/>
      <c r="FH154" s="498"/>
      <c r="FI154" s="498"/>
      <c r="FJ154" s="498"/>
      <c r="FK154" s="498"/>
      <c r="FL154" s="498"/>
      <c r="FM154" s="498"/>
      <c r="FN154" s="498"/>
      <c r="FO154" s="498"/>
      <c r="FP154" s="498"/>
      <c r="FQ154" s="498"/>
      <c r="FR154" s="498"/>
      <c r="FS154" s="498"/>
      <c r="FT154" s="498"/>
      <c r="FU154" s="498"/>
      <c r="FV154" s="498"/>
      <c r="FW154" s="498"/>
      <c r="FX154" s="498"/>
      <c r="FY154" s="498"/>
      <c r="FZ154" s="498"/>
      <c r="GA154" s="498"/>
      <c r="GB154" s="498"/>
      <c r="GC154" s="498"/>
      <c r="GD154" s="498"/>
      <c r="GE154" s="498"/>
      <c r="GF154" s="498"/>
      <c r="GG154" s="498"/>
    </row>
    <row r="155" spans="1:189" s="466" customFormat="1">
      <c r="A155" s="750" t="e">
        <f>+#REF!</f>
        <v>#REF!</v>
      </c>
      <c r="B155" s="729" t="e">
        <f>+#REF!</f>
        <v>#REF!</v>
      </c>
      <c r="C155" s="1485" t="e">
        <f>+#REF!</f>
        <v>#REF!</v>
      </c>
      <c r="D155" s="654">
        <f t="shared" si="7"/>
        <v>0</v>
      </c>
      <c r="E155" s="633" t="e">
        <f>#REF!</f>
        <v>#REF!</v>
      </c>
      <c r="F155" s="633" t="e">
        <f t="shared" si="8"/>
        <v>#REF!</v>
      </c>
      <c r="H155" s="496">
        <f>F8*0</f>
        <v>0</v>
      </c>
      <c r="I155" s="497">
        <v>1.05</v>
      </c>
      <c r="J155" s="496">
        <f t="shared" si="9"/>
        <v>0</v>
      </c>
      <c r="K155" s="498"/>
      <c r="L155" s="498"/>
      <c r="M155" s="498"/>
      <c r="N155" s="498"/>
      <c r="O155" s="498"/>
      <c r="P155" s="498"/>
      <c r="Q155" s="498"/>
      <c r="R155" s="498"/>
      <c r="S155" s="498"/>
      <c r="T155" s="498"/>
      <c r="U155" s="498"/>
      <c r="V155" s="498"/>
      <c r="W155" s="498"/>
      <c r="X155" s="498"/>
      <c r="Y155" s="498"/>
      <c r="Z155" s="498"/>
      <c r="AA155" s="498"/>
      <c r="AB155" s="498"/>
      <c r="AC155" s="498"/>
      <c r="AD155" s="498"/>
      <c r="AE155" s="498"/>
      <c r="AF155" s="498"/>
      <c r="AG155" s="498"/>
      <c r="AH155" s="498"/>
      <c r="AI155" s="498"/>
      <c r="AJ155" s="498"/>
      <c r="AK155" s="498"/>
      <c r="AL155" s="498"/>
      <c r="AM155" s="498"/>
      <c r="AN155" s="498"/>
      <c r="AO155" s="498"/>
      <c r="AP155" s="498"/>
      <c r="AQ155" s="498"/>
      <c r="AR155" s="498"/>
      <c r="AS155" s="498"/>
      <c r="AT155" s="498"/>
      <c r="AU155" s="498"/>
      <c r="AV155" s="498"/>
      <c r="AW155" s="498"/>
      <c r="AX155" s="498"/>
      <c r="AY155" s="498"/>
      <c r="AZ155" s="498"/>
      <c r="BA155" s="498"/>
      <c r="BB155" s="498"/>
      <c r="BC155" s="498"/>
      <c r="BD155" s="498"/>
      <c r="BE155" s="498"/>
      <c r="BF155" s="498"/>
      <c r="BG155" s="498"/>
      <c r="BH155" s="498"/>
      <c r="BI155" s="498"/>
      <c r="BJ155" s="498"/>
      <c r="BK155" s="498"/>
      <c r="BL155" s="498"/>
      <c r="BM155" s="498"/>
      <c r="BN155" s="498"/>
      <c r="BO155" s="498"/>
      <c r="BP155" s="498"/>
      <c r="BQ155" s="498"/>
      <c r="BR155" s="498"/>
      <c r="BS155" s="498"/>
      <c r="BT155" s="498"/>
      <c r="BU155" s="498"/>
      <c r="BV155" s="498"/>
      <c r="BW155" s="498"/>
      <c r="BX155" s="498"/>
      <c r="BY155" s="498"/>
      <c r="BZ155" s="498"/>
      <c r="CA155" s="498"/>
      <c r="CB155" s="498"/>
      <c r="CC155" s="498"/>
      <c r="CD155" s="498"/>
      <c r="CE155" s="498"/>
      <c r="CF155" s="498"/>
      <c r="CG155" s="498"/>
      <c r="CH155" s="498"/>
      <c r="CI155" s="498"/>
      <c r="CJ155" s="498"/>
      <c r="CK155" s="498"/>
      <c r="CL155" s="498"/>
      <c r="CM155" s="498"/>
      <c r="CN155" s="498"/>
      <c r="CO155" s="498"/>
      <c r="CP155" s="498"/>
      <c r="CQ155" s="498"/>
      <c r="CR155" s="498"/>
      <c r="CS155" s="498"/>
      <c r="CT155" s="498"/>
      <c r="CU155" s="498"/>
      <c r="CV155" s="498"/>
      <c r="CW155" s="498"/>
      <c r="CX155" s="498"/>
      <c r="CY155" s="498"/>
      <c r="CZ155" s="498"/>
      <c r="DA155" s="498"/>
      <c r="DB155" s="498"/>
      <c r="DC155" s="498"/>
      <c r="DD155" s="498"/>
      <c r="DE155" s="498"/>
      <c r="DF155" s="498"/>
      <c r="DG155" s="498"/>
      <c r="DH155" s="498"/>
      <c r="DI155" s="498"/>
      <c r="DJ155" s="498"/>
      <c r="DK155" s="498"/>
      <c r="DL155" s="498"/>
      <c r="DM155" s="498"/>
      <c r="DN155" s="498"/>
      <c r="DO155" s="498"/>
      <c r="DP155" s="498"/>
      <c r="DQ155" s="498"/>
      <c r="DR155" s="498"/>
      <c r="DS155" s="498"/>
      <c r="DT155" s="498"/>
      <c r="DU155" s="498"/>
      <c r="DV155" s="498"/>
      <c r="DW155" s="498"/>
      <c r="DX155" s="498"/>
      <c r="DY155" s="498"/>
      <c r="DZ155" s="498"/>
      <c r="EA155" s="498"/>
      <c r="EB155" s="498"/>
      <c r="EC155" s="498"/>
      <c r="ED155" s="498"/>
      <c r="EE155" s="498"/>
      <c r="EF155" s="498"/>
      <c r="EG155" s="498"/>
      <c r="EH155" s="498"/>
      <c r="EI155" s="498"/>
      <c r="EJ155" s="498"/>
      <c r="EK155" s="498"/>
      <c r="EL155" s="498"/>
      <c r="EM155" s="498"/>
      <c r="EN155" s="498"/>
      <c r="EO155" s="498"/>
      <c r="EP155" s="498"/>
      <c r="EQ155" s="498"/>
      <c r="ER155" s="498"/>
      <c r="ES155" s="498"/>
      <c r="ET155" s="498"/>
      <c r="EU155" s="498"/>
      <c r="EV155" s="498"/>
      <c r="EW155" s="498"/>
      <c r="EX155" s="498"/>
      <c r="EY155" s="498"/>
      <c r="EZ155" s="498"/>
      <c r="FA155" s="498"/>
      <c r="FB155" s="498"/>
      <c r="FC155" s="498"/>
      <c r="FD155" s="498"/>
      <c r="FE155" s="498"/>
      <c r="FF155" s="498"/>
      <c r="FG155" s="498"/>
      <c r="FH155" s="498"/>
      <c r="FI155" s="498"/>
      <c r="FJ155" s="498"/>
      <c r="FK155" s="498"/>
      <c r="FL155" s="498"/>
      <c r="FM155" s="498"/>
      <c r="FN155" s="498"/>
      <c r="FO155" s="498"/>
      <c r="FP155" s="498"/>
      <c r="FQ155" s="498"/>
      <c r="FR155" s="498"/>
      <c r="FS155" s="498"/>
      <c r="FT155" s="498"/>
      <c r="FU155" s="498"/>
      <c r="FV155" s="498"/>
      <c r="FW155" s="498"/>
      <c r="FX155" s="498"/>
      <c r="FY155" s="498"/>
      <c r="FZ155" s="498"/>
      <c r="GA155" s="498"/>
      <c r="GB155" s="498"/>
      <c r="GC155" s="498"/>
      <c r="GD155" s="498"/>
      <c r="GE155" s="498"/>
      <c r="GF155" s="498"/>
      <c r="GG155" s="498"/>
    </row>
    <row r="156" spans="1:189" s="466" customFormat="1">
      <c r="A156" s="750" t="e">
        <f>+#REF!</f>
        <v>#REF!</v>
      </c>
      <c r="B156" s="729" t="e">
        <f>+#REF!</f>
        <v>#REF!</v>
      </c>
      <c r="C156" s="1485" t="e">
        <f>+#REF!</f>
        <v>#REF!</v>
      </c>
      <c r="D156" s="654">
        <f t="shared" si="7"/>
        <v>630</v>
      </c>
      <c r="E156" s="633" t="e">
        <f>#REF!</f>
        <v>#REF!</v>
      </c>
      <c r="F156" s="633" t="e">
        <f t="shared" ref="F156:F157" si="10">+D156*E156</f>
        <v>#REF!</v>
      </c>
      <c r="H156" s="496">
        <f>200*3</f>
        <v>600</v>
      </c>
      <c r="I156" s="497">
        <v>1.05</v>
      </c>
      <c r="J156" s="496">
        <f t="shared" si="9"/>
        <v>630</v>
      </c>
      <c r="K156" s="498"/>
      <c r="L156" s="498"/>
      <c r="M156" s="498"/>
      <c r="N156" s="498"/>
      <c r="O156" s="498"/>
      <c r="P156" s="498"/>
      <c r="Q156" s="498"/>
      <c r="R156" s="498"/>
      <c r="S156" s="498"/>
      <c r="T156" s="498"/>
      <c r="U156" s="498"/>
      <c r="V156" s="498"/>
      <c r="W156" s="498"/>
      <c r="X156" s="498"/>
      <c r="Y156" s="498"/>
      <c r="Z156" s="498"/>
      <c r="AA156" s="498"/>
      <c r="AB156" s="498"/>
      <c r="AC156" s="498"/>
      <c r="AD156" s="498"/>
      <c r="AE156" s="498"/>
      <c r="AF156" s="498"/>
      <c r="AG156" s="498"/>
      <c r="AH156" s="498"/>
      <c r="AI156" s="498"/>
      <c r="AJ156" s="498"/>
      <c r="AK156" s="498"/>
      <c r="AL156" s="498"/>
      <c r="AM156" s="498"/>
      <c r="AN156" s="498"/>
      <c r="AO156" s="498"/>
      <c r="AP156" s="498"/>
      <c r="AQ156" s="498"/>
      <c r="AR156" s="498"/>
      <c r="AS156" s="498"/>
      <c r="AT156" s="498"/>
      <c r="AU156" s="498"/>
      <c r="AV156" s="498"/>
      <c r="AW156" s="498"/>
      <c r="AX156" s="498"/>
      <c r="AY156" s="498"/>
      <c r="AZ156" s="498"/>
      <c r="BA156" s="498"/>
      <c r="BB156" s="498"/>
      <c r="BC156" s="498"/>
      <c r="BD156" s="498"/>
      <c r="BE156" s="498"/>
      <c r="BF156" s="498"/>
      <c r="BG156" s="498"/>
      <c r="BH156" s="498"/>
      <c r="BI156" s="498"/>
      <c r="BJ156" s="498"/>
      <c r="BK156" s="498"/>
      <c r="BL156" s="498"/>
      <c r="BM156" s="498"/>
      <c r="BN156" s="498"/>
      <c r="BO156" s="498"/>
      <c r="BP156" s="498"/>
      <c r="BQ156" s="498"/>
      <c r="BR156" s="498"/>
      <c r="BS156" s="498"/>
      <c r="BT156" s="498"/>
      <c r="BU156" s="498"/>
      <c r="BV156" s="498"/>
      <c r="BW156" s="498"/>
      <c r="BX156" s="498"/>
      <c r="BY156" s="498"/>
      <c r="BZ156" s="498"/>
      <c r="CA156" s="498"/>
      <c r="CB156" s="498"/>
      <c r="CC156" s="498"/>
      <c r="CD156" s="498"/>
      <c r="CE156" s="498"/>
      <c r="CF156" s="498"/>
      <c r="CG156" s="498"/>
      <c r="CH156" s="498"/>
      <c r="CI156" s="498"/>
      <c r="CJ156" s="498"/>
      <c r="CK156" s="498"/>
      <c r="CL156" s="498"/>
      <c r="CM156" s="498"/>
      <c r="CN156" s="498"/>
      <c r="CO156" s="498"/>
      <c r="CP156" s="498"/>
      <c r="CQ156" s="498"/>
      <c r="CR156" s="498"/>
      <c r="CS156" s="498"/>
      <c r="CT156" s="498"/>
      <c r="CU156" s="498"/>
      <c r="CV156" s="498"/>
      <c r="CW156" s="498"/>
      <c r="CX156" s="498"/>
      <c r="CY156" s="498"/>
      <c r="CZ156" s="498"/>
      <c r="DA156" s="498"/>
      <c r="DB156" s="498"/>
      <c r="DC156" s="498"/>
      <c r="DD156" s="498"/>
      <c r="DE156" s="498"/>
      <c r="DF156" s="498"/>
      <c r="DG156" s="498"/>
      <c r="DH156" s="498"/>
      <c r="DI156" s="498"/>
      <c r="DJ156" s="498"/>
      <c r="DK156" s="498"/>
      <c r="DL156" s="498"/>
      <c r="DM156" s="498"/>
      <c r="DN156" s="498"/>
      <c r="DO156" s="498"/>
      <c r="DP156" s="498"/>
      <c r="DQ156" s="498"/>
      <c r="DR156" s="498"/>
      <c r="DS156" s="498"/>
      <c r="DT156" s="498"/>
      <c r="DU156" s="498"/>
      <c r="DV156" s="498"/>
      <c r="DW156" s="498"/>
      <c r="DX156" s="498"/>
      <c r="DY156" s="498"/>
      <c r="DZ156" s="498"/>
      <c r="EA156" s="498"/>
      <c r="EB156" s="498"/>
      <c r="EC156" s="498"/>
      <c r="ED156" s="498"/>
      <c r="EE156" s="498"/>
      <c r="EF156" s="498"/>
      <c r="EG156" s="498"/>
      <c r="EH156" s="498"/>
      <c r="EI156" s="498"/>
      <c r="EJ156" s="498"/>
      <c r="EK156" s="498"/>
      <c r="EL156" s="498"/>
      <c r="EM156" s="498"/>
      <c r="EN156" s="498"/>
      <c r="EO156" s="498"/>
      <c r="EP156" s="498"/>
      <c r="EQ156" s="498"/>
      <c r="ER156" s="498"/>
      <c r="ES156" s="498"/>
      <c r="ET156" s="498"/>
      <c r="EU156" s="498"/>
      <c r="EV156" s="498"/>
      <c r="EW156" s="498"/>
      <c r="EX156" s="498"/>
      <c r="EY156" s="498"/>
      <c r="EZ156" s="498"/>
      <c r="FA156" s="498"/>
      <c r="FB156" s="498"/>
      <c r="FC156" s="498"/>
      <c r="FD156" s="498"/>
      <c r="FE156" s="498"/>
      <c r="FF156" s="498"/>
      <c r="FG156" s="498"/>
      <c r="FH156" s="498"/>
      <c r="FI156" s="498"/>
      <c r="FJ156" s="498"/>
      <c r="FK156" s="498"/>
      <c r="FL156" s="498"/>
      <c r="FM156" s="498"/>
      <c r="FN156" s="498"/>
      <c r="FO156" s="498"/>
      <c r="FP156" s="498"/>
      <c r="FQ156" s="498"/>
      <c r="FR156" s="498"/>
      <c r="FS156" s="498"/>
      <c r="FT156" s="498"/>
      <c r="FU156" s="498"/>
      <c r="FV156" s="498"/>
      <c r="FW156" s="498"/>
      <c r="FX156" s="498"/>
      <c r="FY156" s="498"/>
      <c r="FZ156" s="498"/>
      <c r="GA156" s="498"/>
      <c r="GB156" s="498"/>
      <c r="GC156" s="498"/>
      <c r="GD156" s="498"/>
      <c r="GE156" s="498"/>
      <c r="GF156" s="498"/>
      <c r="GG156" s="498"/>
    </row>
    <row r="157" spans="1:189" s="466" customFormat="1">
      <c r="A157" s="750" t="e">
        <f>+#REF!</f>
        <v>#REF!</v>
      </c>
      <c r="B157" s="729" t="e">
        <f>+#REF!</f>
        <v>#REF!</v>
      </c>
      <c r="C157" s="1485" t="e">
        <f>+#REF!</f>
        <v>#REF!</v>
      </c>
      <c r="D157" s="654">
        <f t="shared" si="7"/>
        <v>2464.35</v>
      </c>
      <c r="E157" s="633" t="e">
        <f>#REF!</f>
        <v>#REF!</v>
      </c>
      <c r="F157" s="633" t="e">
        <f t="shared" si="10"/>
        <v>#REF!</v>
      </c>
      <c r="H157" s="496">
        <v>2347</v>
      </c>
      <c r="I157" s="497">
        <v>1.05</v>
      </c>
      <c r="J157" s="496">
        <f t="shared" si="9"/>
        <v>2464.35</v>
      </c>
      <c r="K157" s="498"/>
      <c r="L157" s="498"/>
      <c r="M157" s="498"/>
      <c r="N157" s="498"/>
      <c r="O157" s="498"/>
      <c r="P157" s="498"/>
      <c r="Q157" s="498"/>
      <c r="R157" s="498"/>
      <c r="S157" s="498"/>
      <c r="T157" s="498"/>
      <c r="U157" s="498"/>
      <c r="V157" s="498"/>
      <c r="W157" s="498"/>
      <c r="X157" s="498"/>
      <c r="Y157" s="498"/>
      <c r="Z157" s="498"/>
      <c r="AA157" s="498"/>
      <c r="AB157" s="498"/>
      <c r="AC157" s="498"/>
      <c r="AD157" s="498"/>
      <c r="AE157" s="498"/>
      <c r="AF157" s="498"/>
      <c r="AG157" s="498"/>
      <c r="AH157" s="498"/>
      <c r="AI157" s="498"/>
      <c r="AJ157" s="498"/>
      <c r="AK157" s="498"/>
      <c r="AL157" s="498"/>
      <c r="AM157" s="498"/>
      <c r="AN157" s="498"/>
      <c r="AO157" s="498"/>
      <c r="AP157" s="498"/>
      <c r="AQ157" s="498"/>
      <c r="AR157" s="498"/>
      <c r="AS157" s="498"/>
      <c r="AT157" s="498"/>
      <c r="AU157" s="498"/>
      <c r="AV157" s="498"/>
      <c r="AW157" s="498"/>
      <c r="AX157" s="498"/>
      <c r="AY157" s="498"/>
      <c r="AZ157" s="498"/>
      <c r="BA157" s="498"/>
      <c r="BB157" s="498"/>
      <c r="BC157" s="498"/>
      <c r="BD157" s="498"/>
      <c r="BE157" s="498"/>
      <c r="BF157" s="498"/>
      <c r="BG157" s="498"/>
      <c r="BH157" s="498"/>
      <c r="BI157" s="498"/>
      <c r="BJ157" s="498"/>
      <c r="BK157" s="498"/>
      <c r="BL157" s="498"/>
      <c r="BM157" s="498"/>
      <c r="BN157" s="498"/>
      <c r="BO157" s="498"/>
      <c r="BP157" s="498"/>
      <c r="BQ157" s="498"/>
      <c r="BR157" s="498"/>
      <c r="BS157" s="498"/>
      <c r="BT157" s="498"/>
      <c r="BU157" s="498"/>
      <c r="BV157" s="498"/>
      <c r="BW157" s="498"/>
      <c r="BX157" s="498"/>
      <c r="BY157" s="498"/>
      <c r="BZ157" s="498"/>
      <c r="CA157" s="498"/>
      <c r="CB157" s="498"/>
      <c r="CC157" s="498"/>
      <c r="CD157" s="498"/>
      <c r="CE157" s="498"/>
      <c r="CF157" s="498"/>
      <c r="CG157" s="498"/>
      <c r="CH157" s="498"/>
      <c r="CI157" s="498"/>
      <c r="CJ157" s="498"/>
      <c r="CK157" s="498"/>
      <c r="CL157" s="498"/>
      <c r="CM157" s="498"/>
      <c r="CN157" s="498"/>
      <c r="CO157" s="498"/>
      <c r="CP157" s="498"/>
      <c r="CQ157" s="498"/>
      <c r="CR157" s="498"/>
      <c r="CS157" s="498"/>
      <c r="CT157" s="498"/>
      <c r="CU157" s="498"/>
      <c r="CV157" s="498"/>
      <c r="CW157" s="498"/>
      <c r="CX157" s="498"/>
      <c r="CY157" s="498"/>
      <c r="CZ157" s="498"/>
      <c r="DA157" s="498"/>
      <c r="DB157" s="498"/>
      <c r="DC157" s="498"/>
      <c r="DD157" s="498"/>
      <c r="DE157" s="498"/>
      <c r="DF157" s="498"/>
      <c r="DG157" s="498"/>
      <c r="DH157" s="498"/>
      <c r="DI157" s="498"/>
      <c r="DJ157" s="498"/>
      <c r="DK157" s="498"/>
      <c r="DL157" s="498"/>
      <c r="DM157" s="498"/>
      <c r="DN157" s="498"/>
      <c r="DO157" s="498"/>
      <c r="DP157" s="498"/>
      <c r="DQ157" s="498"/>
      <c r="DR157" s="498"/>
      <c r="DS157" s="498"/>
      <c r="DT157" s="498"/>
      <c r="DU157" s="498"/>
      <c r="DV157" s="498"/>
      <c r="DW157" s="498"/>
      <c r="DX157" s="498"/>
      <c r="DY157" s="498"/>
      <c r="DZ157" s="498"/>
      <c r="EA157" s="498"/>
      <c r="EB157" s="498"/>
      <c r="EC157" s="498"/>
      <c r="ED157" s="498"/>
      <c r="EE157" s="498"/>
      <c r="EF157" s="498"/>
      <c r="EG157" s="498"/>
      <c r="EH157" s="498"/>
      <c r="EI157" s="498"/>
      <c r="EJ157" s="498"/>
      <c r="EK157" s="498"/>
      <c r="EL157" s="498"/>
      <c r="EM157" s="498"/>
      <c r="EN157" s="498"/>
      <c r="EO157" s="498"/>
      <c r="EP157" s="498"/>
      <c r="EQ157" s="498"/>
      <c r="ER157" s="498"/>
      <c r="ES157" s="498"/>
      <c r="ET157" s="498"/>
      <c r="EU157" s="498"/>
      <c r="EV157" s="498"/>
      <c r="EW157" s="498"/>
      <c r="EX157" s="498"/>
      <c r="EY157" s="498"/>
      <c r="EZ157" s="498"/>
      <c r="FA157" s="498"/>
      <c r="FB157" s="498"/>
      <c r="FC157" s="498"/>
      <c r="FD157" s="498"/>
      <c r="FE157" s="498"/>
      <c r="FF157" s="498"/>
      <c r="FG157" s="498"/>
      <c r="FH157" s="498"/>
      <c r="FI157" s="498"/>
      <c r="FJ157" s="498"/>
      <c r="FK157" s="498"/>
      <c r="FL157" s="498"/>
      <c r="FM157" s="498"/>
      <c r="FN157" s="498"/>
      <c r="FO157" s="498"/>
      <c r="FP157" s="498"/>
      <c r="FQ157" s="498"/>
      <c r="FR157" s="498"/>
      <c r="FS157" s="498"/>
      <c r="FT157" s="498"/>
      <c r="FU157" s="498"/>
      <c r="FV157" s="498"/>
      <c r="FW157" s="498"/>
      <c r="FX157" s="498"/>
      <c r="FY157" s="498"/>
      <c r="FZ157" s="498"/>
      <c r="GA157" s="498"/>
      <c r="GB157" s="498"/>
      <c r="GC157" s="498"/>
      <c r="GD157" s="498"/>
      <c r="GE157" s="498"/>
      <c r="GF157" s="498"/>
      <c r="GG157" s="498"/>
    </row>
    <row r="158" spans="1:189" s="466" customFormat="1">
      <c r="A158" s="689" t="e">
        <f>+#REF!</f>
        <v>#REF!</v>
      </c>
      <c r="B158" s="752" t="e">
        <f>+#REF!</f>
        <v>#REF!</v>
      </c>
      <c r="C158" s="1407"/>
      <c r="D158" s="662"/>
      <c r="E158" s="641"/>
      <c r="F158" s="641"/>
      <c r="H158" s="496"/>
      <c r="I158" s="497">
        <v>1.05</v>
      </c>
      <c r="J158" s="496"/>
      <c r="K158" s="498"/>
      <c r="L158" s="498"/>
      <c r="M158" s="498"/>
      <c r="N158" s="498"/>
      <c r="O158" s="498"/>
      <c r="P158" s="498"/>
      <c r="Q158" s="498"/>
      <c r="R158" s="498"/>
      <c r="S158" s="498"/>
      <c r="T158" s="498"/>
      <c r="U158" s="498"/>
      <c r="V158" s="498"/>
      <c r="W158" s="498"/>
      <c r="X158" s="498"/>
      <c r="Y158" s="498"/>
      <c r="Z158" s="498"/>
      <c r="AA158" s="498"/>
      <c r="AB158" s="498"/>
      <c r="AC158" s="498"/>
      <c r="AD158" s="498"/>
      <c r="AE158" s="498"/>
      <c r="AF158" s="498"/>
      <c r="AG158" s="498"/>
      <c r="AH158" s="498"/>
      <c r="AI158" s="498"/>
      <c r="AJ158" s="498"/>
      <c r="AK158" s="498"/>
      <c r="AL158" s="498"/>
      <c r="AM158" s="498"/>
      <c r="AN158" s="498"/>
      <c r="AO158" s="498"/>
      <c r="AP158" s="498"/>
      <c r="AQ158" s="498"/>
      <c r="AR158" s="498"/>
      <c r="AS158" s="498"/>
      <c r="AT158" s="498"/>
      <c r="AU158" s="498"/>
      <c r="AV158" s="498"/>
      <c r="AW158" s="498"/>
      <c r="AX158" s="498"/>
      <c r="AY158" s="498"/>
      <c r="AZ158" s="498"/>
      <c r="BA158" s="498"/>
      <c r="BB158" s="498"/>
      <c r="BC158" s="498"/>
      <c r="BD158" s="498"/>
      <c r="BE158" s="498"/>
      <c r="BF158" s="498"/>
      <c r="BG158" s="498"/>
      <c r="BH158" s="498"/>
      <c r="BI158" s="498"/>
      <c r="BJ158" s="498"/>
      <c r="BK158" s="498"/>
      <c r="BL158" s="498"/>
      <c r="BM158" s="498"/>
      <c r="BN158" s="498"/>
      <c r="BO158" s="498"/>
      <c r="BP158" s="498"/>
      <c r="BQ158" s="498"/>
      <c r="BR158" s="498"/>
      <c r="BS158" s="498"/>
      <c r="BT158" s="498"/>
      <c r="BU158" s="498"/>
      <c r="BV158" s="498"/>
      <c r="BW158" s="498"/>
      <c r="BX158" s="498"/>
      <c r="BY158" s="498"/>
      <c r="BZ158" s="498"/>
      <c r="CA158" s="498"/>
      <c r="CB158" s="498"/>
      <c r="CC158" s="498"/>
      <c r="CD158" s="498"/>
      <c r="CE158" s="498"/>
      <c r="CF158" s="498"/>
      <c r="CG158" s="498"/>
      <c r="CH158" s="498"/>
      <c r="CI158" s="498"/>
      <c r="CJ158" s="498"/>
      <c r="CK158" s="498"/>
      <c r="CL158" s="498"/>
      <c r="CM158" s="498"/>
      <c r="CN158" s="498"/>
      <c r="CO158" s="498"/>
      <c r="CP158" s="498"/>
      <c r="CQ158" s="498"/>
      <c r="CR158" s="498"/>
      <c r="CS158" s="498"/>
      <c r="CT158" s="498"/>
      <c r="CU158" s="498"/>
      <c r="CV158" s="498"/>
      <c r="CW158" s="498"/>
      <c r="CX158" s="498"/>
      <c r="CY158" s="498"/>
      <c r="CZ158" s="498"/>
      <c r="DA158" s="498"/>
      <c r="DB158" s="498"/>
      <c r="DC158" s="498"/>
      <c r="DD158" s="498"/>
      <c r="DE158" s="498"/>
      <c r="DF158" s="498"/>
      <c r="DG158" s="498"/>
      <c r="DH158" s="498"/>
      <c r="DI158" s="498"/>
      <c r="DJ158" s="498"/>
      <c r="DK158" s="498"/>
      <c r="DL158" s="498"/>
      <c r="DM158" s="498"/>
      <c r="DN158" s="498"/>
      <c r="DO158" s="498"/>
      <c r="DP158" s="498"/>
      <c r="DQ158" s="498"/>
      <c r="DR158" s="498"/>
      <c r="DS158" s="498"/>
      <c r="DT158" s="498"/>
      <c r="DU158" s="498"/>
      <c r="DV158" s="498"/>
      <c r="DW158" s="498"/>
      <c r="DX158" s="498"/>
      <c r="DY158" s="498"/>
      <c r="DZ158" s="498"/>
      <c r="EA158" s="498"/>
      <c r="EB158" s="498"/>
      <c r="EC158" s="498"/>
      <c r="ED158" s="498"/>
      <c r="EE158" s="498"/>
      <c r="EF158" s="498"/>
      <c r="EG158" s="498"/>
      <c r="EH158" s="498"/>
      <c r="EI158" s="498"/>
      <c r="EJ158" s="498"/>
      <c r="EK158" s="498"/>
      <c r="EL158" s="498"/>
      <c r="EM158" s="498"/>
      <c r="EN158" s="498"/>
      <c r="EO158" s="498"/>
      <c r="EP158" s="498"/>
      <c r="EQ158" s="498"/>
      <c r="ER158" s="498"/>
      <c r="ES158" s="498"/>
      <c r="ET158" s="498"/>
      <c r="EU158" s="498"/>
      <c r="EV158" s="498"/>
      <c r="EW158" s="498"/>
      <c r="EX158" s="498"/>
      <c r="EY158" s="498"/>
      <c r="EZ158" s="498"/>
      <c r="FA158" s="498"/>
      <c r="FB158" s="498"/>
      <c r="FC158" s="498"/>
      <c r="FD158" s="498"/>
      <c r="FE158" s="498"/>
      <c r="FF158" s="498"/>
      <c r="FG158" s="498"/>
      <c r="FH158" s="498"/>
      <c r="FI158" s="498"/>
      <c r="FJ158" s="498"/>
      <c r="FK158" s="498"/>
      <c r="FL158" s="498"/>
      <c r="FM158" s="498"/>
      <c r="FN158" s="498"/>
      <c r="FO158" s="498"/>
      <c r="FP158" s="498"/>
      <c r="FQ158" s="498"/>
      <c r="FR158" s="498"/>
      <c r="FS158" s="498"/>
      <c r="FT158" s="498"/>
      <c r="FU158" s="498"/>
      <c r="FV158" s="498"/>
      <c r="FW158" s="498"/>
      <c r="FX158" s="498"/>
      <c r="FY158" s="498"/>
      <c r="FZ158" s="498"/>
      <c r="GA158" s="498"/>
      <c r="GB158" s="498"/>
      <c r="GC158" s="498"/>
      <c r="GD158" s="498"/>
      <c r="GE158" s="498"/>
      <c r="GF158" s="498"/>
      <c r="GG158" s="498"/>
    </row>
    <row r="159" spans="1:189" s="466" customFormat="1">
      <c r="A159" s="751" t="e">
        <f>+#REF!</f>
        <v>#REF!</v>
      </c>
      <c r="B159" s="708" t="e">
        <f>+#REF!</f>
        <v>#REF!</v>
      </c>
      <c r="C159" s="1408" t="e">
        <f>+#REF!</f>
        <v>#REF!</v>
      </c>
      <c r="D159" s="648">
        <f t="shared" si="7"/>
        <v>493.5</v>
      </c>
      <c r="E159" s="527" t="e">
        <f>+#REF!</f>
        <v>#REF!</v>
      </c>
      <c r="F159" s="527" t="e">
        <f>+D159*E159</f>
        <v>#REF!</v>
      </c>
      <c r="H159" s="496">
        <f>F3</f>
        <v>470</v>
      </c>
      <c r="I159" s="497">
        <v>1.05</v>
      </c>
      <c r="J159" s="496">
        <f>H159*I159</f>
        <v>493.5</v>
      </c>
      <c r="K159" s="498"/>
      <c r="L159" s="498"/>
      <c r="M159" s="498"/>
      <c r="N159" s="498"/>
      <c r="O159" s="498"/>
      <c r="P159" s="498"/>
      <c r="Q159" s="498"/>
      <c r="R159" s="498"/>
      <c r="S159" s="498"/>
      <c r="T159" s="498"/>
      <c r="U159" s="498"/>
      <c r="V159" s="498"/>
      <c r="W159" s="498"/>
      <c r="X159" s="498"/>
      <c r="Y159" s="498"/>
      <c r="Z159" s="498"/>
      <c r="AA159" s="498"/>
      <c r="AB159" s="498"/>
      <c r="AC159" s="498"/>
      <c r="AD159" s="498"/>
      <c r="AE159" s="498"/>
      <c r="AF159" s="498"/>
      <c r="AG159" s="498"/>
      <c r="AH159" s="498"/>
      <c r="AI159" s="498"/>
      <c r="AJ159" s="498"/>
      <c r="AK159" s="498"/>
      <c r="AL159" s="498"/>
      <c r="AM159" s="498"/>
      <c r="AN159" s="498"/>
      <c r="AO159" s="498"/>
      <c r="AP159" s="498"/>
      <c r="AQ159" s="498"/>
      <c r="AR159" s="498"/>
      <c r="AS159" s="498"/>
      <c r="AT159" s="498"/>
      <c r="AU159" s="498"/>
      <c r="AV159" s="498"/>
      <c r="AW159" s="498"/>
      <c r="AX159" s="498"/>
      <c r="AY159" s="498"/>
      <c r="AZ159" s="498"/>
      <c r="BA159" s="498"/>
      <c r="BB159" s="498"/>
      <c r="BC159" s="498"/>
      <c r="BD159" s="498"/>
      <c r="BE159" s="498"/>
      <c r="BF159" s="498"/>
      <c r="BG159" s="498"/>
      <c r="BH159" s="498"/>
      <c r="BI159" s="498"/>
      <c r="BJ159" s="498"/>
      <c r="BK159" s="498"/>
      <c r="BL159" s="498"/>
      <c r="BM159" s="498"/>
      <c r="BN159" s="498"/>
      <c r="BO159" s="498"/>
      <c r="BP159" s="498"/>
      <c r="BQ159" s="498"/>
      <c r="BR159" s="498"/>
      <c r="BS159" s="498"/>
      <c r="BT159" s="498"/>
      <c r="BU159" s="498"/>
      <c r="BV159" s="498"/>
      <c r="BW159" s="498"/>
      <c r="BX159" s="498"/>
      <c r="BY159" s="498"/>
      <c r="BZ159" s="498"/>
      <c r="CA159" s="498"/>
      <c r="CB159" s="498"/>
      <c r="CC159" s="498"/>
      <c r="CD159" s="498"/>
      <c r="CE159" s="498"/>
      <c r="CF159" s="498"/>
      <c r="CG159" s="498"/>
      <c r="CH159" s="498"/>
      <c r="CI159" s="498"/>
      <c r="CJ159" s="498"/>
      <c r="CK159" s="498"/>
      <c r="CL159" s="498"/>
      <c r="CM159" s="498"/>
      <c r="CN159" s="498"/>
      <c r="CO159" s="498"/>
      <c r="CP159" s="498"/>
      <c r="CQ159" s="498"/>
      <c r="CR159" s="498"/>
      <c r="CS159" s="498"/>
      <c r="CT159" s="498"/>
      <c r="CU159" s="498"/>
      <c r="CV159" s="498"/>
      <c r="CW159" s="498"/>
      <c r="CX159" s="498"/>
      <c r="CY159" s="498"/>
      <c r="CZ159" s="498"/>
      <c r="DA159" s="498"/>
      <c r="DB159" s="498"/>
      <c r="DC159" s="498"/>
      <c r="DD159" s="498"/>
      <c r="DE159" s="498"/>
      <c r="DF159" s="498"/>
      <c r="DG159" s="498"/>
      <c r="DH159" s="498"/>
      <c r="DI159" s="498"/>
      <c r="DJ159" s="498"/>
      <c r="DK159" s="498"/>
      <c r="DL159" s="498"/>
      <c r="DM159" s="498"/>
      <c r="DN159" s="498"/>
      <c r="DO159" s="498"/>
      <c r="DP159" s="498"/>
      <c r="DQ159" s="498"/>
      <c r="DR159" s="498"/>
      <c r="DS159" s="498"/>
      <c r="DT159" s="498"/>
      <c r="DU159" s="498"/>
      <c r="DV159" s="498"/>
      <c r="DW159" s="498"/>
      <c r="DX159" s="498"/>
      <c r="DY159" s="498"/>
      <c r="DZ159" s="498"/>
      <c r="EA159" s="498"/>
      <c r="EB159" s="498"/>
      <c r="EC159" s="498"/>
      <c r="ED159" s="498"/>
      <c r="EE159" s="498"/>
      <c r="EF159" s="498"/>
      <c r="EG159" s="498"/>
      <c r="EH159" s="498"/>
      <c r="EI159" s="498"/>
      <c r="EJ159" s="498"/>
      <c r="EK159" s="498"/>
      <c r="EL159" s="498"/>
      <c r="EM159" s="498"/>
      <c r="EN159" s="498"/>
      <c r="EO159" s="498"/>
      <c r="EP159" s="498"/>
      <c r="EQ159" s="498"/>
      <c r="ER159" s="498"/>
      <c r="ES159" s="498"/>
      <c r="ET159" s="498"/>
      <c r="EU159" s="498"/>
      <c r="EV159" s="498"/>
      <c r="EW159" s="498"/>
      <c r="EX159" s="498"/>
      <c r="EY159" s="498"/>
      <c r="EZ159" s="498"/>
      <c r="FA159" s="498"/>
      <c r="FB159" s="498"/>
      <c r="FC159" s="498"/>
      <c r="FD159" s="498"/>
      <c r="FE159" s="498"/>
      <c r="FF159" s="498"/>
      <c r="FG159" s="498"/>
      <c r="FH159" s="498"/>
      <c r="FI159" s="498"/>
      <c r="FJ159" s="498"/>
      <c r="FK159" s="498"/>
      <c r="FL159" s="498"/>
      <c r="FM159" s="498"/>
      <c r="FN159" s="498"/>
      <c r="FO159" s="498"/>
      <c r="FP159" s="498"/>
      <c r="FQ159" s="498"/>
      <c r="FR159" s="498"/>
      <c r="FS159" s="498"/>
      <c r="FT159" s="498"/>
      <c r="FU159" s="498"/>
      <c r="FV159" s="498"/>
      <c r="FW159" s="498"/>
      <c r="FX159" s="498"/>
      <c r="FY159" s="498"/>
      <c r="FZ159" s="498"/>
      <c r="GA159" s="498"/>
      <c r="GB159" s="498"/>
      <c r="GC159" s="498"/>
      <c r="GD159" s="498"/>
      <c r="GE159" s="498"/>
      <c r="GF159" s="498"/>
      <c r="GG159" s="498"/>
    </row>
    <row r="160" spans="1:189" s="699" customFormat="1">
      <c r="A160" s="689" t="e">
        <f>+#REF!</f>
        <v>#REF!</v>
      </c>
      <c r="B160" s="752" t="e">
        <f>+#REF!</f>
        <v>#REF!</v>
      </c>
      <c r="C160" s="1566"/>
      <c r="D160" s="662"/>
      <c r="E160" s="641"/>
      <c r="F160" s="641"/>
      <c r="G160" s="466"/>
      <c r="H160" s="496"/>
      <c r="I160" s="497">
        <v>1.05</v>
      </c>
      <c r="J160" s="496"/>
      <c r="K160" s="702"/>
      <c r="L160" s="702"/>
      <c r="M160" s="702"/>
      <c r="N160" s="702"/>
      <c r="O160" s="702"/>
      <c r="P160" s="702"/>
      <c r="Q160" s="702"/>
      <c r="R160" s="702"/>
      <c r="S160" s="702"/>
      <c r="T160" s="702"/>
      <c r="U160" s="702"/>
      <c r="V160" s="702"/>
      <c r="W160" s="702"/>
      <c r="X160" s="702"/>
      <c r="Y160" s="702"/>
      <c r="Z160" s="702"/>
      <c r="AA160" s="702"/>
      <c r="AB160" s="702"/>
      <c r="AC160" s="702"/>
      <c r="AD160" s="702"/>
      <c r="AE160" s="702"/>
      <c r="AF160" s="702"/>
      <c r="AG160" s="702"/>
      <c r="AH160" s="702"/>
      <c r="AI160" s="702"/>
      <c r="AJ160" s="702"/>
      <c r="AK160" s="702"/>
      <c r="AL160" s="702"/>
      <c r="AM160" s="702"/>
      <c r="AN160" s="702"/>
      <c r="AO160" s="702"/>
      <c r="AP160" s="702"/>
      <c r="AQ160" s="702"/>
      <c r="AR160" s="702"/>
      <c r="AS160" s="702"/>
      <c r="AT160" s="702"/>
      <c r="AU160" s="702"/>
      <c r="AV160" s="702"/>
      <c r="AW160" s="702"/>
      <c r="AX160" s="702"/>
      <c r="AY160" s="702"/>
      <c r="AZ160" s="702"/>
      <c r="BA160" s="702"/>
      <c r="BB160" s="702"/>
      <c r="BC160" s="702"/>
      <c r="BD160" s="702"/>
      <c r="BE160" s="702"/>
      <c r="BF160" s="702"/>
      <c r="BG160" s="702"/>
      <c r="BH160" s="702"/>
      <c r="BI160" s="702"/>
      <c r="BJ160" s="702"/>
      <c r="BK160" s="702"/>
      <c r="BL160" s="702"/>
      <c r="BM160" s="702"/>
      <c r="BN160" s="702"/>
      <c r="BO160" s="702"/>
      <c r="BP160" s="702"/>
      <c r="BQ160" s="702"/>
      <c r="BR160" s="702"/>
      <c r="BS160" s="702"/>
      <c r="BT160" s="702"/>
      <c r="BU160" s="702"/>
      <c r="BV160" s="702"/>
      <c r="BW160" s="702"/>
      <c r="BX160" s="702"/>
      <c r="BY160" s="702"/>
      <c r="BZ160" s="702"/>
      <c r="CA160" s="702"/>
      <c r="CB160" s="702"/>
      <c r="CC160" s="702"/>
      <c r="CD160" s="702"/>
      <c r="CE160" s="702"/>
      <c r="CF160" s="702"/>
      <c r="CG160" s="702"/>
      <c r="CH160" s="702"/>
      <c r="CI160" s="702"/>
      <c r="CJ160" s="702"/>
      <c r="CK160" s="702"/>
      <c r="CL160" s="702"/>
      <c r="CM160" s="702"/>
      <c r="CN160" s="702"/>
      <c r="CO160" s="702"/>
      <c r="CP160" s="702"/>
      <c r="CQ160" s="702"/>
      <c r="CR160" s="702"/>
      <c r="CS160" s="702"/>
      <c r="CT160" s="702"/>
      <c r="CU160" s="702"/>
      <c r="CV160" s="702"/>
      <c r="CW160" s="702"/>
      <c r="CX160" s="702"/>
      <c r="CY160" s="702"/>
      <c r="CZ160" s="702"/>
      <c r="DA160" s="702"/>
      <c r="DB160" s="702"/>
      <c r="DC160" s="702"/>
      <c r="DD160" s="702"/>
      <c r="DE160" s="702"/>
      <c r="DF160" s="702"/>
      <c r="DG160" s="702"/>
      <c r="DH160" s="702"/>
      <c r="DI160" s="702"/>
      <c r="DJ160" s="702"/>
      <c r="DK160" s="702"/>
      <c r="DL160" s="702"/>
      <c r="DM160" s="702"/>
      <c r="DN160" s="702"/>
      <c r="DO160" s="702"/>
      <c r="DP160" s="702"/>
      <c r="DQ160" s="702"/>
      <c r="DR160" s="702"/>
      <c r="DS160" s="702"/>
      <c r="DT160" s="702"/>
      <c r="DU160" s="702"/>
      <c r="DV160" s="702"/>
      <c r="DW160" s="702"/>
      <c r="DX160" s="702"/>
      <c r="DY160" s="702"/>
      <c r="DZ160" s="702"/>
      <c r="EA160" s="702"/>
      <c r="EB160" s="702"/>
      <c r="EC160" s="702"/>
      <c r="ED160" s="702"/>
      <c r="EE160" s="702"/>
      <c r="EF160" s="702"/>
      <c r="EG160" s="702"/>
      <c r="EH160" s="702"/>
      <c r="EI160" s="702"/>
      <c r="EJ160" s="702"/>
      <c r="EK160" s="702"/>
      <c r="EL160" s="702"/>
      <c r="EM160" s="702"/>
      <c r="EN160" s="702"/>
      <c r="EO160" s="702"/>
      <c r="EP160" s="702"/>
      <c r="EQ160" s="702"/>
      <c r="ER160" s="702"/>
      <c r="ES160" s="702"/>
      <c r="ET160" s="702"/>
      <c r="EU160" s="702"/>
      <c r="EV160" s="702"/>
      <c r="EW160" s="702"/>
      <c r="EX160" s="702"/>
      <c r="EY160" s="702"/>
      <c r="EZ160" s="702"/>
      <c r="FA160" s="702"/>
      <c r="FB160" s="702"/>
      <c r="FC160" s="702"/>
      <c r="FD160" s="702"/>
      <c r="FE160" s="702"/>
      <c r="FF160" s="702"/>
      <c r="FG160" s="702"/>
      <c r="FH160" s="702"/>
      <c r="FI160" s="702"/>
      <c r="FJ160" s="702"/>
      <c r="FK160" s="702"/>
      <c r="FL160" s="702"/>
      <c r="FM160" s="702"/>
      <c r="FN160" s="702"/>
      <c r="FO160" s="702"/>
      <c r="FP160" s="702"/>
      <c r="FQ160" s="702"/>
      <c r="FR160" s="702"/>
      <c r="FS160" s="702"/>
      <c r="FT160" s="702"/>
      <c r="FU160" s="702"/>
      <c r="FV160" s="702"/>
      <c r="FW160" s="702"/>
      <c r="FX160" s="702"/>
      <c r="FY160" s="702"/>
      <c r="FZ160" s="702"/>
      <c r="GA160" s="702"/>
      <c r="GB160" s="702"/>
      <c r="GC160" s="702"/>
      <c r="GD160" s="702"/>
      <c r="GE160" s="702"/>
      <c r="GF160" s="702"/>
      <c r="GG160" s="702"/>
    </row>
    <row r="161" spans="1:189" s="466" customFormat="1">
      <c r="A161" s="750" t="e">
        <f>+#REF!</f>
        <v>#REF!</v>
      </c>
      <c r="B161" s="729" t="e">
        <f>+#REF!</f>
        <v>#REF!</v>
      </c>
      <c r="C161" s="1558" t="e">
        <f>+#REF!</f>
        <v>#REF!</v>
      </c>
      <c r="D161" s="654">
        <f>J161</f>
        <v>25</v>
      </c>
      <c r="E161" s="650" t="e">
        <f>#REF!</f>
        <v>#REF!</v>
      </c>
      <c r="F161" s="633" t="e">
        <f>+D161*E161</f>
        <v>#REF!</v>
      </c>
      <c r="H161" s="496">
        <v>25</v>
      </c>
      <c r="I161" s="497">
        <v>1</v>
      </c>
      <c r="J161" s="496">
        <f>H161*I161</f>
        <v>25</v>
      </c>
      <c r="K161" s="498"/>
      <c r="L161" s="498"/>
      <c r="M161" s="498"/>
      <c r="N161" s="498"/>
      <c r="O161" s="498"/>
      <c r="P161" s="498"/>
      <c r="Q161" s="498"/>
      <c r="R161" s="498"/>
      <c r="S161" s="498"/>
      <c r="T161" s="498"/>
      <c r="U161" s="498"/>
      <c r="V161" s="498"/>
      <c r="W161" s="498"/>
      <c r="X161" s="498"/>
      <c r="Y161" s="498"/>
      <c r="Z161" s="498"/>
      <c r="AA161" s="498"/>
      <c r="AB161" s="498"/>
      <c r="AC161" s="498"/>
      <c r="AD161" s="498"/>
      <c r="AE161" s="498"/>
      <c r="AF161" s="498"/>
      <c r="AG161" s="498"/>
      <c r="AH161" s="498"/>
      <c r="AI161" s="498"/>
      <c r="AJ161" s="498"/>
      <c r="AK161" s="498"/>
      <c r="AL161" s="498"/>
      <c r="AM161" s="498"/>
      <c r="AN161" s="498"/>
      <c r="AO161" s="498"/>
      <c r="AP161" s="498"/>
      <c r="AQ161" s="498"/>
      <c r="AR161" s="498"/>
      <c r="AS161" s="498"/>
      <c r="AT161" s="498"/>
      <c r="AU161" s="498"/>
      <c r="AV161" s="498"/>
      <c r="AW161" s="498"/>
      <c r="AX161" s="498"/>
      <c r="AY161" s="498"/>
      <c r="AZ161" s="498"/>
      <c r="BA161" s="498"/>
      <c r="BB161" s="498"/>
      <c r="BC161" s="498"/>
      <c r="BD161" s="498"/>
      <c r="BE161" s="498"/>
      <c r="BF161" s="498"/>
      <c r="BG161" s="498"/>
      <c r="BH161" s="498"/>
      <c r="BI161" s="498"/>
      <c r="BJ161" s="498"/>
      <c r="BK161" s="498"/>
      <c r="BL161" s="498"/>
      <c r="BM161" s="498"/>
      <c r="BN161" s="498"/>
      <c r="BO161" s="498"/>
      <c r="BP161" s="498"/>
      <c r="BQ161" s="498"/>
      <c r="BR161" s="498"/>
      <c r="BS161" s="498"/>
      <c r="BT161" s="498"/>
      <c r="BU161" s="498"/>
      <c r="BV161" s="498"/>
      <c r="BW161" s="498"/>
      <c r="BX161" s="498"/>
      <c r="BY161" s="498"/>
      <c r="BZ161" s="498"/>
      <c r="CA161" s="498"/>
      <c r="CB161" s="498"/>
      <c r="CC161" s="498"/>
      <c r="CD161" s="498"/>
      <c r="CE161" s="498"/>
      <c r="CF161" s="498"/>
      <c r="CG161" s="498"/>
      <c r="CH161" s="498"/>
      <c r="CI161" s="498"/>
      <c r="CJ161" s="498"/>
      <c r="CK161" s="498"/>
      <c r="CL161" s="498"/>
      <c r="CM161" s="498"/>
      <c r="CN161" s="498"/>
      <c r="CO161" s="498"/>
      <c r="CP161" s="498"/>
      <c r="CQ161" s="498"/>
      <c r="CR161" s="498"/>
      <c r="CS161" s="498"/>
      <c r="CT161" s="498"/>
      <c r="CU161" s="498"/>
      <c r="CV161" s="498"/>
      <c r="CW161" s="498"/>
      <c r="CX161" s="498"/>
      <c r="CY161" s="498"/>
      <c r="CZ161" s="498"/>
      <c r="DA161" s="498"/>
      <c r="DB161" s="498"/>
      <c r="DC161" s="498"/>
      <c r="DD161" s="498"/>
      <c r="DE161" s="498"/>
      <c r="DF161" s="498"/>
      <c r="DG161" s="498"/>
      <c r="DH161" s="498"/>
      <c r="DI161" s="498"/>
      <c r="DJ161" s="498"/>
      <c r="DK161" s="498"/>
      <c r="DL161" s="498"/>
      <c r="DM161" s="498"/>
      <c r="DN161" s="498"/>
      <c r="DO161" s="498"/>
      <c r="DP161" s="498"/>
      <c r="DQ161" s="498"/>
      <c r="DR161" s="498"/>
      <c r="DS161" s="498"/>
      <c r="DT161" s="498"/>
      <c r="DU161" s="498"/>
      <c r="DV161" s="498"/>
      <c r="DW161" s="498"/>
      <c r="DX161" s="498"/>
      <c r="DY161" s="498"/>
      <c r="DZ161" s="498"/>
      <c r="EA161" s="498"/>
      <c r="EB161" s="498"/>
      <c r="EC161" s="498"/>
      <c r="ED161" s="498"/>
      <c r="EE161" s="498"/>
      <c r="EF161" s="498"/>
      <c r="EG161" s="498"/>
      <c r="EH161" s="498"/>
      <c r="EI161" s="498"/>
      <c r="EJ161" s="498"/>
      <c r="EK161" s="498"/>
      <c r="EL161" s="498"/>
      <c r="EM161" s="498"/>
      <c r="EN161" s="498"/>
      <c r="EO161" s="498"/>
      <c r="EP161" s="498"/>
      <c r="EQ161" s="498"/>
      <c r="ER161" s="498"/>
      <c r="ES161" s="498"/>
      <c r="ET161" s="498"/>
      <c r="EU161" s="498"/>
      <c r="EV161" s="498"/>
      <c r="EW161" s="498"/>
      <c r="EX161" s="498"/>
      <c r="EY161" s="498"/>
      <c r="EZ161" s="498"/>
      <c r="FA161" s="498"/>
      <c r="FB161" s="498"/>
      <c r="FC161" s="498"/>
      <c r="FD161" s="498"/>
      <c r="FE161" s="498"/>
      <c r="FF161" s="498"/>
      <c r="FG161" s="498"/>
      <c r="FH161" s="498"/>
      <c r="FI161" s="498"/>
      <c r="FJ161" s="498"/>
      <c r="FK161" s="498"/>
      <c r="FL161" s="498"/>
      <c r="FM161" s="498"/>
      <c r="FN161" s="498"/>
      <c r="FO161" s="498"/>
      <c r="FP161" s="498"/>
      <c r="FQ161" s="498"/>
      <c r="FR161" s="498"/>
      <c r="FS161" s="498"/>
      <c r="FT161" s="498"/>
      <c r="FU161" s="498"/>
      <c r="FV161" s="498"/>
      <c r="FW161" s="498"/>
      <c r="FX161" s="498"/>
      <c r="FY161" s="498"/>
      <c r="FZ161" s="498"/>
      <c r="GA161" s="498"/>
      <c r="GB161" s="498"/>
      <c r="GC161" s="498"/>
      <c r="GD161" s="498"/>
      <c r="GE161" s="498"/>
      <c r="GF161" s="498"/>
      <c r="GG161" s="498"/>
    </row>
    <row r="162" spans="1:189" s="466" customFormat="1">
      <c r="A162" s="751" t="e">
        <f>+#REF!</f>
        <v>#REF!</v>
      </c>
      <c r="B162" s="708" t="e">
        <f>+#REF!</f>
        <v>#REF!</v>
      </c>
      <c r="C162" s="1558" t="e">
        <f>+#REF!</f>
        <v>#REF!</v>
      </c>
      <c r="D162" s="654">
        <f>J162</f>
        <v>0</v>
      </c>
      <c r="E162" s="650" t="e">
        <f>#REF!</f>
        <v>#REF!</v>
      </c>
      <c r="F162" s="633" t="e">
        <f>+D162*E162</f>
        <v>#REF!</v>
      </c>
      <c r="H162" s="496">
        <f>10*0</f>
        <v>0</v>
      </c>
      <c r="I162" s="497">
        <v>1</v>
      </c>
      <c r="J162" s="496">
        <f>H162*I162</f>
        <v>0</v>
      </c>
      <c r="K162" s="498"/>
      <c r="L162" s="498"/>
      <c r="M162" s="498"/>
      <c r="N162" s="498"/>
      <c r="O162" s="498"/>
      <c r="P162" s="498"/>
      <c r="Q162" s="498"/>
      <c r="R162" s="498"/>
      <c r="S162" s="498"/>
      <c r="T162" s="498"/>
      <c r="U162" s="498"/>
      <c r="V162" s="498"/>
      <c r="W162" s="498"/>
      <c r="X162" s="498"/>
      <c r="Y162" s="498"/>
      <c r="Z162" s="498"/>
      <c r="AA162" s="498"/>
      <c r="AB162" s="498"/>
      <c r="AC162" s="498"/>
      <c r="AD162" s="498"/>
      <c r="AE162" s="498"/>
      <c r="AF162" s="498"/>
      <c r="AG162" s="498"/>
      <c r="AH162" s="498"/>
      <c r="AI162" s="498"/>
      <c r="AJ162" s="498"/>
      <c r="AK162" s="498"/>
      <c r="AL162" s="498"/>
      <c r="AM162" s="498"/>
      <c r="AN162" s="498"/>
      <c r="AO162" s="498"/>
      <c r="AP162" s="498"/>
      <c r="AQ162" s="498"/>
      <c r="AR162" s="498"/>
      <c r="AS162" s="498"/>
      <c r="AT162" s="498"/>
      <c r="AU162" s="498"/>
      <c r="AV162" s="498"/>
      <c r="AW162" s="498"/>
      <c r="AX162" s="498"/>
      <c r="AY162" s="498"/>
      <c r="AZ162" s="498"/>
      <c r="BA162" s="498"/>
      <c r="BB162" s="498"/>
      <c r="BC162" s="498"/>
      <c r="BD162" s="498"/>
      <c r="BE162" s="498"/>
      <c r="BF162" s="498"/>
      <c r="BG162" s="498"/>
      <c r="BH162" s="498"/>
      <c r="BI162" s="498"/>
      <c r="BJ162" s="498"/>
      <c r="BK162" s="498"/>
      <c r="BL162" s="498"/>
      <c r="BM162" s="498"/>
      <c r="BN162" s="498"/>
      <c r="BO162" s="498"/>
      <c r="BP162" s="498"/>
      <c r="BQ162" s="498"/>
      <c r="BR162" s="498"/>
      <c r="BS162" s="498"/>
      <c r="BT162" s="498"/>
      <c r="BU162" s="498"/>
      <c r="BV162" s="498"/>
      <c r="BW162" s="498"/>
      <c r="BX162" s="498"/>
      <c r="BY162" s="498"/>
      <c r="BZ162" s="498"/>
      <c r="CA162" s="498"/>
      <c r="CB162" s="498"/>
      <c r="CC162" s="498"/>
      <c r="CD162" s="498"/>
      <c r="CE162" s="498"/>
      <c r="CF162" s="498"/>
      <c r="CG162" s="498"/>
      <c r="CH162" s="498"/>
      <c r="CI162" s="498"/>
      <c r="CJ162" s="498"/>
      <c r="CK162" s="498"/>
      <c r="CL162" s="498"/>
      <c r="CM162" s="498"/>
      <c r="CN162" s="498"/>
      <c r="CO162" s="498"/>
      <c r="CP162" s="498"/>
      <c r="CQ162" s="498"/>
      <c r="CR162" s="498"/>
      <c r="CS162" s="498"/>
      <c r="CT162" s="498"/>
      <c r="CU162" s="498"/>
      <c r="CV162" s="498"/>
      <c r="CW162" s="498"/>
      <c r="CX162" s="498"/>
      <c r="CY162" s="498"/>
      <c r="CZ162" s="498"/>
      <c r="DA162" s="498"/>
      <c r="DB162" s="498"/>
      <c r="DC162" s="498"/>
      <c r="DD162" s="498"/>
      <c r="DE162" s="498"/>
      <c r="DF162" s="498"/>
      <c r="DG162" s="498"/>
      <c r="DH162" s="498"/>
      <c r="DI162" s="498"/>
      <c r="DJ162" s="498"/>
      <c r="DK162" s="498"/>
      <c r="DL162" s="498"/>
      <c r="DM162" s="498"/>
      <c r="DN162" s="498"/>
      <c r="DO162" s="498"/>
      <c r="DP162" s="498"/>
      <c r="DQ162" s="498"/>
      <c r="DR162" s="498"/>
      <c r="DS162" s="498"/>
      <c r="DT162" s="498"/>
      <c r="DU162" s="498"/>
      <c r="DV162" s="498"/>
      <c r="DW162" s="498"/>
      <c r="DX162" s="498"/>
      <c r="DY162" s="498"/>
      <c r="DZ162" s="498"/>
      <c r="EA162" s="498"/>
      <c r="EB162" s="498"/>
      <c r="EC162" s="498"/>
      <c r="ED162" s="498"/>
      <c r="EE162" s="498"/>
      <c r="EF162" s="498"/>
      <c r="EG162" s="498"/>
      <c r="EH162" s="498"/>
      <c r="EI162" s="498"/>
      <c r="EJ162" s="498"/>
      <c r="EK162" s="498"/>
      <c r="EL162" s="498"/>
      <c r="EM162" s="498"/>
      <c r="EN162" s="498"/>
      <c r="EO162" s="498"/>
      <c r="EP162" s="498"/>
      <c r="EQ162" s="498"/>
      <c r="ER162" s="498"/>
      <c r="ES162" s="498"/>
      <c r="ET162" s="498"/>
      <c r="EU162" s="498"/>
      <c r="EV162" s="498"/>
      <c r="EW162" s="498"/>
      <c r="EX162" s="498"/>
      <c r="EY162" s="498"/>
      <c r="EZ162" s="498"/>
      <c r="FA162" s="498"/>
      <c r="FB162" s="498"/>
      <c r="FC162" s="498"/>
      <c r="FD162" s="498"/>
      <c r="FE162" s="498"/>
      <c r="FF162" s="498"/>
      <c r="FG162" s="498"/>
      <c r="FH162" s="498"/>
      <c r="FI162" s="498"/>
      <c r="FJ162" s="498"/>
      <c r="FK162" s="498"/>
      <c r="FL162" s="498"/>
      <c r="FM162" s="498"/>
      <c r="FN162" s="498"/>
      <c r="FO162" s="498"/>
      <c r="FP162" s="498"/>
      <c r="FQ162" s="498"/>
      <c r="FR162" s="498"/>
      <c r="FS162" s="498"/>
      <c r="FT162" s="498"/>
      <c r="FU162" s="498"/>
      <c r="FV162" s="498"/>
      <c r="FW162" s="498"/>
      <c r="FX162" s="498"/>
      <c r="FY162" s="498"/>
      <c r="FZ162" s="498"/>
      <c r="GA162" s="498"/>
      <c r="GB162" s="498"/>
      <c r="GC162" s="498"/>
      <c r="GD162" s="498"/>
      <c r="GE162" s="498"/>
      <c r="GF162" s="498"/>
      <c r="GG162" s="498"/>
    </row>
    <row r="163" spans="1:189" s="699" customFormat="1">
      <c r="A163" s="689" t="e">
        <f>#REF!</f>
        <v>#REF!</v>
      </c>
      <c r="B163" s="752" t="e">
        <f>#REF!</f>
        <v>#REF!</v>
      </c>
      <c r="C163" s="1566"/>
      <c r="D163" s="662"/>
      <c r="E163" s="641"/>
      <c r="F163" s="641"/>
      <c r="G163" s="466"/>
      <c r="H163" s="496"/>
      <c r="I163" s="497">
        <v>1</v>
      </c>
      <c r="J163" s="496"/>
      <c r="K163" s="702"/>
      <c r="L163" s="702"/>
      <c r="M163" s="702"/>
      <c r="N163" s="702"/>
      <c r="O163" s="702"/>
      <c r="P163" s="702"/>
      <c r="Q163" s="702"/>
      <c r="R163" s="702"/>
      <c r="S163" s="702"/>
      <c r="T163" s="702"/>
      <c r="U163" s="702"/>
      <c r="V163" s="702"/>
      <c r="W163" s="702"/>
      <c r="X163" s="702"/>
      <c r="Y163" s="702"/>
      <c r="Z163" s="702"/>
      <c r="AA163" s="702"/>
      <c r="AB163" s="702"/>
      <c r="AC163" s="702"/>
      <c r="AD163" s="702"/>
      <c r="AE163" s="702"/>
      <c r="AF163" s="702"/>
      <c r="AG163" s="702"/>
      <c r="AH163" s="702"/>
      <c r="AI163" s="702"/>
      <c r="AJ163" s="702"/>
      <c r="AK163" s="702"/>
      <c r="AL163" s="702"/>
      <c r="AM163" s="702"/>
      <c r="AN163" s="702"/>
      <c r="AO163" s="702"/>
      <c r="AP163" s="702"/>
      <c r="AQ163" s="702"/>
      <c r="AR163" s="702"/>
      <c r="AS163" s="702"/>
      <c r="AT163" s="702"/>
      <c r="AU163" s="702"/>
      <c r="AV163" s="702"/>
      <c r="AW163" s="702"/>
      <c r="AX163" s="702"/>
      <c r="AY163" s="702"/>
      <c r="AZ163" s="702"/>
      <c r="BA163" s="702"/>
      <c r="BB163" s="702"/>
      <c r="BC163" s="702"/>
      <c r="BD163" s="702"/>
      <c r="BE163" s="702"/>
      <c r="BF163" s="702"/>
      <c r="BG163" s="702"/>
      <c r="BH163" s="702"/>
      <c r="BI163" s="702"/>
      <c r="BJ163" s="702"/>
      <c r="BK163" s="702"/>
      <c r="BL163" s="702"/>
      <c r="BM163" s="702"/>
      <c r="BN163" s="702"/>
      <c r="BO163" s="702"/>
      <c r="BP163" s="702"/>
      <c r="BQ163" s="702"/>
      <c r="BR163" s="702"/>
      <c r="BS163" s="702"/>
      <c r="BT163" s="702"/>
      <c r="BU163" s="702"/>
      <c r="BV163" s="702"/>
      <c r="BW163" s="702"/>
      <c r="BX163" s="702"/>
      <c r="BY163" s="702"/>
      <c r="BZ163" s="702"/>
      <c r="CA163" s="702"/>
      <c r="CB163" s="702"/>
      <c r="CC163" s="702"/>
      <c r="CD163" s="702"/>
      <c r="CE163" s="702"/>
      <c r="CF163" s="702"/>
      <c r="CG163" s="702"/>
      <c r="CH163" s="702"/>
      <c r="CI163" s="702"/>
      <c r="CJ163" s="702"/>
      <c r="CK163" s="702"/>
      <c r="CL163" s="702"/>
      <c r="CM163" s="702"/>
      <c r="CN163" s="702"/>
      <c r="CO163" s="702"/>
      <c r="CP163" s="702"/>
      <c r="CQ163" s="702"/>
      <c r="CR163" s="702"/>
      <c r="CS163" s="702"/>
      <c r="CT163" s="702"/>
      <c r="CU163" s="702"/>
      <c r="CV163" s="702"/>
      <c r="CW163" s="702"/>
      <c r="CX163" s="702"/>
      <c r="CY163" s="702"/>
      <c r="CZ163" s="702"/>
      <c r="DA163" s="702"/>
      <c r="DB163" s="702"/>
      <c r="DC163" s="702"/>
      <c r="DD163" s="702"/>
      <c r="DE163" s="702"/>
      <c r="DF163" s="702"/>
      <c r="DG163" s="702"/>
      <c r="DH163" s="702"/>
      <c r="DI163" s="702"/>
      <c r="DJ163" s="702"/>
      <c r="DK163" s="702"/>
      <c r="DL163" s="702"/>
      <c r="DM163" s="702"/>
      <c r="DN163" s="702"/>
      <c r="DO163" s="702"/>
      <c r="DP163" s="702"/>
      <c r="DQ163" s="702"/>
      <c r="DR163" s="702"/>
      <c r="DS163" s="702"/>
      <c r="DT163" s="702"/>
      <c r="DU163" s="702"/>
      <c r="DV163" s="702"/>
      <c r="DW163" s="702"/>
      <c r="DX163" s="702"/>
      <c r="DY163" s="702"/>
      <c r="DZ163" s="702"/>
      <c r="EA163" s="702"/>
      <c r="EB163" s="702"/>
      <c r="EC163" s="702"/>
      <c r="ED163" s="702"/>
      <c r="EE163" s="702"/>
      <c r="EF163" s="702"/>
      <c r="EG163" s="702"/>
      <c r="EH163" s="702"/>
      <c r="EI163" s="702"/>
      <c r="EJ163" s="702"/>
      <c r="EK163" s="702"/>
      <c r="EL163" s="702"/>
      <c r="EM163" s="702"/>
      <c r="EN163" s="702"/>
      <c r="EO163" s="702"/>
      <c r="EP163" s="702"/>
      <c r="EQ163" s="702"/>
      <c r="ER163" s="702"/>
      <c r="ES163" s="702"/>
      <c r="ET163" s="702"/>
      <c r="EU163" s="702"/>
      <c r="EV163" s="702"/>
      <c r="EW163" s="702"/>
      <c r="EX163" s="702"/>
      <c r="EY163" s="702"/>
      <c r="EZ163" s="702"/>
      <c r="FA163" s="702"/>
      <c r="FB163" s="702"/>
      <c r="FC163" s="702"/>
      <c r="FD163" s="702"/>
      <c r="FE163" s="702"/>
      <c r="FF163" s="702"/>
      <c r="FG163" s="702"/>
      <c r="FH163" s="702"/>
      <c r="FI163" s="702"/>
      <c r="FJ163" s="702"/>
      <c r="FK163" s="702"/>
      <c r="FL163" s="702"/>
      <c r="FM163" s="702"/>
      <c r="FN163" s="702"/>
      <c r="FO163" s="702"/>
      <c r="FP163" s="702"/>
      <c r="FQ163" s="702"/>
      <c r="FR163" s="702"/>
      <c r="FS163" s="702"/>
      <c r="FT163" s="702"/>
      <c r="FU163" s="702"/>
      <c r="FV163" s="702"/>
      <c r="FW163" s="702"/>
      <c r="FX163" s="702"/>
      <c r="FY163" s="702"/>
      <c r="FZ163" s="702"/>
      <c r="GA163" s="702"/>
      <c r="GB163" s="702"/>
      <c r="GC163" s="702"/>
      <c r="GD163" s="702"/>
      <c r="GE163" s="702"/>
      <c r="GF163" s="702"/>
      <c r="GG163" s="702"/>
    </row>
    <row r="164" spans="1:189" s="466" customFormat="1">
      <c r="A164" s="1511"/>
      <c r="B164" s="735"/>
      <c r="C164" s="1558" t="e">
        <f>#REF!</f>
        <v>#REF!</v>
      </c>
      <c r="D164" s="654">
        <v>2</v>
      </c>
      <c r="E164" s="650" t="e">
        <f>#REF!</f>
        <v>#REF!</v>
      </c>
      <c r="F164" s="633" t="e">
        <f>+D164*E164</f>
        <v>#REF!</v>
      </c>
      <c r="H164" s="496">
        <f>37+13+19</f>
        <v>69</v>
      </c>
      <c r="I164" s="497">
        <v>1</v>
      </c>
      <c r="J164" s="496">
        <f>H164*I164</f>
        <v>69</v>
      </c>
      <c r="K164" s="498"/>
      <c r="L164" s="498"/>
      <c r="M164" s="498"/>
      <c r="N164" s="498"/>
      <c r="O164" s="498"/>
      <c r="P164" s="498"/>
      <c r="Q164" s="498"/>
      <c r="R164" s="498"/>
      <c r="S164" s="498"/>
      <c r="T164" s="498"/>
      <c r="U164" s="498"/>
      <c r="V164" s="498"/>
      <c r="W164" s="498"/>
      <c r="X164" s="498"/>
      <c r="Y164" s="498"/>
      <c r="Z164" s="498"/>
      <c r="AA164" s="498"/>
      <c r="AB164" s="498"/>
      <c r="AC164" s="498"/>
      <c r="AD164" s="498"/>
      <c r="AE164" s="498"/>
      <c r="AF164" s="498"/>
      <c r="AG164" s="498"/>
      <c r="AH164" s="498"/>
      <c r="AI164" s="498"/>
      <c r="AJ164" s="498"/>
      <c r="AK164" s="498"/>
      <c r="AL164" s="498"/>
      <c r="AM164" s="498"/>
      <c r="AN164" s="498"/>
      <c r="AO164" s="498"/>
      <c r="AP164" s="498"/>
      <c r="AQ164" s="498"/>
      <c r="AR164" s="498"/>
      <c r="AS164" s="498"/>
      <c r="AT164" s="498"/>
      <c r="AU164" s="498"/>
      <c r="AV164" s="498"/>
      <c r="AW164" s="498"/>
      <c r="AX164" s="498"/>
      <c r="AY164" s="498"/>
      <c r="AZ164" s="498"/>
      <c r="BA164" s="498"/>
      <c r="BB164" s="498"/>
      <c r="BC164" s="498"/>
      <c r="BD164" s="498"/>
      <c r="BE164" s="498"/>
      <c r="BF164" s="498"/>
      <c r="BG164" s="498"/>
      <c r="BH164" s="498"/>
      <c r="BI164" s="498"/>
      <c r="BJ164" s="498"/>
      <c r="BK164" s="498"/>
      <c r="BL164" s="498"/>
      <c r="BM164" s="498"/>
      <c r="BN164" s="498"/>
      <c r="BO164" s="498"/>
      <c r="BP164" s="498"/>
      <c r="BQ164" s="498"/>
      <c r="BR164" s="498"/>
      <c r="BS164" s="498"/>
      <c r="BT164" s="498"/>
      <c r="BU164" s="498"/>
      <c r="BV164" s="498"/>
      <c r="BW164" s="498"/>
      <c r="BX164" s="498"/>
      <c r="BY164" s="498"/>
      <c r="BZ164" s="498"/>
      <c r="CA164" s="498"/>
      <c r="CB164" s="498"/>
      <c r="CC164" s="498"/>
      <c r="CD164" s="498"/>
      <c r="CE164" s="498"/>
      <c r="CF164" s="498"/>
      <c r="CG164" s="498"/>
      <c r="CH164" s="498"/>
      <c r="CI164" s="498"/>
      <c r="CJ164" s="498"/>
      <c r="CK164" s="498"/>
      <c r="CL164" s="498"/>
      <c r="CM164" s="498"/>
      <c r="CN164" s="498"/>
      <c r="CO164" s="498"/>
      <c r="CP164" s="498"/>
      <c r="CQ164" s="498"/>
      <c r="CR164" s="498"/>
      <c r="CS164" s="498"/>
      <c r="CT164" s="498"/>
      <c r="CU164" s="498"/>
      <c r="CV164" s="498"/>
      <c r="CW164" s="498"/>
      <c r="CX164" s="498"/>
      <c r="CY164" s="498"/>
      <c r="CZ164" s="498"/>
      <c r="DA164" s="498"/>
      <c r="DB164" s="498"/>
      <c r="DC164" s="498"/>
      <c r="DD164" s="498"/>
      <c r="DE164" s="498"/>
      <c r="DF164" s="498"/>
      <c r="DG164" s="498"/>
      <c r="DH164" s="498"/>
      <c r="DI164" s="498"/>
      <c r="DJ164" s="498"/>
      <c r="DK164" s="498"/>
      <c r="DL164" s="498"/>
      <c r="DM164" s="498"/>
      <c r="DN164" s="498"/>
      <c r="DO164" s="498"/>
      <c r="DP164" s="498"/>
      <c r="DQ164" s="498"/>
      <c r="DR164" s="498"/>
      <c r="DS164" s="498"/>
      <c r="DT164" s="498"/>
      <c r="DU164" s="498"/>
      <c r="DV164" s="498"/>
      <c r="DW164" s="498"/>
      <c r="DX164" s="498"/>
      <c r="DY164" s="498"/>
      <c r="DZ164" s="498"/>
      <c r="EA164" s="498"/>
      <c r="EB164" s="498"/>
      <c r="EC164" s="498"/>
      <c r="ED164" s="498"/>
      <c r="EE164" s="498"/>
      <c r="EF164" s="498"/>
      <c r="EG164" s="498"/>
      <c r="EH164" s="498"/>
      <c r="EI164" s="498"/>
      <c r="EJ164" s="498"/>
      <c r="EK164" s="498"/>
      <c r="EL164" s="498"/>
      <c r="EM164" s="498"/>
      <c r="EN164" s="498"/>
      <c r="EO164" s="498"/>
      <c r="EP164" s="498"/>
      <c r="EQ164" s="498"/>
      <c r="ER164" s="498"/>
      <c r="ES164" s="498"/>
      <c r="ET164" s="498"/>
      <c r="EU164" s="498"/>
      <c r="EV164" s="498"/>
      <c r="EW164" s="498"/>
      <c r="EX164" s="498"/>
      <c r="EY164" s="498"/>
      <c r="EZ164" s="498"/>
      <c r="FA164" s="498"/>
      <c r="FB164" s="498"/>
      <c r="FC164" s="498"/>
      <c r="FD164" s="498"/>
      <c r="FE164" s="498"/>
      <c r="FF164" s="498"/>
      <c r="FG164" s="498"/>
      <c r="FH164" s="498"/>
      <c r="FI164" s="498"/>
      <c r="FJ164" s="498"/>
      <c r="FK164" s="498"/>
      <c r="FL164" s="498"/>
      <c r="FM164" s="498"/>
      <c r="FN164" s="498"/>
      <c r="FO164" s="498"/>
      <c r="FP164" s="498"/>
      <c r="FQ164" s="498"/>
      <c r="FR164" s="498"/>
      <c r="FS164" s="498"/>
      <c r="FT164" s="498"/>
      <c r="FU164" s="498"/>
      <c r="FV164" s="498"/>
      <c r="FW164" s="498"/>
      <c r="FX164" s="498"/>
      <c r="FY164" s="498"/>
      <c r="FZ164" s="498"/>
      <c r="GA164" s="498"/>
      <c r="GB164" s="498"/>
      <c r="GC164" s="498"/>
      <c r="GD164" s="498"/>
      <c r="GE164" s="498"/>
      <c r="GF164" s="498"/>
      <c r="GG164" s="498"/>
    </row>
    <row r="165" spans="1:189" s="466" customFormat="1">
      <c r="A165" s="689" t="e">
        <f>#REF!</f>
        <v>#REF!</v>
      </c>
      <c r="B165" s="752" t="e">
        <f>#REF!</f>
        <v>#REF!</v>
      </c>
      <c r="C165" s="1566"/>
      <c r="D165" s="662"/>
      <c r="E165" s="641"/>
      <c r="F165" s="641"/>
      <c r="H165" s="496"/>
      <c r="I165" s="497">
        <v>1</v>
      </c>
      <c r="J165" s="496"/>
      <c r="K165" s="498"/>
      <c r="L165" s="498"/>
      <c r="M165" s="498"/>
      <c r="N165" s="498"/>
      <c r="O165" s="498"/>
      <c r="P165" s="498"/>
      <c r="Q165" s="498"/>
      <c r="R165" s="498"/>
      <c r="S165" s="498"/>
      <c r="T165" s="498"/>
      <c r="U165" s="498"/>
      <c r="V165" s="498"/>
      <c r="W165" s="498"/>
      <c r="X165" s="498"/>
      <c r="Y165" s="498"/>
      <c r="Z165" s="498"/>
      <c r="AA165" s="498"/>
      <c r="AB165" s="498"/>
      <c r="AC165" s="498"/>
      <c r="AD165" s="498"/>
      <c r="AE165" s="498"/>
      <c r="AF165" s="498"/>
      <c r="AG165" s="498"/>
      <c r="AH165" s="498"/>
      <c r="AI165" s="498"/>
      <c r="AJ165" s="498"/>
      <c r="AK165" s="498"/>
      <c r="AL165" s="498"/>
      <c r="AM165" s="498"/>
      <c r="AN165" s="498"/>
      <c r="AO165" s="498"/>
      <c r="AP165" s="498"/>
      <c r="AQ165" s="498"/>
      <c r="AR165" s="498"/>
      <c r="AS165" s="498"/>
      <c r="AT165" s="498"/>
      <c r="AU165" s="498"/>
      <c r="AV165" s="498"/>
      <c r="AW165" s="498"/>
      <c r="AX165" s="498"/>
      <c r="AY165" s="498"/>
      <c r="AZ165" s="498"/>
      <c r="BA165" s="498"/>
      <c r="BB165" s="498"/>
      <c r="BC165" s="498"/>
      <c r="BD165" s="498"/>
      <c r="BE165" s="498"/>
      <c r="BF165" s="498"/>
      <c r="BG165" s="498"/>
      <c r="BH165" s="498"/>
      <c r="BI165" s="498"/>
      <c r="BJ165" s="498"/>
      <c r="BK165" s="498"/>
      <c r="BL165" s="498"/>
      <c r="BM165" s="498"/>
      <c r="BN165" s="498"/>
      <c r="BO165" s="498"/>
      <c r="BP165" s="498"/>
      <c r="BQ165" s="498"/>
      <c r="BR165" s="498"/>
      <c r="BS165" s="498"/>
      <c r="BT165" s="498"/>
      <c r="BU165" s="498"/>
      <c r="BV165" s="498"/>
      <c r="BW165" s="498"/>
      <c r="BX165" s="498"/>
      <c r="BY165" s="498"/>
      <c r="BZ165" s="498"/>
      <c r="CA165" s="498"/>
      <c r="CB165" s="498"/>
      <c r="CC165" s="498"/>
      <c r="CD165" s="498"/>
      <c r="CE165" s="498"/>
      <c r="CF165" s="498"/>
      <c r="CG165" s="498"/>
      <c r="CH165" s="498"/>
      <c r="CI165" s="498"/>
      <c r="CJ165" s="498"/>
      <c r="CK165" s="498"/>
      <c r="CL165" s="498"/>
      <c r="CM165" s="498"/>
      <c r="CN165" s="498"/>
      <c r="CO165" s="498"/>
      <c r="CP165" s="498"/>
      <c r="CQ165" s="498"/>
      <c r="CR165" s="498"/>
      <c r="CS165" s="498"/>
      <c r="CT165" s="498"/>
      <c r="CU165" s="498"/>
      <c r="CV165" s="498"/>
      <c r="CW165" s="498"/>
      <c r="CX165" s="498"/>
      <c r="CY165" s="498"/>
      <c r="CZ165" s="498"/>
      <c r="DA165" s="498"/>
      <c r="DB165" s="498"/>
      <c r="DC165" s="498"/>
      <c r="DD165" s="498"/>
      <c r="DE165" s="498"/>
      <c r="DF165" s="498"/>
      <c r="DG165" s="498"/>
      <c r="DH165" s="498"/>
      <c r="DI165" s="498"/>
      <c r="DJ165" s="498"/>
      <c r="DK165" s="498"/>
      <c r="DL165" s="498"/>
      <c r="DM165" s="498"/>
      <c r="DN165" s="498"/>
      <c r="DO165" s="498"/>
      <c r="DP165" s="498"/>
      <c r="DQ165" s="498"/>
      <c r="DR165" s="498"/>
      <c r="DS165" s="498"/>
      <c r="DT165" s="498"/>
      <c r="DU165" s="498"/>
      <c r="DV165" s="498"/>
      <c r="DW165" s="498"/>
      <c r="DX165" s="498"/>
      <c r="DY165" s="498"/>
      <c r="DZ165" s="498"/>
      <c r="EA165" s="498"/>
      <c r="EB165" s="498"/>
      <c r="EC165" s="498"/>
      <c r="ED165" s="498"/>
      <c r="EE165" s="498"/>
      <c r="EF165" s="498"/>
      <c r="EG165" s="498"/>
      <c r="EH165" s="498"/>
      <c r="EI165" s="498"/>
      <c r="EJ165" s="498"/>
      <c r="EK165" s="498"/>
      <c r="EL165" s="498"/>
      <c r="EM165" s="498"/>
      <c r="EN165" s="498"/>
      <c r="EO165" s="498"/>
      <c r="EP165" s="498"/>
      <c r="EQ165" s="498"/>
      <c r="ER165" s="498"/>
      <c r="ES165" s="498"/>
      <c r="ET165" s="498"/>
      <c r="EU165" s="498"/>
      <c r="EV165" s="498"/>
      <c r="EW165" s="498"/>
      <c r="EX165" s="498"/>
      <c r="EY165" s="498"/>
      <c r="EZ165" s="498"/>
      <c r="FA165" s="498"/>
      <c r="FB165" s="498"/>
      <c r="FC165" s="498"/>
      <c r="FD165" s="498"/>
      <c r="FE165" s="498"/>
      <c r="FF165" s="498"/>
      <c r="FG165" s="498"/>
      <c r="FH165" s="498"/>
      <c r="FI165" s="498"/>
      <c r="FJ165" s="498"/>
      <c r="FK165" s="498"/>
      <c r="FL165" s="498"/>
      <c r="FM165" s="498"/>
      <c r="FN165" s="498"/>
      <c r="FO165" s="498"/>
      <c r="FP165" s="498"/>
      <c r="FQ165" s="498"/>
      <c r="FR165" s="498"/>
      <c r="FS165" s="498"/>
      <c r="FT165" s="498"/>
      <c r="FU165" s="498"/>
      <c r="FV165" s="498"/>
      <c r="FW165" s="498"/>
      <c r="FX165" s="498"/>
      <c r="FY165" s="498"/>
      <c r="FZ165" s="498"/>
      <c r="GA165" s="498"/>
      <c r="GB165" s="498"/>
      <c r="GC165" s="498"/>
      <c r="GD165" s="498"/>
      <c r="GE165" s="498"/>
      <c r="GF165" s="498"/>
      <c r="GG165" s="498"/>
    </row>
    <row r="166" spans="1:189" s="466" customFormat="1" ht="30" customHeight="1">
      <c r="A166" s="785" t="e">
        <f>#REF!</f>
        <v>#REF!</v>
      </c>
      <c r="B166" s="786" t="e">
        <f>#REF!</f>
        <v>#REF!</v>
      </c>
      <c r="C166" s="1558" t="e">
        <f>#REF!</f>
        <v>#REF!</v>
      </c>
      <c r="D166" s="654">
        <f>J166</f>
        <v>15.37</v>
      </c>
      <c r="E166" s="633" t="e">
        <f>#REF!</f>
        <v>#REF!</v>
      </c>
      <c r="F166" s="633" t="e">
        <f>+D166*E166</f>
        <v>#REF!</v>
      </c>
      <c r="H166" s="496">
        <f>SUM(J159:J162)/50+5</f>
        <v>15.37</v>
      </c>
      <c r="I166" s="497">
        <v>1</v>
      </c>
      <c r="J166" s="496">
        <f>H166*I166</f>
        <v>15.37</v>
      </c>
      <c r="K166" s="498"/>
      <c r="L166" s="498"/>
      <c r="M166" s="498"/>
      <c r="N166" s="498"/>
      <c r="O166" s="498"/>
      <c r="P166" s="498"/>
      <c r="Q166" s="498"/>
      <c r="R166" s="498"/>
      <c r="S166" s="498"/>
      <c r="T166" s="498"/>
      <c r="U166" s="498"/>
      <c r="V166" s="498"/>
      <c r="W166" s="498"/>
      <c r="X166" s="498"/>
      <c r="Y166" s="498"/>
      <c r="Z166" s="498"/>
      <c r="AA166" s="498"/>
      <c r="AB166" s="498"/>
      <c r="AC166" s="498"/>
      <c r="AD166" s="498"/>
      <c r="AE166" s="498"/>
      <c r="AF166" s="498"/>
      <c r="AG166" s="498"/>
      <c r="AH166" s="498"/>
      <c r="AI166" s="498"/>
      <c r="AJ166" s="498"/>
      <c r="AK166" s="498"/>
      <c r="AL166" s="498"/>
      <c r="AM166" s="498"/>
      <c r="AN166" s="498"/>
      <c r="AO166" s="498"/>
      <c r="AP166" s="498"/>
      <c r="AQ166" s="498"/>
      <c r="AR166" s="498"/>
      <c r="AS166" s="498"/>
      <c r="AT166" s="498"/>
      <c r="AU166" s="498"/>
      <c r="AV166" s="498"/>
      <c r="AW166" s="498"/>
      <c r="AX166" s="498"/>
      <c r="AY166" s="498"/>
      <c r="AZ166" s="498"/>
      <c r="BA166" s="498"/>
      <c r="BB166" s="498"/>
      <c r="BC166" s="498"/>
      <c r="BD166" s="498"/>
      <c r="BE166" s="498"/>
      <c r="BF166" s="498"/>
      <c r="BG166" s="498"/>
      <c r="BH166" s="498"/>
      <c r="BI166" s="498"/>
      <c r="BJ166" s="498"/>
      <c r="BK166" s="498"/>
      <c r="BL166" s="498"/>
      <c r="BM166" s="498"/>
      <c r="BN166" s="498"/>
      <c r="BO166" s="498"/>
      <c r="BP166" s="498"/>
      <c r="BQ166" s="498"/>
      <c r="BR166" s="498"/>
      <c r="BS166" s="498"/>
      <c r="BT166" s="498"/>
      <c r="BU166" s="498"/>
      <c r="BV166" s="498"/>
      <c r="BW166" s="498"/>
      <c r="BX166" s="498"/>
      <c r="BY166" s="498"/>
      <c r="BZ166" s="498"/>
      <c r="CA166" s="498"/>
      <c r="CB166" s="498"/>
      <c r="CC166" s="498"/>
      <c r="CD166" s="498"/>
      <c r="CE166" s="498"/>
      <c r="CF166" s="498"/>
      <c r="CG166" s="498"/>
      <c r="CH166" s="498"/>
      <c r="CI166" s="498"/>
      <c r="CJ166" s="498"/>
      <c r="CK166" s="498"/>
      <c r="CL166" s="498"/>
      <c r="CM166" s="498"/>
      <c r="CN166" s="498"/>
      <c r="CO166" s="498"/>
      <c r="CP166" s="498"/>
      <c r="CQ166" s="498"/>
      <c r="CR166" s="498"/>
      <c r="CS166" s="498"/>
      <c r="CT166" s="498"/>
      <c r="CU166" s="498"/>
      <c r="CV166" s="498"/>
      <c r="CW166" s="498"/>
      <c r="CX166" s="498"/>
      <c r="CY166" s="498"/>
      <c r="CZ166" s="498"/>
      <c r="DA166" s="498"/>
      <c r="DB166" s="498"/>
      <c r="DC166" s="498"/>
      <c r="DD166" s="498"/>
      <c r="DE166" s="498"/>
      <c r="DF166" s="498"/>
      <c r="DG166" s="498"/>
      <c r="DH166" s="498"/>
      <c r="DI166" s="498"/>
      <c r="DJ166" s="498"/>
      <c r="DK166" s="498"/>
      <c r="DL166" s="498"/>
      <c r="DM166" s="498"/>
      <c r="DN166" s="498"/>
      <c r="DO166" s="498"/>
      <c r="DP166" s="498"/>
      <c r="DQ166" s="498"/>
      <c r="DR166" s="498"/>
      <c r="DS166" s="498"/>
      <c r="DT166" s="498"/>
      <c r="DU166" s="498"/>
      <c r="DV166" s="498"/>
      <c r="DW166" s="498"/>
      <c r="DX166" s="498"/>
      <c r="DY166" s="498"/>
      <c r="DZ166" s="498"/>
      <c r="EA166" s="498"/>
      <c r="EB166" s="498"/>
      <c r="EC166" s="498"/>
      <c r="ED166" s="498"/>
      <c r="EE166" s="498"/>
      <c r="EF166" s="498"/>
      <c r="EG166" s="498"/>
      <c r="EH166" s="498"/>
      <c r="EI166" s="498"/>
      <c r="EJ166" s="498"/>
      <c r="EK166" s="498"/>
      <c r="EL166" s="498"/>
      <c r="EM166" s="498"/>
      <c r="EN166" s="498"/>
      <c r="EO166" s="498"/>
      <c r="EP166" s="498"/>
      <c r="EQ166" s="498"/>
      <c r="ER166" s="498"/>
      <c r="ES166" s="498"/>
      <c r="ET166" s="498"/>
      <c r="EU166" s="498"/>
      <c r="EV166" s="498"/>
      <c r="EW166" s="498"/>
      <c r="EX166" s="498"/>
      <c r="EY166" s="498"/>
      <c r="EZ166" s="498"/>
      <c r="FA166" s="498"/>
      <c r="FB166" s="498"/>
      <c r="FC166" s="498"/>
      <c r="FD166" s="498"/>
      <c r="FE166" s="498"/>
      <c r="FF166" s="498"/>
      <c r="FG166" s="498"/>
      <c r="FH166" s="498"/>
      <c r="FI166" s="498"/>
      <c r="FJ166" s="498"/>
      <c r="FK166" s="498"/>
      <c r="FL166" s="498"/>
      <c r="FM166" s="498"/>
      <c r="FN166" s="498"/>
      <c r="FO166" s="498"/>
      <c r="FP166" s="498"/>
      <c r="FQ166" s="498"/>
      <c r="FR166" s="498"/>
      <c r="FS166" s="498"/>
      <c r="FT166" s="498"/>
      <c r="FU166" s="498"/>
      <c r="FV166" s="498"/>
      <c r="FW166" s="498"/>
      <c r="FX166" s="498"/>
      <c r="FY166" s="498"/>
      <c r="FZ166" s="498"/>
      <c r="GA166" s="498"/>
      <c r="GB166" s="498"/>
      <c r="GC166" s="498"/>
      <c r="GD166" s="498"/>
      <c r="GE166" s="498"/>
      <c r="GF166" s="498"/>
      <c r="GG166" s="498"/>
    </row>
    <row r="167" spans="1:189" s="466" customFormat="1">
      <c r="A167" s="765" t="e">
        <f>#REF!</f>
        <v>#REF!</v>
      </c>
      <c r="B167" s="766" t="e">
        <f>#REF!</f>
        <v>#REF!</v>
      </c>
      <c r="C167" s="1558" t="e">
        <f>#REF!</f>
        <v>#REF!</v>
      </c>
      <c r="D167" s="654">
        <f>J167</f>
        <v>1489.5888</v>
      </c>
      <c r="E167" s="633" t="e">
        <f>#REF!</f>
        <v>#REF!</v>
      </c>
      <c r="F167" s="633" t="e">
        <f>+D167*E167</f>
        <v>#REF!</v>
      </c>
      <c r="H167" s="496">
        <f>SUM(D151:D157)/12.5*2</f>
        <v>1489.5888</v>
      </c>
      <c r="I167" s="497">
        <v>1</v>
      </c>
      <c r="J167" s="496">
        <f>H167*I167</f>
        <v>1489.5888</v>
      </c>
      <c r="K167" s="498"/>
      <c r="L167" s="498"/>
      <c r="M167" s="498"/>
      <c r="N167" s="498"/>
      <c r="O167" s="498"/>
      <c r="P167" s="498"/>
      <c r="Q167" s="498"/>
      <c r="R167" s="498"/>
      <c r="S167" s="498"/>
      <c r="T167" s="498"/>
      <c r="U167" s="498"/>
      <c r="V167" s="498"/>
      <c r="W167" s="498"/>
      <c r="X167" s="498"/>
      <c r="Y167" s="498"/>
      <c r="Z167" s="498"/>
      <c r="AA167" s="498"/>
      <c r="AB167" s="498"/>
      <c r="AC167" s="498"/>
      <c r="AD167" s="498"/>
      <c r="AE167" s="498"/>
      <c r="AF167" s="498"/>
      <c r="AG167" s="498"/>
      <c r="AH167" s="498"/>
      <c r="AI167" s="498"/>
      <c r="AJ167" s="498"/>
      <c r="AK167" s="498"/>
      <c r="AL167" s="498"/>
      <c r="AM167" s="498"/>
      <c r="AN167" s="498"/>
      <c r="AO167" s="498"/>
      <c r="AP167" s="498"/>
      <c r="AQ167" s="498"/>
      <c r="AR167" s="498"/>
      <c r="AS167" s="498"/>
      <c r="AT167" s="498"/>
      <c r="AU167" s="498"/>
      <c r="AV167" s="498"/>
      <c r="AW167" s="498"/>
      <c r="AX167" s="498"/>
      <c r="AY167" s="498"/>
      <c r="AZ167" s="498"/>
      <c r="BA167" s="498"/>
      <c r="BB167" s="498"/>
      <c r="BC167" s="498"/>
      <c r="BD167" s="498"/>
      <c r="BE167" s="498"/>
      <c r="BF167" s="498"/>
      <c r="BG167" s="498"/>
      <c r="BH167" s="498"/>
      <c r="BI167" s="498"/>
      <c r="BJ167" s="498"/>
      <c r="BK167" s="498"/>
      <c r="BL167" s="498"/>
      <c r="BM167" s="498"/>
      <c r="BN167" s="498"/>
      <c r="BO167" s="498"/>
      <c r="BP167" s="498"/>
      <c r="BQ167" s="498"/>
      <c r="BR167" s="498"/>
      <c r="BS167" s="498"/>
      <c r="BT167" s="498"/>
      <c r="BU167" s="498"/>
      <c r="BV167" s="498"/>
      <c r="BW167" s="498"/>
      <c r="BX167" s="498"/>
      <c r="BY167" s="498"/>
      <c r="BZ167" s="498"/>
      <c r="CA167" s="498"/>
      <c r="CB167" s="498"/>
      <c r="CC167" s="498"/>
      <c r="CD167" s="498"/>
      <c r="CE167" s="498"/>
      <c r="CF167" s="498"/>
      <c r="CG167" s="498"/>
      <c r="CH167" s="498"/>
      <c r="CI167" s="498"/>
      <c r="CJ167" s="498"/>
      <c r="CK167" s="498"/>
      <c r="CL167" s="498"/>
      <c r="CM167" s="498"/>
      <c r="CN167" s="498"/>
      <c r="CO167" s="498"/>
      <c r="CP167" s="498"/>
      <c r="CQ167" s="498"/>
      <c r="CR167" s="498"/>
      <c r="CS167" s="498"/>
      <c r="CT167" s="498"/>
      <c r="CU167" s="498"/>
      <c r="CV167" s="498"/>
      <c r="CW167" s="498"/>
      <c r="CX167" s="498"/>
      <c r="CY167" s="498"/>
      <c r="CZ167" s="498"/>
      <c r="DA167" s="498"/>
      <c r="DB167" s="498"/>
      <c r="DC167" s="498"/>
      <c r="DD167" s="498"/>
      <c r="DE167" s="498"/>
      <c r="DF167" s="498"/>
      <c r="DG167" s="498"/>
      <c r="DH167" s="498"/>
      <c r="DI167" s="498"/>
      <c r="DJ167" s="498"/>
      <c r="DK167" s="498"/>
      <c r="DL167" s="498"/>
      <c r="DM167" s="498"/>
      <c r="DN167" s="498"/>
      <c r="DO167" s="498"/>
      <c r="DP167" s="498"/>
      <c r="DQ167" s="498"/>
      <c r="DR167" s="498"/>
      <c r="DS167" s="498"/>
      <c r="DT167" s="498"/>
      <c r="DU167" s="498"/>
      <c r="DV167" s="498"/>
      <c r="DW167" s="498"/>
      <c r="DX167" s="498"/>
      <c r="DY167" s="498"/>
      <c r="DZ167" s="498"/>
      <c r="EA167" s="498"/>
      <c r="EB167" s="498"/>
      <c r="EC167" s="498"/>
      <c r="ED167" s="498"/>
      <c r="EE167" s="498"/>
      <c r="EF167" s="498"/>
      <c r="EG167" s="498"/>
      <c r="EH167" s="498"/>
      <c r="EI167" s="498"/>
      <c r="EJ167" s="498"/>
      <c r="EK167" s="498"/>
      <c r="EL167" s="498"/>
      <c r="EM167" s="498"/>
      <c r="EN167" s="498"/>
      <c r="EO167" s="498"/>
      <c r="EP167" s="498"/>
      <c r="EQ167" s="498"/>
      <c r="ER167" s="498"/>
      <c r="ES167" s="498"/>
      <c r="ET167" s="498"/>
      <c r="EU167" s="498"/>
      <c r="EV167" s="498"/>
      <c r="EW167" s="498"/>
      <c r="EX167" s="498"/>
      <c r="EY167" s="498"/>
      <c r="EZ167" s="498"/>
      <c r="FA167" s="498"/>
      <c r="FB167" s="498"/>
      <c r="FC167" s="498"/>
      <c r="FD167" s="498"/>
      <c r="FE167" s="498"/>
      <c r="FF167" s="498"/>
      <c r="FG167" s="498"/>
      <c r="FH167" s="498"/>
      <c r="FI167" s="498"/>
      <c r="FJ167" s="498"/>
      <c r="FK167" s="498"/>
      <c r="FL167" s="498"/>
      <c r="FM167" s="498"/>
      <c r="FN167" s="498"/>
      <c r="FO167" s="498"/>
      <c r="FP167" s="498"/>
      <c r="FQ167" s="498"/>
      <c r="FR167" s="498"/>
      <c r="FS167" s="498"/>
      <c r="FT167" s="498"/>
      <c r="FU167" s="498"/>
      <c r="FV167" s="498"/>
      <c r="FW167" s="498"/>
      <c r="FX167" s="498"/>
      <c r="FY167" s="498"/>
      <c r="FZ167" s="498"/>
      <c r="GA167" s="498"/>
      <c r="GB167" s="498"/>
      <c r="GC167" s="498"/>
      <c r="GD167" s="498"/>
      <c r="GE167" s="498"/>
      <c r="GF167" s="498"/>
      <c r="GG167" s="498"/>
    </row>
    <row r="168" spans="1:189" s="466" customFormat="1">
      <c r="A168" s="755" t="e">
        <f>#REF!</f>
        <v>#REF!</v>
      </c>
      <c r="B168" s="678" t="e">
        <f>#REF!</f>
        <v>#REF!</v>
      </c>
      <c r="C168" s="1567"/>
      <c r="D168" s="664"/>
      <c r="E168" s="641"/>
      <c r="F168" s="641"/>
      <c r="H168" s="496"/>
      <c r="I168" s="497">
        <v>1</v>
      </c>
      <c r="J168" s="496"/>
      <c r="K168" s="498"/>
      <c r="L168" s="498"/>
      <c r="M168" s="498"/>
      <c r="N168" s="498"/>
      <c r="O168" s="498"/>
      <c r="P168" s="498"/>
      <c r="Q168" s="498"/>
      <c r="R168" s="498"/>
      <c r="S168" s="498"/>
      <c r="T168" s="498"/>
      <c r="U168" s="498"/>
      <c r="V168" s="498"/>
      <c r="W168" s="498"/>
      <c r="X168" s="498"/>
      <c r="Y168" s="498"/>
      <c r="Z168" s="498"/>
      <c r="AA168" s="498"/>
      <c r="AB168" s="498"/>
      <c r="AC168" s="498"/>
      <c r="AD168" s="498"/>
      <c r="AE168" s="498"/>
      <c r="AF168" s="498"/>
      <c r="AG168" s="498"/>
      <c r="AH168" s="498"/>
      <c r="AI168" s="498"/>
      <c r="AJ168" s="498"/>
      <c r="AK168" s="498"/>
      <c r="AL168" s="498"/>
      <c r="AM168" s="498"/>
      <c r="AN168" s="498"/>
      <c r="AO168" s="498"/>
      <c r="AP168" s="498"/>
      <c r="AQ168" s="498"/>
      <c r="AR168" s="498"/>
      <c r="AS168" s="498"/>
      <c r="AT168" s="498"/>
      <c r="AU168" s="498"/>
      <c r="AV168" s="498"/>
      <c r="AW168" s="498"/>
      <c r="AX168" s="498"/>
      <c r="AY168" s="498"/>
      <c r="AZ168" s="498"/>
      <c r="BA168" s="498"/>
      <c r="BB168" s="498"/>
      <c r="BC168" s="498"/>
      <c r="BD168" s="498"/>
      <c r="BE168" s="498"/>
      <c r="BF168" s="498"/>
      <c r="BG168" s="498"/>
      <c r="BH168" s="498"/>
      <c r="BI168" s="498"/>
      <c r="BJ168" s="498"/>
      <c r="BK168" s="498"/>
      <c r="BL168" s="498"/>
      <c r="BM168" s="498"/>
      <c r="BN168" s="498"/>
      <c r="BO168" s="498"/>
      <c r="BP168" s="498"/>
      <c r="BQ168" s="498"/>
      <c r="BR168" s="498"/>
      <c r="BS168" s="498"/>
      <c r="BT168" s="498"/>
      <c r="BU168" s="498"/>
      <c r="BV168" s="498"/>
      <c r="BW168" s="498"/>
      <c r="BX168" s="498"/>
      <c r="BY168" s="498"/>
      <c r="BZ168" s="498"/>
      <c r="CA168" s="498"/>
      <c r="CB168" s="498"/>
      <c r="CC168" s="498"/>
      <c r="CD168" s="498"/>
      <c r="CE168" s="498"/>
      <c r="CF168" s="498"/>
      <c r="CG168" s="498"/>
      <c r="CH168" s="498"/>
      <c r="CI168" s="498"/>
      <c r="CJ168" s="498"/>
      <c r="CK168" s="498"/>
      <c r="CL168" s="498"/>
      <c r="CM168" s="498"/>
      <c r="CN168" s="498"/>
      <c r="CO168" s="498"/>
      <c r="CP168" s="498"/>
      <c r="CQ168" s="498"/>
      <c r="CR168" s="498"/>
      <c r="CS168" s="498"/>
      <c r="CT168" s="498"/>
      <c r="CU168" s="498"/>
      <c r="CV168" s="498"/>
      <c r="CW168" s="498"/>
      <c r="CX168" s="498"/>
      <c r="CY168" s="498"/>
      <c r="CZ168" s="498"/>
      <c r="DA168" s="498"/>
      <c r="DB168" s="498"/>
      <c r="DC168" s="498"/>
      <c r="DD168" s="498"/>
      <c r="DE168" s="498"/>
      <c r="DF168" s="498"/>
      <c r="DG168" s="498"/>
      <c r="DH168" s="498"/>
      <c r="DI168" s="498"/>
      <c r="DJ168" s="498"/>
      <c r="DK168" s="498"/>
      <c r="DL168" s="498"/>
      <c r="DM168" s="498"/>
      <c r="DN168" s="498"/>
      <c r="DO168" s="498"/>
      <c r="DP168" s="498"/>
      <c r="DQ168" s="498"/>
      <c r="DR168" s="498"/>
      <c r="DS168" s="498"/>
      <c r="DT168" s="498"/>
      <c r="DU168" s="498"/>
      <c r="DV168" s="498"/>
      <c r="DW168" s="498"/>
      <c r="DX168" s="498"/>
      <c r="DY168" s="498"/>
      <c r="DZ168" s="498"/>
      <c r="EA168" s="498"/>
      <c r="EB168" s="498"/>
      <c r="EC168" s="498"/>
      <c r="ED168" s="498"/>
      <c r="EE168" s="498"/>
      <c r="EF168" s="498"/>
      <c r="EG168" s="498"/>
      <c r="EH168" s="498"/>
      <c r="EI168" s="498"/>
      <c r="EJ168" s="498"/>
      <c r="EK168" s="498"/>
      <c r="EL168" s="498"/>
      <c r="EM168" s="498"/>
      <c r="EN168" s="498"/>
      <c r="EO168" s="498"/>
      <c r="EP168" s="498"/>
      <c r="EQ168" s="498"/>
      <c r="ER168" s="498"/>
      <c r="ES168" s="498"/>
      <c r="ET168" s="498"/>
      <c r="EU168" s="498"/>
      <c r="EV168" s="498"/>
      <c r="EW168" s="498"/>
      <c r="EX168" s="498"/>
      <c r="EY168" s="498"/>
      <c r="EZ168" s="498"/>
      <c r="FA168" s="498"/>
      <c r="FB168" s="498"/>
      <c r="FC168" s="498"/>
      <c r="FD168" s="498"/>
      <c r="FE168" s="498"/>
      <c r="FF168" s="498"/>
      <c r="FG168" s="498"/>
      <c r="FH168" s="498"/>
      <c r="FI168" s="498"/>
      <c r="FJ168" s="498"/>
      <c r="FK168" s="498"/>
      <c r="FL168" s="498"/>
      <c r="FM168" s="498"/>
      <c r="FN168" s="498"/>
      <c r="FO168" s="498"/>
      <c r="FP168" s="498"/>
      <c r="FQ168" s="498"/>
      <c r="FR168" s="498"/>
      <c r="FS168" s="498"/>
      <c r="FT168" s="498"/>
      <c r="FU168" s="498"/>
      <c r="FV168" s="498"/>
      <c r="FW168" s="498"/>
      <c r="FX168" s="498"/>
      <c r="FY168" s="498"/>
      <c r="FZ168" s="498"/>
      <c r="GA168" s="498"/>
      <c r="GB168" s="498"/>
      <c r="GC168" s="498"/>
      <c r="GD168" s="498"/>
      <c r="GE168" s="498"/>
      <c r="GF168" s="498"/>
      <c r="GG168" s="498"/>
    </row>
    <row r="169" spans="1:189" s="466" customFormat="1">
      <c r="A169" s="1284" t="e">
        <f>#REF!</f>
        <v>#REF!</v>
      </c>
      <c r="B169" s="804" t="e">
        <f>#REF!</f>
        <v>#REF!</v>
      </c>
      <c r="C169" s="1537" t="e">
        <f>#REF!</f>
        <v>#REF!</v>
      </c>
      <c r="D169" s="648">
        <f>J169</f>
        <v>0</v>
      </c>
      <c r="E169" s="527" t="e">
        <f>#REF!</f>
        <v>#REF!</v>
      </c>
      <c r="F169" s="527" t="e">
        <f>+D169*E169</f>
        <v>#REF!</v>
      </c>
      <c r="H169" s="496">
        <v>0</v>
      </c>
      <c r="I169" s="497">
        <v>1</v>
      </c>
      <c r="J169" s="496">
        <f>H169*I169</f>
        <v>0</v>
      </c>
      <c r="K169" s="498"/>
      <c r="L169" s="498"/>
      <c r="M169" s="498"/>
      <c r="N169" s="498"/>
      <c r="O169" s="498"/>
      <c r="P169" s="498"/>
      <c r="Q169" s="498"/>
      <c r="R169" s="498"/>
      <c r="S169" s="498"/>
      <c r="T169" s="498"/>
      <c r="U169" s="498"/>
      <c r="V169" s="498"/>
      <c r="W169" s="498"/>
      <c r="X169" s="498"/>
      <c r="Y169" s="498"/>
      <c r="Z169" s="498"/>
      <c r="AA169" s="498"/>
      <c r="AB169" s="498"/>
      <c r="AC169" s="498"/>
      <c r="AD169" s="498"/>
      <c r="AE169" s="498"/>
      <c r="AF169" s="498"/>
      <c r="AG169" s="498"/>
      <c r="AH169" s="498"/>
      <c r="AI169" s="498"/>
      <c r="AJ169" s="498"/>
      <c r="AK169" s="498"/>
      <c r="AL169" s="498"/>
      <c r="AM169" s="498"/>
      <c r="AN169" s="498"/>
      <c r="AO169" s="498"/>
      <c r="AP169" s="498"/>
      <c r="AQ169" s="498"/>
      <c r="AR169" s="498"/>
      <c r="AS169" s="498"/>
      <c r="AT169" s="498"/>
      <c r="AU169" s="498"/>
      <c r="AV169" s="498"/>
      <c r="AW169" s="498"/>
      <c r="AX169" s="498"/>
      <c r="AY169" s="498"/>
      <c r="AZ169" s="498"/>
      <c r="BA169" s="498"/>
      <c r="BB169" s="498"/>
      <c r="BC169" s="498"/>
      <c r="BD169" s="498"/>
      <c r="BE169" s="498"/>
      <c r="BF169" s="498"/>
      <c r="BG169" s="498"/>
      <c r="BH169" s="498"/>
      <c r="BI169" s="498"/>
      <c r="BJ169" s="498"/>
      <c r="BK169" s="498"/>
      <c r="BL169" s="498"/>
      <c r="BM169" s="498"/>
      <c r="BN169" s="498"/>
      <c r="BO169" s="498"/>
      <c r="BP169" s="498"/>
      <c r="BQ169" s="498"/>
      <c r="BR169" s="498"/>
      <c r="BS169" s="498"/>
      <c r="BT169" s="498"/>
      <c r="BU169" s="498"/>
      <c r="BV169" s="498"/>
      <c r="BW169" s="498"/>
      <c r="BX169" s="498"/>
      <c r="BY169" s="498"/>
      <c r="BZ169" s="498"/>
      <c r="CA169" s="498"/>
      <c r="CB169" s="498"/>
      <c r="CC169" s="498"/>
      <c r="CD169" s="498"/>
      <c r="CE169" s="498"/>
      <c r="CF169" s="498"/>
      <c r="CG169" s="498"/>
      <c r="CH169" s="498"/>
      <c r="CI169" s="498"/>
      <c r="CJ169" s="498"/>
      <c r="CK169" s="498"/>
      <c r="CL169" s="498"/>
      <c r="CM169" s="498"/>
      <c r="CN169" s="498"/>
      <c r="CO169" s="498"/>
      <c r="CP169" s="498"/>
      <c r="CQ169" s="498"/>
      <c r="CR169" s="498"/>
      <c r="CS169" s="498"/>
      <c r="CT169" s="498"/>
      <c r="CU169" s="498"/>
      <c r="CV169" s="498"/>
      <c r="CW169" s="498"/>
      <c r="CX169" s="498"/>
      <c r="CY169" s="498"/>
      <c r="CZ169" s="498"/>
      <c r="DA169" s="498"/>
      <c r="DB169" s="498"/>
      <c r="DC169" s="498"/>
      <c r="DD169" s="498"/>
      <c r="DE169" s="498"/>
      <c r="DF169" s="498"/>
      <c r="DG169" s="498"/>
      <c r="DH169" s="498"/>
      <c r="DI169" s="498"/>
      <c r="DJ169" s="498"/>
      <c r="DK169" s="498"/>
      <c r="DL169" s="498"/>
      <c r="DM169" s="498"/>
      <c r="DN169" s="498"/>
      <c r="DO169" s="498"/>
      <c r="DP169" s="498"/>
      <c r="DQ169" s="498"/>
      <c r="DR169" s="498"/>
      <c r="DS169" s="498"/>
      <c r="DT169" s="498"/>
      <c r="DU169" s="498"/>
      <c r="DV169" s="498"/>
      <c r="DW169" s="498"/>
      <c r="DX169" s="498"/>
      <c r="DY169" s="498"/>
      <c r="DZ169" s="498"/>
      <c r="EA169" s="498"/>
      <c r="EB169" s="498"/>
      <c r="EC169" s="498"/>
      <c r="ED169" s="498"/>
      <c r="EE169" s="498"/>
      <c r="EF169" s="498"/>
      <c r="EG169" s="498"/>
      <c r="EH169" s="498"/>
      <c r="EI169" s="498"/>
      <c r="EJ169" s="498"/>
      <c r="EK169" s="498"/>
      <c r="EL169" s="498"/>
      <c r="EM169" s="498"/>
      <c r="EN169" s="498"/>
      <c r="EO169" s="498"/>
      <c r="EP169" s="498"/>
      <c r="EQ169" s="498"/>
      <c r="ER169" s="498"/>
      <c r="ES169" s="498"/>
      <c r="ET169" s="498"/>
      <c r="EU169" s="498"/>
      <c r="EV169" s="498"/>
      <c r="EW169" s="498"/>
      <c r="EX169" s="498"/>
      <c r="EY169" s="498"/>
      <c r="EZ169" s="498"/>
      <c r="FA169" s="498"/>
      <c r="FB169" s="498"/>
      <c r="FC169" s="498"/>
      <c r="FD169" s="498"/>
      <c r="FE169" s="498"/>
      <c r="FF169" s="498"/>
      <c r="FG169" s="498"/>
      <c r="FH169" s="498"/>
      <c r="FI169" s="498"/>
      <c r="FJ169" s="498"/>
      <c r="FK169" s="498"/>
      <c r="FL169" s="498"/>
      <c r="FM169" s="498"/>
      <c r="FN169" s="498"/>
      <c r="FO169" s="498"/>
      <c r="FP169" s="498"/>
      <c r="FQ169" s="498"/>
      <c r="FR169" s="498"/>
      <c r="FS169" s="498"/>
      <c r="FT169" s="498"/>
      <c r="FU169" s="498"/>
      <c r="FV169" s="498"/>
      <c r="FW169" s="498"/>
      <c r="FX169" s="498"/>
      <c r="FY169" s="498"/>
      <c r="FZ169" s="498"/>
      <c r="GA169" s="498"/>
      <c r="GB169" s="498"/>
      <c r="GC169" s="498"/>
      <c r="GD169" s="498"/>
      <c r="GE169" s="498"/>
      <c r="GF169" s="498"/>
      <c r="GG169" s="498"/>
    </row>
    <row r="170" spans="1:189" s="466" customFormat="1">
      <c r="A170" s="689" t="e">
        <f>#REF!</f>
        <v>#REF!</v>
      </c>
      <c r="B170" s="752" t="e">
        <f>#REF!</f>
        <v>#REF!</v>
      </c>
      <c r="C170" s="1545"/>
      <c r="D170" s="664"/>
      <c r="E170" s="641"/>
      <c r="F170" s="641"/>
      <c r="H170" s="496"/>
      <c r="I170" s="497">
        <v>1</v>
      </c>
      <c r="J170" s="496"/>
      <c r="K170" s="498"/>
      <c r="L170" s="498"/>
      <c r="M170" s="498"/>
      <c r="N170" s="498"/>
      <c r="O170" s="498"/>
      <c r="P170" s="498"/>
      <c r="Q170" s="498"/>
      <c r="R170" s="498"/>
      <c r="S170" s="498"/>
      <c r="T170" s="498"/>
      <c r="U170" s="498"/>
      <c r="V170" s="498"/>
      <c r="W170" s="498"/>
      <c r="X170" s="498"/>
      <c r="Y170" s="498"/>
      <c r="Z170" s="498"/>
      <c r="AA170" s="498"/>
      <c r="AB170" s="498"/>
      <c r="AC170" s="498"/>
      <c r="AD170" s="498"/>
      <c r="AE170" s="498"/>
      <c r="AF170" s="498"/>
      <c r="AG170" s="498"/>
      <c r="AH170" s="498"/>
      <c r="AI170" s="498"/>
      <c r="AJ170" s="498"/>
      <c r="AK170" s="498"/>
      <c r="AL170" s="498"/>
      <c r="AM170" s="498"/>
      <c r="AN170" s="498"/>
      <c r="AO170" s="498"/>
      <c r="AP170" s="498"/>
      <c r="AQ170" s="498"/>
      <c r="AR170" s="498"/>
      <c r="AS170" s="498"/>
      <c r="AT170" s="498"/>
      <c r="AU170" s="498"/>
      <c r="AV170" s="498"/>
      <c r="AW170" s="498"/>
      <c r="AX170" s="498"/>
      <c r="AY170" s="498"/>
      <c r="AZ170" s="498"/>
      <c r="BA170" s="498"/>
      <c r="BB170" s="498"/>
      <c r="BC170" s="498"/>
      <c r="BD170" s="498"/>
      <c r="BE170" s="498"/>
      <c r="BF170" s="498"/>
      <c r="BG170" s="498"/>
      <c r="BH170" s="498"/>
      <c r="BI170" s="498"/>
      <c r="BJ170" s="498"/>
      <c r="BK170" s="498"/>
      <c r="BL170" s="498"/>
      <c r="BM170" s="498"/>
      <c r="BN170" s="498"/>
      <c r="BO170" s="498"/>
      <c r="BP170" s="498"/>
      <c r="BQ170" s="498"/>
      <c r="BR170" s="498"/>
      <c r="BS170" s="498"/>
      <c r="BT170" s="498"/>
      <c r="BU170" s="498"/>
      <c r="BV170" s="498"/>
      <c r="BW170" s="498"/>
      <c r="BX170" s="498"/>
      <c r="BY170" s="498"/>
      <c r="BZ170" s="498"/>
      <c r="CA170" s="498"/>
      <c r="CB170" s="498"/>
      <c r="CC170" s="498"/>
      <c r="CD170" s="498"/>
      <c r="CE170" s="498"/>
      <c r="CF170" s="498"/>
      <c r="CG170" s="498"/>
      <c r="CH170" s="498"/>
      <c r="CI170" s="498"/>
      <c r="CJ170" s="498"/>
      <c r="CK170" s="498"/>
      <c r="CL170" s="498"/>
      <c r="CM170" s="498"/>
      <c r="CN170" s="498"/>
      <c r="CO170" s="498"/>
      <c r="CP170" s="498"/>
      <c r="CQ170" s="498"/>
      <c r="CR170" s="498"/>
      <c r="CS170" s="498"/>
      <c r="CT170" s="498"/>
      <c r="CU170" s="498"/>
      <c r="CV170" s="498"/>
      <c r="CW170" s="498"/>
      <c r="CX170" s="498"/>
      <c r="CY170" s="498"/>
      <c r="CZ170" s="498"/>
      <c r="DA170" s="498"/>
      <c r="DB170" s="498"/>
      <c r="DC170" s="498"/>
      <c r="DD170" s="498"/>
      <c r="DE170" s="498"/>
      <c r="DF170" s="498"/>
      <c r="DG170" s="498"/>
      <c r="DH170" s="498"/>
      <c r="DI170" s="498"/>
      <c r="DJ170" s="498"/>
      <c r="DK170" s="498"/>
      <c r="DL170" s="498"/>
      <c r="DM170" s="498"/>
      <c r="DN170" s="498"/>
      <c r="DO170" s="498"/>
      <c r="DP170" s="498"/>
      <c r="DQ170" s="498"/>
      <c r="DR170" s="498"/>
      <c r="DS170" s="498"/>
      <c r="DT170" s="498"/>
      <c r="DU170" s="498"/>
      <c r="DV170" s="498"/>
      <c r="DW170" s="498"/>
      <c r="DX170" s="498"/>
      <c r="DY170" s="498"/>
      <c r="DZ170" s="498"/>
      <c r="EA170" s="498"/>
      <c r="EB170" s="498"/>
      <c r="EC170" s="498"/>
      <c r="ED170" s="498"/>
      <c r="EE170" s="498"/>
      <c r="EF170" s="498"/>
      <c r="EG170" s="498"/>
      <c r="EH170" s="498"/>
      <c r="EI170" s="498"/>
      <c r="EJ170" s="498"/>
      <c r="EK170" s="498"/>
      <c r="EL170" s="498"/>
      <c r="EM170" s="498"/>
      <c r="EN170" s="498"/>
      <c r="EO170" s="498"/>
      <c r="EP170" s="498"/>
      <c r="EQ170" s="498"/>
      <c r="ER170" s="498"/>
      <c r="ES170" s="498"/>
      <c r="ET170" s="498"/>
      <c r="EU170" s="498"/>
      <c r="EV170" s="498"/>
      <c r="EW170" s="498"/>
      <c r="EX170" s="498"/>
      <c r="EY170" s="498"/>
      <c r="EZ170" s="498"/>
      <c r="FA170" s="498"/>
      <c r="FB170" s="498"/>
      <c r="FC170" s="498"/>
      <c r="FD170" s="498"/>
      <c r="FE170" s="498"/>
      <c r="FF170" s="498"/>
      <c r="FG170" s="498"/>
      <c r="FH170" s="498"/>
      <c r="FI170" s="498"/>
      <c r="FJ170" s="498"/>
      <c r="FK170" s="498"/>
      <c r="FL170" s="498"/>
      <c r="FM170" s="498"/>
      <c r="FN170" s="498"/>
      <c r="FO170" s="498"/>
      <c r="FP170" s="498"/>
      <c r="FQ170" s="498"/>
      <c r="FR170" s="498"/>
      <c r="FS170" s="498"/>
      <c r="FT170" s="498"/>
      <c r="FU170" s="498"/>
      <c r="FV170" s="498"/>
      <c r="FW170" s="498"/>
      <c r="FX170" s="498"/>
      <c r="FY170" s="498"/>
      <c r="FZ170" s="498"/>
      <c r="GA170" s="498"/>
      <c r="GB170" s="498"/>
      <c r="GC170" s="498"/>
      <c r="GD170" s="498"/>
      <c r="GE170" s="498"/>
      <c r="GF170" s="498"/>
      <c r="GG170" s="498"/>
    </row>
    <row r="171" spans="1:189" s="466" customFormat="1">
      <c r="A171" s="805" t="e">
        <f>#REF!</f>
        <v>#REF!</v>
      </c>
      <c r="B171" s="806" t="e">
        <f>#REF!</f>
        <v>#REF!</v>
      </c>
      <c r="C171" s="1546" t="e">
        <f>#REF!</f>
        <v>#REF!</v>
      </c>
      <c r="D171" s="648">
        <f>J171</f>
        <v>21.552</v>
      </c>
      <c r="E171" s="527" t="e">
        <f>#REF!</f>
        <v>#REF!</v>
      </c>
      <c r="F171" s="527" t="e">
        <f>+D171*E171</f>
        <v>#REF!</v>
      </c>
      <c r="H171" s="496">
        <f>1.2*F12/100</f>
        <v>21.552</v>
      </c>
      <c r="I171" s="497">
        <v>1</v>
      </c>
      <c r="J171" s="496">
        <f>H171*I171</f>
        <v>21.552</v>
      </c>
      <c r="K171" s="498"/>
      <c r="L171" s="498"/>
      <c r="M171" s="498"/>
      <c r="N171" s="498"/>
      <c r="O171" s="498"/>
      <c r="P171" s="498"/>
      <c r="Q171" s="498"/>
      <c r="R171" s="498"/>
      <c r="S171" s="498"/>
      <c r="T171" s="498"/>
      <c r="U171" s="498"/>
      <c r="V171" s="498"/>
      <c r="W171" s="498"/>
      <c r="X171" s="498"/>
      <c r="Y171" s="498"/>
      <c r="Z171" s="498"/>
      <c r="AA171" s="498"/>
      <c r="AB171" s="498"/>
      <c r="AC171" s="498"/>
      <c r="AD171" s="498"/>
      <c r="AE171" s="498"/>
      <c r="AF171" s="498"/>
      <c r="AG171" s="498"/>
      <c r="AH171" s="498"/>
      <c r="AI171" s="498"/>
      <c r="AJ171" s="498"/>
      <c r="AK171" s="498"/>
      <c r="AL171" s="498"/>
      <c r="AM171" s="498"/>
      <c r="AN171" s="498"/>
      <c r="AO171" s="498"/>
      <c r="AP171" s="498"/>
      <c r="AQ171" s="498"/>
      <c r="AR171" s="498"/>
      <c r="AS171" s="498"/>
      <c r="AT171" s="498"/>
      <c r="AU171" s="498"/>
      <c r="AV171" s="498"/>
      <c r="AW171" s="498"/>
      <c r="AX171" s="498"/>
      <c r="AY171" s="498"/>
      <c r="AZ171" s="498"/>
      <c r="BA171" s="498"/>
      <c r="BB171" s="498"/>
      <c r="BC171" s="498"/>
      <c r="BD171" s="498"/>
      <c r="BE171" s="498"/>
      <c r="BF171" s="498"/>
      <c r="BG171" s="498"/>
      <c r="BH171" s="498"/>
      <c r="BI171" s="498"/>
      <c r="BJ171" s="498"/>
      <c r="BK171" s="498"/>
      <c r="BL171" s="498"/>
      <c r="BM171" s="498"/>
      <c r="BN171" s="498"/>
      <c r="BO171" s="498"/>
      <c r="BP171" s="498"/>
      <c r="BQ171" s="498"/>
      <c r="BR171" s="498"/>
      <c r="BS171" s="498"/>
      <c r="BT171" s="498"/>
      <c r="BU171" s="498"/>
      <c r="BV171" s="498"/>
      <c r="BW171" s="498"/>
      <c r="BX171" s="498"/>
      <c r="BY171" s="498"/>
      <c r="BZ171" s="498"/>
      <c r="CA171" s="498"/>
      <c r="CB171" s="498"/>
      <c r="CC171" s="498"/>
      <c r="CD171" s="498"/>
      <c r="CE171" s="498"/>
      <c r="CF171" s="498"/>
      <c r="CG171" s="498"/>
      <c r="CH171" s="498"/>
      <c r="CI171" s="498"/>
      <c r="CJ171" s="498"/>
      <c r="CK171" s="498"/>
      <c r="CL171" s="498"/>
      <c r="CM171" s="498"/>
      <c r="CN171" s="498"/>
      <c r="CO171" s="498"/>
      <c r="CP171" s="498"/>
      <c r="CQ171" s="498"/>
      <c r="CR171" s="498"/>
      <c r="CS171" s="498"/>
      <c r="CT171" s="498"/>
      <c r="CU171" s="498"/>
      <c r="CV171" s="498"/>
      <c r="CW171" s="498"/>
      <c r="CX171" s="498"/>
      <c r="CY171" s="498"/>
      <c r="CZ171" s="498"/>
      <c r="DA171" s="498"/>
      <c r="DB171" s="498"/>
      <c r="DC171" s="498"/>
      <c r="DD171" s="498"/>
      <c r="DE171" s="498"/>
      <c r="DF171" s="498"/>
      <c r="DG171" s="498"/>
      <c r="DH171" s="498"/>
      <c r="DI171" s="498"/>
      <c r="DJ171" s="498"/>
      <c r="DK171" s="498"/>
      <c r="DL171" s="498"/>
      <c r="DM171" s="498"/>
      <c r="DN171" s="498"/>
      <c r="DO171" s="498"/>
      <c r="DP171" s="498"/>
      <c r="DQ171" s="498"/>
      <c r="DR171" s="498"/>
      <c r="DS171" s="498"/>
      <c r="DT171" s="498"/>
      <c r="DU171" s="498"/>
      <c r="DV171" s="498"/>
      <c r="DW171" s="498"/>
      <c r="DX171" s="498"/>
      <c r="DY171" s="498"/>
      <c r="DZ171" s="498"/>
      <c r="EA171" s="498"/>
      <c r="EB171" s="498"/>
      <c r="EC171" s="498"/>
      <c r="ED171" s="498"/>
      <c r="EE171" s="498"/>
      <c r="EF171" s="498"/>
      <c r="EG171" s="498"/>
      <c r="EH171" s="498"/>
      <c r="EI171" s="498"/>
      <c r="EJ171" s="498"/>
      <c r="EK171" s="498"/>
      <c r="EL171" s="498"/>
      <c r="EM171" s="498"/>
      <c r="EN171" s="498"/>
      <c r="EO171" s="498"/>
      <c r="EP171" s="498"/>
      <c r="EQ171" s="498"/>
      <c r="ER171" s="498"/>
      <c r="ES171" s="498"/>
      <c r="ET171" s="498"/>
      <c r="EU171" s="498"/>
      <c r="EV171" s="498"/>
      <c r="EW171" s="498"/>
      <c r="EX171" s="498"/>
      <c r="EY171" s="498"/>
      <c r="EZ171" s="498"/>
      <c r="FA171" s="498"/>
      <c r="FB171" s="498"/>
      <c r="FC171" s="498"/>
      <c r="FD171" s="498"/>
      <c r="FE171" s="498"/>
      <c r="FF171" s="498"/>
      <c r="FG171" s="498"/>
      <c r="FH171" s="498"/>
      <c r="FI171" s="498"/>
      <c r="FJ171" s="498"/>
      <c r="FK171" s="498"/>
      <c r="FL171" s="498"/>
      <c r="FM171" s="498"/>
      <c r="FN171" s="498"/>
      <c r="FO171" s="498"/>
      <c r="FP171" s="498"/>
      <c r="FQ171" s="498"/>
      <c r="FR171" s="498"/>
      <c r="FS171" s="498"/>
      <c r="FT171" s="498"/>
      <c r="FU171" s="498"/>
      <c r="FV171" s="498"/>
      <c r="FW171" s="498"/>
      <c r="FX171" s="498"/>
      <c r="FY171" s="498"/>
      <c r="FZ171" s="498"/>
      <c r="GA171" s="498"/>
      <c r="GB171" s="498"/>
      <c r="GC171" s="498"/>
      <c r="GD171" s="498"/>
      <c r="GE171" s="498"/>
      <c r="GF171" s="498"/>
      <c r="GG171" s="498"/>
    </row>
    <row r="172" spans="1:189" s="466" customFormat="1">
      <c r="A172" s="689" t="e">
        <f>+#REF!</f>
        <v>#REF!</v>
      </c>
      <c r="B172" s="752" t="e">
        <f>+#REF!</f>
        <v>#REF!</v>
      </c>
      <c r="C172" s="1545"/>
      <c r="D172" s="664"/>
      <c r="E172" s="641"/>
      <c r="F172" s="641"/>
      <c r="H172" s="496"/>
      <c r="I172" s="497">
        <v>1</v>
      </c>
      <c r="J172" s="496"/>
      <c r="K172" s="498"/>
      <c r="L172" s="498"/>
      <c r="M172" s="498"/>
      <c r="N172" s="498"/>
      <c r="O172" s="498"/>
      <c r="P172" s="498"/>
      <c r="Q172" s="498"/>
      <c r="R172" s="498"/>
      <c r="S172" s="498"/>
      <c r="T172" s="498"/>
      <c r="U172" s="498"/>
      <c r="V172" s="498"/>
      <c r="W172" s="498"/>
      <c r="X172" s="498"/>
      <c r="Y172" s="498"/>
      <c r="Z172" s="498"/>
      <c r="AA172" s="498"/>
      <c r="AB172" s="498"/>
      <c r="AC172" s="498"/>
      <c r="AD172" s="498"/>
      <c r="AE172" s="498"/>
      <c r="AF172" s="498"/>
      <c r="AG172" s="498"/>
      <c r="AH172" s="498"/>
      <c r="AI172" s="498"/>
      <c r="AJ172" s="498"/>
      <c r="AK172" s="498"/>
      <c r="AL172" s="498"/>
      <c r="AM172" s="498"/>
      <c r="AN172" s="498"/>
      <c r="AO172" s="498"/>
      <c r="AP172" s="498"/>
      <c r="AQ172" s="498"/>
      <c r="AR172" s="498"/>
      <c r="AS172" s="498"/>
      <c r="AT172" s="498"/>
      <c r="AU172" s="498"/>
      <c r="AV172" s="498"/>
      <c r="AW172" s="498"/>
      <c r="AX172" s="498"/>
      <c r="AY172" s="498"/>
      <c r="AZ172" s="498"/>
      <c r="BA172" s="498"/>
      <c r="BB172" s="498"/>
      <c r="BC172" s="498"/>
      <c r="BD172" s="498"/>
      <c r="BE172" s="498"/>
      <c r="BF172" s="498"/>
      <c r="BG172" s="498"/>
      <c r="BH172" s="498"/>
      <c r="BI172" s="498"/>
      <c r="BJ172" s="498"/>
      <c r="BK172" s="498"/>
      <c r="BL172" s="498"/>
      <c r="BM172" s="498"/>
      <c r="BN172" s="498"/>
      <c r="BO172" s="498"/>
      <c r="BP172" s="498"/>
      <c r="BQ172" s="498"/>
      <c r="BR172" s="498"/>
      <c r="BS172" s="498"/>
      <c r="BT172" s="498"/>
      <c r="BU172" s="498"/>
      <c r="BV172" s="498"/>
      <c r="BW172" s="498"/>
      <c r="BX172" s="498"/>
      <c r="BY172" s="498"/>
      <c r="BZ172" s="498"/>
      <c r="CA172" s="498"/>
      <c r="CB172" s="498"/>
      <c r="CC172" s="498"/>
      <c r="CD172" s="498"/>
      <c r="CE172" s="498"/>
      <c r="CF172" s="498"/>
      <c r="CG172" s="498"/>
      <c r="CH172" s="498"/>
      <c r="CI172" s="498"/>
      <c r="CJ172" s="498"/>
      <c r="CK172" s="498"/>
      <c r="CL172" s="498"/>
      <c r="CM172" s="498"/>
      <c r="CN172" s="498"/>
      <c r="CO172" s="498"/>
      <c r="CP172" s="498"/>
      <c r="CQ172" s="498"/>
      <c r="CR172" s="498"/>
      <c r="CS172" s="498"/>
      <c r="CT172" s="498"/>
      <c r="CU172" s="498"/>
      <c r="CV172" s="498"/>
      <c r="CW172" s="498"/>
      <c r="CX172" s="498"/>
      <c r="CY172" s="498"/>
      <c r="CZ172" s="498"/>
      <c r="DA172" s="498"/>
      <c r="DB172" s="498"/>
      <c r="DC172" s="498"/>
      <c r="DD172" s="498"/>
      <c r="DE172" s="498"/>
      <c r="DF172" s="498"/>
      <c r="DG172" s="498"/>
      <c r="DH172" s="498"/>
      <c r="DI172" s="498"/>
      <c r="DJ172" s="498"/>
      <c r="DK172" s="498"/>
      <c r="DL172" s="498"/>
      <c r="DM172" s="498"/>
      <c r="DN172" s="498"/>
      <c r="DO172" s="498"/>
      <c r="DP172" s="498"/>
      <c r="DQ172" s="498"/>
      <c r="DR172" s="498"/>
      <c r="DS172" s="498"/>
      <c r="DT172" s="498"/>
      <c r="DU172" s="498"/>
      <c r="DV172" s="498"/>
      <c r="DW172" s="498"/>
      <c r="DX172" s="498"/>
      <c r="DY172" s="498"/>
      <c r="DZ172" s="498"/>
      <c r="EA172" s="498"/>
      <c r="EB172" s="498"/>
      <c r="EC172" s="498"/>
      <c r="ED172" s="498"/>
      <c r="EE172" s="498"/>
      <c r="EF172" s="498"/>
      <c r="EG172" s="498"/>
      <c r="EH172" s="498"/>
      <c r="EI172" s="498"/>
      <c r="EJ172" s="498"/>
      <c r="EK172" s="498"/>
      <c r="EL172" s="498"/>
      <c r="EM172" s="498"/>
      <c r="EN172" s="498"/>
      <c r="EO172" s="498"/>
      <c r="EP172" s="498"/>
      <c r="EQ172" s="498"/>
      <c r="ER172" s="498"/>
      <c r="ES172" s="498"/>
      <c r="ET172" s="498"/>
      <c r="EU172" s="498"/>
      <c r="EV172" s="498"/>
      <c r="EW172" s="498"/>
      <c r="EX172" s="498"/>
      <c r="EY172" s="498"/>
      <c r="EZ172" s="498"/>
      <c r="FA172" s="498"/>
      <c r="FB172" s="498"/>
      <c r="FC172" s="498"/>
      <c r="FD172" s="498"/>
      <c r="FE172" s="498"/>
      <c r="FF172" s="498"/>
      <c r="FG172" s="498"/>
      <c r="FH172" s="498"/>
      <c r="FI172" s="498"/>
      <c r="FJ172" s="498"/>
      <c r="FK172" s="498"/>
      <c r="FL172" s="498"/>
      <c r="FM172" s="498"/>
      <c r="FN172" s="498"/>
      <c r="FO172" s="498"/>
      <c r="FP172" s="498"/>
      <c r="FQ172" s="498"/>
      <c r="FR172" s="498"/>
      <c r="FS172" s="498"/>
      <c r="FT172" s="498"/>
      <c r="FU172" s="498"/>
      <c r="FV172" s="498"/>
      <c r="FW172" s="498"/>
      <c r="FX172" s="498"/>
      <c r="FY172" s="498"/>
      <c r="FZ172" s="498"/>
      <c r="GA172" s="498"/>
      <c r="GB172" s="498"/>
      <c r="GC172" s="498"/>
      <c r="GD172" s="498"/>
      <c r="GE172" s="498"/>
      <c r="GF172" s="498"/>
      <c r="GG172" s="498"/>
    </row>
    <row r="173" spans="1:189" s="466" customFormat="1">
      <c r="A173" s="639" t="e">
        <f>+#REF!</f>
        <v>#REF!</v>
      </c>
      <c r="B173" s="715" t="e">
        <f>+#REF!</f>
        <v>#REF!</v>
      </c>
      <c r="C173" s="1546" t="e">
        <f>#REF!</f>
        <v>#REF!</v>
      </c>
      <c r="D173" s="648">
        <f>J173</f>
        <v>0</v>
      </c>
      <c r="E173" s="527" t="e">
        <f>#REF!</f>
        <v>#REF!</v>
      </c>
      <c r="F173" s="527" t="e">
        <f>+D173*E173</f>
        <v>#REF!</v>
      </c>
      <c r="H173" s="496">
        <f>+(F3+F12+F11)*0</f>
        <v>0</v>
      </c>
      <c r="I173" s="497">
        <v>1</v>
      </c>
      <c r="J173" s="496">
        <f>H173*I173</f>
        <v>0</v>
      </c>
      <c r="K173" s="498"/>
      <c r="L173" s="498"/>
      <c r="M173" s="498"/>
      <c r="N173" s="498"/>
      <c r="O173" s="498"/>
      <c r="P173" s="498"/>
      <c r="Q173" s="498"/>
      <c r="R173" s="498"/>
      <c r="S173" s="498"/>
      <c r="T173" s="498"/>
      <c r="U173" s="498"/>
      <c r="V173" s="498"/>
      <c r="W173" s="498"/>
      <c r="X173" s="498"/>
      <c r="Y173" s="498"/>
      <c r="Z173" s="498"/>
      <c r="AA173" s="498"/>
      <c r="AB173" s="498"/>
      <c r="AC173" s="498"/>
      <c r="AD173" s="498"/>
      <c r="AE173" s="498"/>
      <c r="AF173" s="498"/>
      <c r="AG173" s="498"/>
      <c r="AH173" s="498"/>
      <c r="AI173" s="498"/>
      <c r="AJ173" s="498"/>
      <c r="AK173" s="498"/>
      <c r="AL173" s="498"/>
      <c r="AM173" s="498"/>
      <c r="AN173" s="498"/>
      <c r="AO173" s="498"/>
      <c r="AP173" s="498"/>
      <c r="AQ173" s="498"/>
      <c r="AR173" s="498"/>
      <c r="AS173" s="498"/>
      <c r="AT173" s="498"/>
      <c r="AU173" s="498"/>
      <c r="AV173" s="498"/>
      <c r="AW173" s="498"/>
      <c r="AX173" s="498"/>
      <c r="AY173" s="498"/>
      <c r="AZ173" s="498"/>
      <c r="BA173" s="498"/>
      <c r="BB173" s="498"/>
      <c r="BC173" s="498"/>
      <c r="BD173" s="498"/>
      <c r="BE173" s="498"/>
      <c r="BF173" s="498"/>
      <c r="BG173" s="498"/>
      <c r="BH173" s="498"/>
      <c r="BI173" s="498"/>
      <c r="BJ173" s="498"/>
      <c r="BK173" s="498"/>
      <c r="BL173" s="498"/>
      <c r="BM173" s="498"/>
      <c r="BN173" s="498"/>
      <c r="BO173" s="498"/>
      <c r="BP173" s="498"/>
      <c r="BQ173" s="498"/>
      <c r="BR173" s="498"/>
      <c r="BS173" s="498"/>
      <c r="BT173" s="498"/>
      <c r="BU173" s="498"/>
      <c r="BV173" s="498"/>
      <c r="BW173" s="498"/>
      <c r="BX173" s="498"/>
      <c r="BY173" s="498"/>
      <c r="BZ173" s="498"/>
      <c r="CA173" s="498"/>
      <c r="CB173" s="498"/>
      <c r="CC173" s="498"/>
      <c r="CD173" s="498"/>
      <c r="CE173" s="498"/>
      <c r="CF173" s="498"/>
      <c r="CG173" s="498"/>
      <c r="CH173" s="498"/>
      <c r="CI173" s="498"/>
      <c r="CJ173" s="498"/>
      <c r="CK173" s="498"/>
      <c r="CL173" s="498"/>
      <c r="CM173" s="498"/>
      <c r="CN173" s="498"/>
      <c r="CO173" s="498"/>
      <c r="CP173" s="498"/>
      <c r="CQ173" s="498"/>
      <c r="CR173" s="498"/>
      <c r="CS173" s="498"/>
      <c r="CT173" s="498"/>
      <c r="CU173" s="498"/>
      <c r="CV173" s="498"/>
      <c r="CW173" s="498"/>
      <c r="CX173" s="498"/>
      <c r="CY173" s="498"/>
      <c r="CZ173" s="498"/>
      <c r="DA173" s="498"/>
      <c r="DB173" s="498"/>
      <c r="DC173" s="498"/>
      <c r="DD173" s="498"/>
      <c r="DE173" s="498"/>
      <c r="DF173" s="498"/>
      <c r="DG173" s="498"/>
      <c r="DH173" s="498"/>
      <c r="DI173" s="498"/>
      <c r="DJ173" s="498"/>
      <c r="DK173" s="498"/>
      <c r="DL173" s="498"/>
      <c r="DM173" s="498"/>
      <c r="DN173" s="498"/>
      <c r="DO173" s="498"/>
      <c r="DP173" s="498"/>
      <c r="DQ173" s="498"/>
      <c r="DR173" s="498"/>
      <c r="DS173" s="498"/>
      <c r="DT173" s="498"/>
      <c r="DU173" s="498"/>
      <c r="DV173" s="498"/>
      <c r="DW173" s="498"/>
      <c r="DX173" s="498"/>
      <c r="DY173" s="498"/>
      <c r="DZ173" s="498"/>
      <c r="EA173" s="498"/>
      <c r="EB173" s="498"/>
      <c r="EC173" s="498"/>
      <c r="ED173" s="498"/>
      <c r="EE173" s="498"/>
      <c r="EF173" s="498"/>
      <c r="EG173" s="498"/>
      <c r="EH173" s="498"/>
      <c r="EI173" s="498"/>
      <c r="EJ173" s="498"/>
      <c r="EK173" s="498"/>
      <c r="EL173" s="498"/>
      <c r="EM173" s="498"/>
      <c r="EN173" s="498"/>
      <c r="EO173" s="498"/>
      <c r="EP173" s="498"/>
      <c r="EQ173" s="498"/>
      <c r="ER173" s="498"/>
      <c r="ES173" s="498"/>
      <c r="ET173" s="498"/>
      <c r="EU173" s="498"/>
      <c r="EV173" s="498"/>
      <c r="EW173" s="498"/>
      <c r="EX173" s="498"/>
      <c r="EY173" s="498"/>
      <c r="EZ173" s="498"/>
      <c r="FA173" s="498"/>
      <c r="FB173" s="498"/>
      <c r="FC173" s="498"/>
      <c r="FD173" s="498"/>
      <c r="FE173" s="498"/>
      <c r="FF173" s="498"/>
      <c r="FG173" s="498"/>
      <c r="FH173" s="498"/>
      <c r="FI173" s="498"/>
      <c r="FJ173" s="498"/>
      <c r="FK173" s="498"/>
      <c r="FL173" s="498"/>
      <c r="FM173" s="498"/>
      <c r="FN173" s="498"/>
      <c r="FO173" s="498"/>
      <c r="FP173" s="498"/>
      <c r="FQ173" s="498"/>
      <c r="FR173" s="498"/>
      <c r="FS173" s="498"/>
      <c r="FT173" s="498"/>
      <c r="FU173" s="498"/>
      <c r="FV173" s="498"/>
      <c r="FW173" s="498"/>
      <c r="FX173" s="498"/>
      <c r="FY173" s="498"/>
      <c r="FZ173" s="498"/>
      <c r="GA173" s="498"/>
      <c r="GB173" s="498"/>
      <c r="GC173" s="498"/>
      <c r="GD173" s="498"/>
      <c r="GE173" s="498"/>
      <c r="GF173" s="498"/>
      <c r="GG173" s="498"/>
    </row>
    <row r="174" spans="1:189" s="466" customFormat="1">
      <c r="A174" s="745" t="e">
        <f>#REF!</f>
        <v>#REF!</v>
      </c>
      <c r="B174" s="768" t="e">
        <f>#REF!</f>
        <v>#REF!</v>
      </c>
      <c r="C174" s="1542"/>
      <c r="D174" s="644"/>
      <c r="E174" s="633"/>
      <c r="F174" s="633"/>
      <c r="H174" s="496"/>
      <c r="I174" s="497">
        <v>1</v>
      </c>
      <c r="J174" s="496"/>
      <c r="K174" s="498"/>
      <c r="L174" s="498"/>
      <c r="M174" s="498"/>
      <c r="N174" s="498"/>
      <c r="O174" s="498"/>
      <c r="P174" s="498"/>
      <c r="Q174" s="498"/>
      <c r="R174" s="498"/>
      <c r="S174" s="498"/>
      <c r="T174" s="498"/>
      <c r="U174" s="498"/>
      <c r="V174" s="498"/>
      <c r="W174" s="498"/>
      <c r="X174" s="498"/>
      <c r="Y174" s="498"/>
      <c r="Z174" s="498"/>
      <c r="AA174" s="498"/>
      <c r="AB174" s="498"/>
      <c r="AC174" s="498"/>
      <c r="AD174" s="498"/>
      <c r="AE174" s="498"/>
      <c r="AF174" s="498"/>
      <c r="AG174" s="498"/>
      <c r="AH174" s="498"/>
      <c r="AI174" s="498"/>
      <c r="AJ174" s="498"/>
      <c r="AK174" s="498"/>
      <c r="AL174" s="498"/>
      <c r="AM174" s="498"/>
      <c r="AN174" s="498"/>
      <c r="AO174" s="498"/>
      <c r="AP174" s="498"/>
      <c r="AQ174" s="498"/>
      <c r="AR174" s="498"/>
      <c r="AS174" s="498"/>
      <c r="AT174" s="498"/>
      <c r="AU174" s="498"/>
      <c r="AV174" s="498"/>
      <c r="AW174" s="498"/>
      <c r="AX174" s="498"/>
      <c r="AY174" s="498"/>
      <c r="AZ174" s="498"/>
      <c r="BA174" s="498"/>
      <c r="BB174" s="498"/>
      <c r="BC174" s="498"/>
      <c r="BD174" s="498"/>
      <c r="BE174" s="498"/>
      <c r="BF174" s="498"/>
      <c r="BG174" s="498"/>
      <c r="BH174" s="498"/>
      <c r="BI174" s="498"/>
      <c r="BJ174" s="498"/>
      <c r="BK174" s="498"/>
      <c r="BL174" s="498"/>
      <c r="BM174" s="498"/>
      <c r="BN174" s="498"/>
      <c r="BO174" s="498"/>
      <c r="BP174" s="498"/>
      <c r="BQ174" s="498"/>
      <c r="BR174" s="498"/>
      <c r="BS174" s="498"/>
      <c r="BT174" s="498"/>
      <c r="BU174" s="498"/>
      <c r="BV174" s="498"/>
      <c r="BW174" s="498"/>
      <c r="BX174" s="498"/>
      <c r="BY174" s="498"/>
      <c r="BZ174" s="498"/>
      <c r="CA174" s="498"/>
      <c r="CB174" s="498"/>
      <c r="CC174" s="498"/>
      <c r="CD174" s="498"/>
      <c r="CE174" s="498"/>
      <c r="CF174" s="498"/>
      <c r="CG174" s="498"/>
      <c r="CH174" s="498"/>
      <c r="CI174" s="498"/>
      <c r="CJ174" s="498"/>
      <c r="CK174" s="498"/>
      <c r="CL174" s="498"/>
      <c r="CM174" s="498"/>
      <c r="CN174" s="498"/>
      <c r="CO174" s="498"/>
      <c r="CP174" s="498"/>
      <c r="CQ174" s="498"/>
      <c r="CR174" s="498"/>
      <c r="CS174" s="498"/>
      <c r="CT174" s="498"/>
      <c r="CU174" s="498"/>
      <c r="CV174" s="498"/>
      <c r="CW174" s="498"/>
      <c r="CX174" s="498"/>
      <c r="CY174" s="498"/>
      <c r="CZ174" s="498"/>
      <c r="DA174" s="498"/>
      <c r="DB174" s="498"/>
      <c r="DC174" s="498"/>
      <c r="DD174" s="498"/>
      <c r="DE174" s="498"/>
      <c r="DF174" s="498"/>
      <c r="DG174" s="498"/>
      <c r="DH174" s="498"/>
      <c r="DI174" s="498"/>
      <c r="DJ174" s="498"/>
      <c r="DK174" s="498"/>
      <c r="DL174" s="498"/>
      <c r="DM174" s="498"/>
      <c r="DN174" s="498"/>
      <c r="DO174" s="498"/>
      <c r="DP174" s="498"/>
      <c r="DQ174" s="498"/>
      <c r="DR174" s="498"/>
      <c r="DS174" s="498"/>
      <c r="DT174" s="498"/>
      <c r="DU174" s="498"/>
      <c r="DV174" s="498"/>
      <c r="DW174" s="498"/>
      <c r="DX174" s="498"/>
      <c r="DY174" s="498"/>
      <c r="DZ174" s="498"/>
      <c r="EA174" s="498"/>
      <c r="EB174" s="498"/>
      <c r="EC174" s="498"/>
      <c r="ED174" s="498"/>
      <c r="EE174" s="498"/>
      <c r="EF174" s="498"/>
      <c r="EG174" s="498"/>
      <c r="EH174" s="498"/>
      <c r="EI174" s="498"/>
      <c r="EJ174" s="498"/>
      <c r="EK174" s="498"/>
      <c r="EL174" s="498"/>
      <c r="EM174" s="498"/>
      <c r="EN174" s="498"/>
      <c r="EO174" s="498"/>
      <c r="EP174" s="498"/>
      <c r="EQ174" s="498"/>
      <c r="ER174" s="498"/>
      <c r="ES174" s="498"/>
      <c r="ET174" s="498"/>
      <c r="EU174" s="498"/>
      <c r="EV174" s="498"/>
      <c r="EW174" s="498"/>
      <c r="EX174" s="498"/>
      <c r="EY174" s="498"/>
      <c r="EZ174" s="498"/>
      <c r="FA174" s="498"/>
      <c r="FB174" s="498"/>
      <c r="FC174" s="498"/>
      <c r="FD174" s="498"/>
      <c r="FE174" s="498"/>
      <c r="FF174" s="498"/>
      <c r="FG174" s="498"/>
      <c r="FH174" s="498"/>
      <c r="FI174" s="498"/>
      <c r="FJ174" s="498"/>
      <c r="FK174" s="498"/>
      <c r="FL174" s="498"/>
      <c r="FM174" s="498"/>
      <c r="FN174" s="498"/>
      <c r="FO174" s="498"/>
      <c r="FP174" s="498"/>
      <c r="FQ174" s="498"/>
      <c r="FR174" s="498"/>
      <c r="FS174" s="498"/>
      <c r="FT174" s="498"/>
      <c r="FU174" s="498"/>
      <c r="FV174" s="498"/>
      <c r="FW174" s="498"/>
      <c r="FX174" s="498"/>
      <c r="FY174" s="498"/>
      <c r="FZ174" s="498"/>
      <c r="GA174" s="498"/>
      <c r="GB174" s="498"/>
      <c r="GC174" s="498"/>
      <c r="GD174" s="498"/>
      <c r="GE174" s="498"/>
      <c r="GF174" s="498"/>
      <c r="GG174" s="498"/>
    </row>
    <row r="175" spans="1:189" s="466" customFormat="1">
      <c r="A175" s="639" t="e">
        <f>#REF!</f>
        <v>#REF!</v>
      </c>
      <c r="B175" s="715" t="e">
        <f>#REF!</f>
        <v>#REF!</v>
      </c>
      <c r="C175" s="1546" t="e">
        <f>#REF!</f>
        <v>#REF!</v>
      </c>
      <c r="D175" s="648">
        <f>J175</f>
        <v>0</v>
      </c>
      <c r="E175" s="527" t="e">
        <f>#REF!</f>
        <v>#REF!</v>
      </c>
      <c r="F175" s="527" t="e">
        <f>+D175*E175</f>
        <v>#REF!</v>
      </c>
      <c r="H175" s="496">
        <v>0</v>
      </c>
      <c r="I175" s="497">
        <v>1</v>
      </c>
      <c r="J175" s="496">
        <f>H175*I175</f>
        <v>0</v>
      </c>
      <c r="K175" s="498"/>
      <c r="L175" s="498"/>
      <c r="M175" s="498"/>
      <c r="N175" s="498"/>
      <c r="O175" s="498"/>
      <c r="P175" s="498"/>
      <c r="Q175" s="498"/>
      <c r="R175" s="498"/>
      <c r="S175" s="498"/>
      <c r="T175" s="498"/>
      <c r="U175" s="498"/>
      <c r="V175" s="498"/>
      <c r="W175" s="498"/>
      <c r="X175" s="498"/>
      <c r="Y175" s="498"/>
      <c r="Z175" s="498"/>
      <c r="AA175" s="498"/>
      <c r="AB175" s="498"/>
      <c r="AC175" s="498"/>
      <c r="AD175" s="498"/>
      <c r="AE175" s="498"/>
      <c r="AF175" s="498"/>
      <c r="AG175" s="498"/>
      <c r="AH175" s="498"/>
      <c r="AI175" s="498"/>
      <c r="AJ175" s="498"/>
      <c r="AK175" s="498"/>
      <c r="AL175" s="498"/>
      <c r="AM175" s="498"/>
      <c r="AN175" s="498"/>
      <c r="AO175" s="498"/>
      <c r="AP175" s="498"/>
      <c r="AQ175" s="498"/>
      <c r="AR175" s="498"/>
      <c r="AS175" s="498"/>
      <c r="AT175" s="498"/>
      <c r="AU175" s="498"/>
      <c r="AV175" s="498"/>
      <c r="AW175" s="498"/>
      <c r="AX175" s="498"/>
      <c r="AY175" s="498"/>
      <c r="AZ175" s="498"/>
      <c r="BA175" s="498"/>
      <c r="BB175" s="498"/>
      <c r="BC175" s="498"/>
      <c r="BD175" s="498"/>
      <c r="BE175" s="498"/>
      <c r="BF175" s="498"/>
      <c r="BG175" s="498"/>
      <c r="BH175" s="498"/>
      <c r="BI175" s="498"/>
      <c r="BJ175" s="498"/>
      <c r="BK175" s="498"/>
      <c r="BL175" s="498"/>
      <c r="BM175" s="498"/>
      <c r="BN175" s="498"/>
      <c r="BO175" s="498"/>
      <c r="BP175" s="498"/>
      <c r="BQ175" s="498"/>
      <c r="BR175" s="498"/>
      <c r="BS175" s="498"/>
      <c r="BT175" s="498"/>
      <c r="BU175" s="498"/>
      <c r="BV175" s="498"/>
      <c r="BW175" s="498"/>
      <c r="BX175" s="498"/>
      <c r="BY175" s="498"/>
      <c r="BZ175" s="498"/>
      <c r="CA175" s="498"/>
      <c r="CB175" s="498"/>
      <c r="CC175" s="498"/>
      <c r="CD175" s="498"/>
      <c r="CE175" s="498"/>
      <c r="CF175" s="498"/>
      <c r="CG175" s="498"/>
      <c r="CH175" s="498"/>
      <c r="CI175" s="498"/>
      <c r="CJ175" s="498"/>
      <c r="CK175" s="498"/>
      <c r="CL175" s="498"/>
      <c r="CM175" s="498"/>
      <c r="CN175" s="498"/>
      <c r="CO175" s="498"/>
      <c r="CP175" s="498"/>
      <c r="CQ175" s="498"/>
      <c r="CR175" s="498"/>
      <c r="CS175" s="498"/>
      <c r="CT175" s="498"/>
      <c r="CU175" s="498"/>
      <c r="CV175" s="498"/>
      <c r="CW175" s="498"/>
      <c r="CX175" s="498"/>
      <c r="CY175" s="498"/>
      <c r="CZ175" s="498"/>
      <c r="DA175" s="498"/>
      <c r="DB175" s="498"/>
      <c r="DC175" s="498"/>
      <c r="DD175" s="498"/>
      <c r="DE175" s="498"/>
      <c r="DF175" s="498"/>
      <c r="DG175" s="498"/>
      <c r="DH175" s="498"/>
      <c r="DI175" s="498"/>
      <c r="DJ175" s="498"/>
      <c r="DK175" s="498"/>
      <c r="DL175" s="498"/>
      <c r="DM175" s="498"/>
      <c r="DN175" s="498"/>
      <c r="DO175" s="498"/>
      <c r="DP175" s="498"/>
      <c r="DQ175" s="498"/>
      <c r="DR175" s="498"/>
      <c r="DS175" s="498"/>
      <c r="DT175" s="498"/>
      <c r="DU175" s="498"/>
      <c r="DV175" s="498"/>
      <c r="DW175" s="498"/>
      <c r="DX175" s="498"/>
      <c r="DY175" s="498"/>
      <c r="DZ175" s="498"/>
      <c r="EA175" s="498"/>
      <c r="EB175" s="498"/>
      <c r="EC175" s="498"/>
      <c r="ED175" s="498"/>
      <c r="EE175" s="498"/>
      <c r="EF175" s="498"/>
      <c r="EG175" s="498"/>
      <c r="EH175" s="498"/>
      <c r="EI175" s="498"/>
      <c r="EJ175" s="498"/>
      <c r="EK175" s="498"/>
      <c r="EL175" s="498"/>
      <c r="EM175" s="498"/>
      <c r="EN175" s="498"/>
      <c r="EO175" s="498"/>
      <c r="EP175" s="498"/>
      <c r="EQ175" s="498"/>
      <c r="ER175" s="498"/>
      <c r="ES175" s="498"/>
      <c r="ET175" s="498"/>
      <c r="EU175" s="498"/>
      <c r="EV175" s="498"/>
      <c r="EW175" s="498"/>
      <c r="EX175" s="498"/>
      <c r="EY175" s="498"/>
      <c r="EZ175" s="498"/>
      <c r="FA175" s="498"/>
      <c r="FB175" s="498"/>
      <c r="FC175" s="498"/>
      <c r="FD175" s="498"/>
      <c r="FE175" s="498"/>
      <c r="FF175" s="498"/>
      <c r="FG175" s="498"/>
      <c r="FH175" s="498"/>
      <c r="FI175" s="498"/>
      <c r="FJ175" s="498"/>
      <c r="FK175" s="498"/>
      <c r="FL175" s="498"/>
      <c r="FM175" s="498"/>
      <c r="FN175" s="498"/>
      <c r="FO175" s="498"/>
      <c r="FP175" s="498"/>
      <c r="FQ175" s="498"/>
      <c r="FR175" s="498"/>
      <c r="FS175" s="498"/>
      <c r="FT175" s="498"/>
      <c r="FU175" s="498"/>
      <c r="FV175" s="498"/>
      <c r="FW175" s="498"/>
      <c r="FX175" s="498"/>
      <c r="FY175" s="498"/>
      <c r="FZ175" s="498"/>
      <c r="GA175" s="498"/>
      <c r="GB175" s="498"/>
      <c r="GC175" s="498"/>
      <c r="GD175" s="498"/>
      <c r="GE175" s="498"/>
      <c r="GF175" s="498"/>
      <c r="GG175" s="498"/>
    </row>
    <row r="176" spans="1:189" s="466" customFormat="1">
      <c r="A176" s="689" t="e">
        <f>#REF!</f>
        <v>#REF!</v>
      </c>
      <c r="B176" s="752" t="e">
        <f>#REF!</f>
        <v>#REF!</v>
      </c>
      <c r="C176" s="1542"/>
      <c r="D176" s="644"/>
      <c r="E176" s="633"/>
      <c r="F176" s="633"/>
      <c r="H176" s="496"/>
      <c r="I176" s="497">
        <v>1</v>
      </c>
      <c r="J176" s="496"/>
      <c r="K176" s="498"/>
      <c r="L176" s="498"/>
      <c r="M176" s="498"/>
      <c r="N176" s="498"/>
      <c r="O176" s="498"/>
      <c r="P176" s="498"/>
      <c r="Q176" s="498"/>
      <c r="R176" s="498"/>
      <c r="S176" s="498"/>
      <c r="T176" s="498"/>
      <c r="U176" s="498"/>
      <c r="V176" s="498"/>
      <c r="W176" s="498"/>
      <c r="X176" s="498"/>
      <c r="Y176" s="498"/>
      <c r="Z176" s="498"/>
      <c r="AA176" s="498"/>
      <c r="AB176" s="498"/>
      <c r="AC176" s="498"/>
      <c r="AD176" s="498"/>
      <c r="AE176" s="498"/>
      <c r="AF176" s="498"/>
      <c r="AG176" s="498"/>
      <c r="AH176" s="498"/>
      <c r="AI176" s="498"/>
      <c r="AJ176" s="498"/>
      <c r="AK176" s="498"/>
      <c r="AL176" s="498"/>
      <c r="AM176" s="498"/>
      <c r="AN176" s="498"/>
      <c r="AO176" s="498"/>
      <c r="AP176" s="498"/>
      <c r="AQ176" s="498"/>
      <c r="AR176" s="498"/>
      <c r="AS176" s="498"/>
      <c r="AT176" s="498"/>
      <c r="AU176" s="498"/>
      <c r="AV176" s="498"/>
      <c r="AW176" s="498"/>
      <c r="AX176" s="498"/>
      <c r="AY176" s="498"/>
      <c r="AZ176" s="498"/>
      <c r="BA176" s="498"/>
      <c r="BB176" s="498"/>
      <c r="BC176" s="498"/>
      <c r="BD176" s="498"/>
      <c r="BE176" s="498"/>
      <c r="BF176" s="498"/>
      <c r="BG176" s="498"/>
      <c r="BH176" s="498"/>
      <c r="BI176" s="498"/>
      <c r="BJ176" s="498"/>
      <c r="BK176" s="498"/>
      <c r="BL176" s="498"/>
      <c r="BM176" s="498"/>
      <c r="BN176" s="498"/>
      <c r="BO176" s="498"/>
      <c r="BP176" s="498"/>
      <c r="BQ176" s="498"/>
      <c r="BR176" s="498"/>
      <c r="BS176" s="498"/>
      <c r="BT176" s="498"/>
      <c r="BU176" s="498"/>
      <c r="BV176" s="498"/>
      <c r="BW176" s="498"/>
      <c r="BX176" s="498"/>
      <c r="BY176" s="498"/>
      <c r="BZ176" s="498"/>
      <c r="CA176" s="498"/>
      <c r="CB176" s="498"/>
      <c r="CC176" s="498"/>
      <c r="CD176" s="498"/>
      <c r="CE176" s="498"/>
      <c r="CF176" s="498"/>
      <c r="CG176" s="498"/>
      <c r="CH176" s="498"/>
      <c r="CI176" s="498"/>
      <c r="CJ176" s="498"/>
      <c r="CK176" s="498"/>
      <c r="CL176" s="498"/>
      <c r="CM176" s="498"/>
      <c r="CN176" s="498"/>
      <c r="CO176" s="498"/>
      <c r="CP176" s="498"/>
      <c r="CQ176" s="498"/>
      <c r="CR176" s="498"/>
      <c r="CS176" s="498"/>
      <c r="CT176" s="498"/>
      <c r="CU176" s="498"/>
      <c r="CV176" s="498"/>
      <c r="CW176" s="498"/>
      <c r="CX176" s="498"/>
      <c r="CY176" s="498"/>
      <c r="CZ176" s="498"/>
      <c r="DA176" s="498"/>
      <c r="DB176" s="498"/>
      <c r="DC176" s="498"/>
      <c r="DD176" s="498"/>
      <c r="DE176" s="498"/>
      <c r="DF176" s="498"/>
      <c r="DG176" s="498"/>
      <c r="DH176" s="498"/>
      <c r="DI176" s="498"/>
      <c r="DJ176" s="498"/>
      <c r="DK176" s="498"/>
      <c r="DL176" s="498"/>
      <c r="DM176" s="498"/>
      <c r="DN176" s="498"/>
      <c r="DO176" s="498"/>
      <c r="DP176" s="498"/>
      <c r="DQ176" s="498"/>
      <c r="DR176" s="498"/>
      <c r="DS176" s="498"/>
      <c r="DT176" s="498"/>
      <c r="DU176" s="498"/>
      <c r="DV176" s="498"/>
      <c r="DW176" s="498"/>
      <c r="DX176" s="498"/>
      <c r="DY176" s="498"/>
      <c r="DZ176" s="498"/>
      <c r="EA176" s="498"/>
      <c r="EB176" s="498"/>
      <c r="EC176" s="498"/>
      <c r="ED176" s="498"/>
      <c r="EE176" s="498"/>
      <c r="EF176" s="498"/>
      <c r="EG176" s="498"/>
      <c r="EH176" s="498"/>
      <c r="EI176" s="498"/>
      <c r="EJ176" s="498"/>
      <c r="EK176" s="498"/>
      <c r="EL176" s="498"/>
      <c r="EM176" s="498"/>
      <c r="EN176" s="498"/>
      <c r="EO176" s="498"/>
      <c r="EP176" s="498"/>
      <c r="EQ176" s="498"/>
      <c r="ER176" s="498"/>
      <c r="ES176" s="498"/>
      <c r="ET176" s="498"/>
      <c r="EU176" s="498"/>
      <c r="EV176" s="498"/>
      <c r="EW176" s="498"/>
      <c r="EX176" s="498"/>
      <c r="EY176" s="498"/>
      <c r="EZ176" s="498"/>
      <c r="FA176" s="498"/>
      <c r="FB176" s="498"/>
      <c r="FC176" s="498"/>
      <c r="FD176" s="498"/>
      <c r="FE176" s="498"/>
      <c r="FF176" s="498"/>
      <c r="FG176" s="498"/>
      <c r="FH176" s="498"/>
      <c r="FI176" s="498"/>
      <c r="FJ176" s="498"/>
      <c r="FK176" s="498"/>
      <c r="FL176" s="498"/>
      <c r="FM176" s="498"/>
      <c r="FN176" s="498"/>
      <c r="FO176" s="498"/>
      <c r="FP176" s="498"/>
      <c r="FQ176" s="498"/>
      <c r="FR176" s="498"/>
      <c r="FS176" s="498"/>
      <c r="FT176" s="498"/>
      <c r="FU176" s="498"/>
      <c r="FV176" s="498"/>
      <c r="FW176" s="498"/>
      <c r="FX176" s="498"/>
      <c r="FY176" s="498"/>
      <c r="FZ176" s="498"/>
      <c r="GA176" s="498"/>
      <c r="GB176" s="498"/>
      <c r="GC176" s="498"/>
      <c r="GD176" s="498"/>
      <c r="GE176" s="498"/>
      <c r="GF176" s="498"/>
      <c r="GG176" s="498"/>
    </row>
    <row r="177" spans="1:189" s="466" customFormat="1">
      <c r="A177" s="638" t="e">
        <f>#REF!</f>
        <v>#REF!</v>
      </c>
      <c r="B177" s="735" t="e">
        <f>#REF!</f>
        <v>#REF!</v>
      </c>
      <c r="C177" s="1542" t="e">
        <f>#REF!</f>
        <v>#REF!</v>
      </c>
      <c r="D177" s="654">
        <v>0</v>
      </c>
      <c r="E177" s="633" t="e">
        <f>#REF!</f>
        <v>#REF!</v>
      </c>
      <c r="F177" s="633" t="e">
        <f>+D177*E177</f>
        <v>#REF!</v>
      </c>
      <c r="H177" s="496">
        <f>7*20</f>
        <v>140</v>
      </c>
      <c r="I177" s="497">
        <v>1</v>
      </c>
      <c r="J177" s="496">
        <f>H177*I177</f>
        <v>140</v>
      </c>
      <c r="K177" s="498"/>
      <c r="L177" s="498"/>
      <c r="M177" s="498"/>
      <c r="N177" s="498"/>
      <c r="O177" s="498"/>
      <c r="P177" s="498"/>
      <c r="Q177" s="498"/>
      <c r="R177" s="498"/>
      <c r="S177" s="498"/>
      <c r="T177" s="498"/>
      <c r="U177" s="498"/>
      <c r="V177" s="498"/>
      <c r="W177" s="498"/>
      <c r="X177" s="498"/>
      <c r="Y177" s="498"/>
      <c r="Z177" s="498"/>
      <c r="AA177" s="498"/>
      <c r="AB177" s="498"/>
      <c r="AC177" s="498"/>
      <c r="AD177" s="498"/>
      <c r="AE177" s="498"/>
      <c r="AF177" s="498"/>
      <c r="AG177" s="498"/>
      <c r="AH177" s="498"/>
      <c r="AI177" s="498"/>
      <c r="AJ177" s="498"/>
      <c r="AK177" s="498"/>
      <c r="AL177" s="498"/>
      <c r="AM177" s="498"/>
      <c r="AN177" s="498"/>
      <c r="AO177" s="498"/>
      <c r="AP177" s="498"/>
      <c r="AQ177" s="498"/>
      <c r="AR177" s="498"/>
      <c r="AS177" s="498"/>
      <c r="AT177" s="498"/>
      <c r="AU177" s="498"/>
      <c r="AV177" s="498"/>
      <c r="AW177" s="498"/>
      <c r="AX177" s="498"/>
      <c r="AY177" s="498"/>
      <c r="AZ177" s="498"/>
      <c r="BA177" s="498"/>
      <c r="BB177" s="498"/>
      <c r="BC177" s="498"/>
      <c r="BD177" s="498"/>
      <c r="BE177" s="498"/>
      <c r="BF177" s="498"/>
      <c r="BG177" s="498"/>
      <c r="BH177" s="498"/>
      <c r="BI177" s="498"/>
      <c r="BJ177" s="498"/>
      <c r="BK177" s="498"/>
      <c r="BL177" s="498"/>
      <c r="BM177" s="498"/>
      <c r="BN177" s="498"/>
      <c r="BO177" s="498"/>
      <c r="BP177" s="498"/>
      <c r="BQ177" s="498"/>
      <c r="BR177" s="498"/>
      <c r="BS177" s="498"/>
      <c r="BT177" s="498"/>
      <c r="BU177" s="498"/>
      <c r="BV177" s="498"/>
      <c r="BW177" s="498"/>
      <c r="BX177" s="498"/>
      <c r="BY177" s="498"/>
      <c r="BZ177" s="498"/>
      <c r="CA177" s="498"/>
      <c r="CB177" s="498"/>
      <c r="CC177" s="498"/>
      <c r="CD177" s="498"/>
      <c r="CE177" s="498"/>
      <c r="CF177" s="498"/>
      <c r="CG177" s="498"/>
      <c r="CH177" s="498"/>
      <c r="CI177" s="498"/>
      <c r="CJ177" s="498"/>
      <c r="CK177" s="498"/>
      <c r="CL177" s="498"/>
      <c r="CM177" s="498"/>
      <c r="CN177" s="498"/>
      <c r="CO177" s="498"/>
      <c r="CP177" s="498"/>
      <c r="CQ177" s="498"/>
      <c r="CR177" s="498"/>
      <c r="CS177" s="498"/>
      <c r="CT177" s="498"/>
      <c r="CU177" s="498"/>
      <c r="CV177" s="498"/>
      <c r="CW177" s="498"/>
      <c r="CX177" s="498"/>
      <c r="CY177" s="498"/>
      <c r="CZ177" s="498"/>
      <c r="DA177" s="498"/>
      <c r="DB177" s="498"/>
      <c r="DC177" s="498"/>
      <c r="DD177" s="498"/>
      <c r="DE177" s="498"/>
      <c r="DF177" s="498"/>
      <c r="DG177" s="498"/>
      <c r="DH177" s="498"/>
      <c r="DI177" s="498"/>
      <c r="DJ177" s="498"/>
      <c r="DK177" s="498"/>
      <c r="DL177" s="498"/>
      <c r="DM177" s="498"/>
      <c r="DN177" s="498"/>
      <c r="DO177" s="498"/>
      <c r="DP177" s="498"/>
      <c r="DQ177" s="498"/>
      <c r="DR177" s="498"/>
      <c r="DS177" s="498"/>
      <c r="DT177" s="498"/>
      <c r="DU177" s="498"/>
      <c r="DV177" s="498"/>
      <c r="DW177" s="498"/>
      <c r="DX177" s="498"/>
      <c r="DY177" s="498"/>
      <c r="DZ177" s="498"/>
      <c r="EA177" s="498"/>
      <c r="EB177" s="498"/>
      <c r="EC177" s="498"/>
      <c r="ED177" s="498"/>
      <c r="EE177" s="498"/>
      <c r="EF177" s="498"/>
      <c r="EG177" s="498"/>
      <c r="EH177" s="498"/>
      <c r="EI177" s="498"/>
      <c r="EJ177" s="498"/>
      <c r="EK177" s="498"/>
      <c r="EL177" s="498"/>
      <c r="EM177" s="498"/>
      <c r="EN177" s="498"/>
      <c r="EO177" s="498"/>
      <c r="EP177" s="498"/>
      <c r="EQ177" s="498"/>
      <c r="ER177" s="498"/>
      <c r="ES177" s="498"/>
      <c r="ET177" s="498"/>
      <c r="EU177" s="498"/>
      <c r="EV177" s="498"/>
      <c r="EW177" s="498"/>
      <c r="EX177" s="498"/>
      <c r="EY177" s="498"/>
      <c r="EZ177" s="498"/>
      <c r="FA177" s="498"/>
      <c r="FB177" s="498"/>
      <c r="FC177" s="498"/>
      <c r="FD177" s="498"/>
      <c r="FE177" s="498"/>
      <c r="FF177" s="498"/>
      <c r="FG177" s="498"/>
      <c r="FH177" s="498"/>
      <c r="FI177" s="498"/>
      <c r="FJ177" s="498"/>
      <c r="FK177" s="498"/>
      <c r="FL177" s="498"/>
      <c r="FM177" s="498"/>
      <c r="FN177" s="498"/>
      <c r="FO177" s="498"/>
      <c r="FP177" s="498"/>
      <c r="FQ177" s="498"/>
      <c r="FR177" s="498"/>
      <c r="FS177" s="498"/>
      <c r="FT177" s="498"/>
      <c r="FU177" s="498"/>
      <c r="FV177" s="498"/>
      <c r="FW177" s="498"/>
      <c r="FX177" s="498"/>
      <c r="FY177" s="498"/>
      <c r="FZ177" s="498"/>
      <c r="GA177" s="498"/>
      <c r="GB177" s="498"/>
      <c r="GC177" s="498"/>
      <c r="GD177" s="498"/>
      <c r="GE177" s="498"/>
      <c r="GF177" s="498"/>
      <c r="GG177" s="498"/>
    </row>
    <row r="178" spans="1:189" s="466" customFormat="1">
      <c r="A178" s="638" t="e">
        <f>#REF!</f>
        <v>#REF!</v>
      </c>
      <c r="B178" s="735" t="e">
        <f>#REF!</f>
        <v>#REF!</v>
      </c>
      <c r="C178" s="1560" t="e">
        <f>#REF!</f>
        <v>#REF!</v>
      </c>
      <c r="D178" s="648">
        <v>0</v>
      </c>
      <c r="E178" s="527" t="e">
        <f>#REF!</f>
        <v>#REF!</v>
      </c>
      <c r="F178" s="527" t="e">
        <f>+D178*E178</f>
        <v>#REF!</v>
      </c>
      <c r="H178" s="496">
        <f>F8</f>
        <v>400</v>
      </c>
      <c r="I178" s="497">
        <v>1</v>
      </c>
      <c r="J178" s="496">
        <f>H178*I178</f>
        <v>400</v>
      </c>
      <c r="K178" s="498"/>
      <c r="L178" s="498">
        <f>17500*657</f>
        <v>11497500</v>
      </c>
      <c r="M178" s="498"/>
      <c r="N178" s="498"/>
      <c r="O178" s="498"/>
      <c r="P178" s="498"/>
      <c r="Q178" s="498"/>
      <c r="R178" s="498"/>
      <c r="S178" s="498"/>
      <c r="T178" s="498"/>
      <c r="U178" s="498"/>
      <c r="V178" s="498"/>
      <c r="W178" s="498"/>
      <c r="X178" s="498"/>
      <c r="Y178" s="498"/>
      <c r="Z178" s="498"/>
      <c r="AA178" s="498"/>
      <c r="AB178" s="498"/>
      <c r="AC178" s="498"/>
      <c r="AD178" s="498"/>
      <c r="AE178" s="498"/>
      <c r="AF178" s="498"/>
      <c r="AG178" s="498"/>
      <c r="AH178" s="498"/>
      <c r="AI178" s="498"/>
      <c r="AJ178" s="498"/>
      <c r="AK178" s="498"/>
      <c r="AL178" s="498"/>
      <c r="AM178" s="498"/>
      <c r="AN178" s="498"/>
      <c r="AO178" s="498"/>
      <c r="AP178" s="498"/>
      <c r="AQ178" s="498"/>
      <c r="AR178" s="498"/>
      <c r="AS178" s="498"/>
      <c r="AT178" s="498"/>
      <c r="AU178" s="498"/>
      <c r="AV178" s="498"/>
      <c r="AW178" s="498"/>
      <c r="AX178" s="498"/>
      <c r="AY178" s="498"/>
      <c r="AZ178" s="498"/>
      <c r="BA178" s="498"/>
      <c r="BB178" s="498"/>
      <c r="BC178" s="498"/>
      <c r="BD178" s="498"/>
      <c r="BE178" s="498"/>
      <c r="BF178" s="498"/>
      <c r="BG178" s="498"/>
      <c r="BH178" s="498"/>
      <c r="BI178" s="498"/>
      <c r="BJ178" s="498"/>
      <c r="BK178" s="498"/>
      <c r="BL178" s="498"/>
      <c r="BM178" s="498"/>
      <c r="BN178" s="498"/>
      <c r="BO178" s="498"/>
      <c r="BP178" s="498"/>
      <c r="BQ178" s="498"/>
      <c r="BR178" s="498"/>
      <c r="BS178" s="498"/>
      <c r="BT178" s="498"/>
      <c r="BU178" s="498"/>
      <c r="BV178" s="498"/>
      <c r="BW178" s="498"/>
      <c r="BX178" s="498"/>
      <c r="BY178" s="498"/>
      <c r="BZ178" s="498"/>
      <c r="CA178" s="498"/>
      <c r="CB178" s="498"/>
      <c r="CC178" s="498"/>
      <c r="CD178" s="498"/>
      <c r="CE178" s="498"/>
      <c r="CF178" s="498"/>
      <c r="CG178" s="498"/>
      <c r="CH178" s="498"/>
      <c r="CI178" s="498"/>
      <c r="CJ178" s="498"/>
      <c r="CK178" s="498"/>
      <c r="CL178" s="498"/>
      <c r="CM178" s="498"/>
      <c r="CN178" s="498"/>
      <c r="CO178" s="498"/>
      <c r="CP178" s="498"/>
      <c r="CQ178" s="498"/>
      <c r="CR178" s="498"/>
      <c r="CS178" s="498"/>
      <c r="CT178" s="498"/>
      <c r="CU178" s="498"/>
      <c r="CV178" s="498"/>
      <c r="CW178" s="498"/>
      <c r="CX178" s="498"/>
      <c r="CY178" s="498"/>
      <c r="CZ178" s="498"/>
      <c r="DA178" s="498"/>
      <c r="DB178" s="498"/>
      <c r="DC178" s="498"/>
      <c r="DD178" s="498"/>
      <c r="DE178" s="498"/>
      <c r="DF178" s="498"/>
      <c r="DG178" s="498"/>
      <c r="DH178" s="498"/>
      <c r="DI178" s="498"/>
      <c r="DJ178" s="498"/>
      <c r="DK178" s="498"/>
      <c r="DL178" s="498"/>
      <c r="DM178" s="498"/>
      <c r="DN178" s="498"/>
      <c r="DO178" s="498"/>
      <c r="DP178" s="498"/>
      <c r="DQ178" s="498"/>
      <c r="DR178" s="498"/>
      <c r="DS178" s="498"/>
      <c r="DT178" s="498"/>
      <c r="DU178" s="498"/>
      <c r="DV178" s="498"/>
      <c r="DW178" s="498"/>
      <c r="DX178" s="498"/>
      <c r="DY178" s="498"/>
      <c r="DZ178" s="498"/>
      <c r="EA178" s="498"/>
      <c r="EB178" s="498"/>
      <c r="EC178" s="498"/>
      <c r="ED178" s="498"/>
      <c r="EE178" s="498"/>
      <c r="EF178" s="498"/>
      <c r="EG178" s="498"/>
      <c r="EH178" s="498"/>
      <c r="EI178" s="498"/>
      <c r="EJ178" s="498"/>
      <c r="EK178" s="498"/>
      <c r="EL178" s="498"/>
      <c r="EM178" s="498"/>
      <c r="EN178" s="498"/>
      <c r="EO178" s="498"/>
      <c r="EP178" s="498"/>
      <c r="EQ178" s="498"/>
      <c r="ER178" s="498"/>
      <c r="ES178" s="498"/>
      <c r="ET178" s="498"/>
      <c r="EU178" s="498"/>
      <c r="EV178" s="498"/>
      <c r="EW178" s="498"/>
      <c r="EX178" s="498"/>
      <c r="EY178" s="498"/>
      <c r="EZ178" s="498"/>
      <c r="FA178" s="498"/>
      <c r="FB178" s="498"/>
      <c r="FC178" s="498"/>
      <c r="FD178" s="498"/>
      <c r="FE178" s="498"/>
      <c r="FF178" s="498"/>
      <c r="FG178" s="498"/>
      <c r="FH178" s="498"/>
      <c r="FI178" s="498"/>
      <c r="FJ178" s="498"/>
      <c r="FK178" s="498"/>
      <c r="FL178" s="498"/>
      <c r="FM178" s="498"/>
      <c r="FN178" s="498"/>
      <c r="FO178" s="498"/>
      <c r="FP178" s="498"/>
      <c r="FQ178" s="498"/>
      <c r="FR178" s="498"/>
      <c r="FS178" s="498"/>
      <c r="FT178" s="498"/>
      <c r="FU178" s="498"/>
      <c r="FV178" s="498"/>
      <c r="FW178" s="498"/>
      <c r="FX178" s="498"/>
      <c r="FY178" s="498"/>
      <c r="FZ178" s="498"/>
      <c r="GA178" s="498"/>
      <c r="GB178" s="498"/>
      <c r="GC178" s="498"/>
      <c r="GD178" s="498"/>
      <c r="GE178" s="498"/>
      <c r="GF178" s="498"/>
      <c r="GG178" s="498"/>
    </row>
    <row r="179" spans="1:189" s="466" customFormat="1">
      <c r="A179" s="689" t="e">
        <f>#REF!</f>
        <v>#REF!</v>
      </c>
      <c r="B179" s="752" t="e">
        <f>#REF!</f>
        <v>#REF!</v>
      </c>
      <c r="C179" s="1542"/>
      <c r="D179" s="644"/>
      <c r="E179" s="633"/>
      <c r="F179" s="633"/>
      <c r="H179" s="496"/>
      <c r="I179" s="497"/>
      <c r="J179" s="496"/>
      <c r="K179" s="498"/>
      <c r="L179" s="498"/>
      <c r="M179" s="498"/>
      <c r="N179" s="498"/>
      <c r="O179" s="498"/>
      <c r="P179" s="498"/>
      <c r="Q179" s="498"/>
      <c r="R179" s="498"/>
      <c r="S179" s="498"/>
      <c r="T179" s="498"/>
      <c r="U179" s="498"/>
      <c r="V179" s="498"/>
      <c r="W179" s="498"/>
      <c r="X179" s="498"/>
      <c r="Y179" s="498"/>
      <c r="Z179" s="498"/>
      <c r="AA179" s="498"/>
      <c r="AB179" s="498"/>
      <c r="AC179" s="498"/>
      <c r="AD179" s="498"/>
      <c r="AE179" s="498"/>
      <c r="AF179" s="498"/>
      <c r="AG179" s="498"/>
      <c r="AH179" s="498"/>
      <c r="AI179" s="498"/>
      <c r="AJ179" s="498"/>
      <c r="AK179" s="498"/>
      <c r="AL179" s="498"/>
      <c r="AM179" s="498"/>
      <c r="AN179" s="498"/>
      <c r="AO179" s="498"/>
      <c r="AP179" s="498"/>
      <c r="AQ179" s="498"/>
      <c r="AR179" s="498"/>
      <c r="AS179" s="498"/>
      <c r="AT179" s="498"/>
      <c r="AU179" s="498"/>
      <c r="AV179" s="498"/>
      <c r="AW179" s="498"/>
      <c r="AX179" s="498"/>
      <c r="AY179" s="498"/>
      <c r="AZ179" s="498"/>
      <c r="BA179" s="498"/>
      <c r="BB179" s="498"/>
      <c r="BC179" s="498"/>
      <c r="BD179" s="498"/>
      <c r="BE179" s="498"/>
      <c r="BF179" s="498"/>
      <c r="BG179" s="498"/>
      <c r="BH179" s="498"/>
      <c r="BI179" s="498"/>
      <c r="BJ179" s="498"/>
      <c r="BK179" s="498"/>
      <c r="BL179" s="498"/>
      <c r="BM179" s="498"/>
      <c r="BN179" s="498"/>
      <c r="BO179" s="498"/>
      <c r="BP179" s="498"/>
      <c r="BQ179" s="498"/>
      <c r="BR179" s="498"/>
      <c r="BS179" s="498"/>
      <c r="BT179" s="498"/>
      <c r="BU179" s="498"/>
      <c r="BV179" s="498"/>
      <c r="BW179" s="498"/>
      <c r="BX179" s="498"/>
      <c r="BY179" s="498"/>
      <c r="BZ179" s="498"/>
      <c r="CA179" s="498"/>
      <c r="CB179" s="498"/>
      <c r="CC179" s="498"/>
      <c r="CD179" s="498"/>
      <c r="CE179" s="498"/>
      <c r="CF179" s="498"/>
      <c r="CG179" s="498"/>
      <c r="CH179" s="498"/>
      <c r="CI179" s="498"/>
      <c r="CJ179" s="498"/>
      <c r="CK179" s="498"/>
      <c r="CL179" s="498"/>
      <c r="CM179" s="498"/>
      <c r="CN179" s="498"/>
      <c r="CO179" s="498"/>
      <c r="CP179" s="498"/>
      <c r="CQ179" s="498"/>
      <c r="CR179" s="498"/>
      <c r="CS179" s="498"/>
      <c r="CT179" s="498"/>
      <c r="CU179" s="498"/>
      <c r="CV179" s="498"/>
      <c r="CW179" s="498"/>
      <c r="CX179" s="498"/>
      <c r="CY179" s="498"/>
      <c r="CZ179" s="498"/>
      <c r="DA179" s="498"/>
      <c r="DB179" s="498"/>
      <c r="DC179" s="498"/>
      <c r="DD179" s="498"/>
      <c r="DE179" s="498"/>
      <c r="DF179" s="498"/>
      <c r="DG179" s="498"/>
      <c r="DH179" s="498"/>
      <c r="DI179" s="498"/>
      <c r="DJ179" s="498"/>
      <c r="DK179" s="498"/>
      <c r="DL179" s="498"/>
      <c r="DM179" s="498"/>
      <c r="DN179" s="498"/>
      <c r="DO179" s="498"/>
      <c r="DP179" s="498"/>
      <c r="DQ179" s="498"/>
      <c r="DR179" s="498"/>
      <c r="DS179" s="498"/>
      <c r="DT179" s="498"/>
      <c r="DU179" s="498"/>
      <c r="DV179" s="498"/>
      <c r="DW179" s="498"/>
      <c r="DX179" s="498"/>
      <c r="DY179" s="498"/>
      <c r="DZ179" s="498"/>
      <c r="EA179" s="498"/>
      <c r="EB179" s="498"/>
      <c r="EC179" s="498"/>
      <c r="ED179" s="498"/>
      <c r="EE179" s="498"/>
      <c r="EF179" s="498"/>
      <c r="EG179" s="498"/>
      <c r="EH179" s="498"/>
      <c r="EI179" s="498"/>
      <c r="EJ179" s="498"/>
      <c r="EK179" s="498"/>
      <c r="EL179" s="498"/>
      <c r="EM179" s="498"/>
      <c r="EN179" s="498"/>
      <c r="EO179" s="498"/>
      <c r="EP179" s="498"/>
      <c r="EQ179" s="498"/>
      <c r="ER179" s="498"/>
      <c r="ES179" s="498"/>
      <c r="ET179" s="498"/>
      <c r="EU179" s="498"/>
      <c r="EV179" s="498"/>
      <c r="EW179" s="498"/>
      <c r="EX179" s="498"/>
      <c r="EY179" s="498"/>
      <c r="EZ179" s="498"/>
      <c r="FA179" s="498"/>
      <c r="FB179" s="498"/>
      <c r="FC179" s="498"/>
      <c r="FD179" s="498"/>
      <c r="FE179" s="498"/>
      <c r="FF179" s="498"/>
      <c r="FG179" s="498"/>
      <c r="FH179" s="498"/>
      <c r="FI179" s="498"/>
      <c r="FJ179" s="498"/>
      <c r="FK179" s="498"/>
      <c r="FL179" s="498"/>
      <c r="FM179" s="498"/>
      <c r="FN179" s="498"/>
      <c r="FO179" s="498"/>
      <c r="FP179" s="498"/>
      <c r="FQ179" s="498"/>
      <c r="FR179" s="498"/>
      <c r="FS179" s="498"/>
      <c r="FT179" s="498"/>
      <c r="FU179" s="498"/>
      <c r="FV179" s="498"/>
      <c r="FW179" s="498"/>
      <c r="FX179" s="498"/>
      <c r="FY179" s="498"/>
      <c r="FZ179" s="498"/>
      <c r="GA179" s="498"/>
      <c r="GB179" s="498"/>
      <c r="GC179" s="498"/>
      <c r="GD179" s="498"/>
      <c r="GE179" s="498"/>
      <c r="GF179" s="498"/>
      <c r="GG179" s="498"/>
    </row>
    <row r="180" spans="1:189" s="466" customFormat="1">
      <c r="A180" s="789" t="e">
        <f>#REF!</f>
        <v>#REF!</v>
      </c>
      <c r="B180" s="790" t="e">
        <f>#REF!</f>
        <v>#REF!</v>
      </c>
      <c r="C180" s="1542" t="e">
        <f>#REF!</f>
        <v>#REF!</v>
      </c>
      <c r="D180" s="654">
        <v>0</v>
      </c>
      <c r="E180" s="633" t="e">
        <f>#REF!</f>
        <v>#REF!</v>
      </c>
      <c r="F180" s="633" t="e">
        <f>+D180*E180</f>
        <v>#REF!</v>
      </c>
      <c r="H180" s="496"/>
      <c r="I180" s="497"/>
      <c r="J180" s="496"/>
      <c r="K180" s="498"/>
      <c r="L180" s="498"/>
      <c r="M180" s="498"/>
      <c r="N180" s="498"/>
      <c r="O180" s="498"/>
      <c r="P180" s="498"/>
      <c r="Q180" s="498"/>
      <c r="R180" s="498"/>
      <c r="S180" s="498"/>
      <c r="T180" s="498"/>
      <c r="U180" s="498"/>
      <c r="V180" s="498"/>
      <c r="W180" s="498"/>
      <c r="X180" s="498"/>
      <c r="Y180" s="498"/>
      <c r="Z180" s="498"/>
      <c r="AA180" s="498"/>
      <c r="AB180" s="498"/>
      <c r="AC180" s="498"/>
      <c r="AD180" s="498"/>
      <c r="AE180" s="498"/>
      <c r="AF180" s="498"/>
      <c r="AG180" s="498"/>
      <c r="AH180" s="498"/>
      <c r="AI180" s="498"/>
      <c r="AJ180" s="498"/>
      <c r="AK180" s="498"/>
      <c r="AL180" s="498"/>
      <c r="AM180" s="498"/>
      <c r="AN180" s="498"/>
      <c r="AO180" s="498"/>
      <c r="AP180" s="498"/>
      <c r="AQ180" s="498"/>
      <c r="AR180" s="498"/>
      <c r="AS180" s="498"/>
      <c r="AT180" s="498"/>
      <c r="AU180" s="498"/>
      <c r="AV180" s="498"/>
      <c r="AW180" s="498"/>
      <c r="AX180" s="498"/>
      <c r="AY180" s="498"/>
      <c r="AZ180" s="498"/>
      <c r="BA180" s="498"/>
      <c r="BB180" s="498"/>
      <c r="BC180" s="498"/>
      <c r="BD180" s="498"/>
      <c r="BE180" s="498"/>
      <c r="BF180" s="498"/>
      <c r="BG180" s="498"/>
      <c r="BH180" s="498"/>
      <c r="BI180" s="498"/>
      <c r="BJ180" s="498"/>
      <c r="BK180" s="498"/>
      <c r="BL180" s="498"/>
      <c r="BM180" s="498"/>
      <c r="BN180" s="498"/>
      <c r="BO180" s="498"/>
      <c r="BP180" s="498"/>
      <c r="BQ180" s="498"/>
      <c r="BR180" s="498"/>
      <c r="BS180" s="498"/>
      <c r="BT180" s="498"/>
      <c r="BU180" s="498"/>
      <c r="BV180" s="498"/>
      <c r="BW180" s="498"/>
      <c r="BX180" s="498"/>
      <c r="BY180" s="498"/>
      <c r="BZ180" s="498"/>
      <c r="CA180" s="498"/>
      <c r="CB180" s="498"/>
      <c r="CC180" s="498"/>
      <c r="CD180" s="498"/>
      <c r="CE180" s="498"/>
      <c r="CF180" s="498"/>
      <c r="CG180" s="498"/>
      <c r="CH180" s="498"/>
      <c r="CI180" s="498"/>
      <c r="CJ180" s="498"/>
      <c r="CK180" s="498"/>
      <c r="CL180" s="498"/>
      <c r="CM180" s="498"/>
      <c r="CN180" s="498"/>
      <c r="CO180" s="498"/>
      <c r="CP180" s="498"/>
      <c r="CQ180" s="498"/>
      <c r="CR180" s="498"/>
      <c r="CS180" s="498"/>
      <c r="CT180" s="498"/>
      <c r="CU180" s="498"/>
      <c r="CV180" s="498"/>
      <c r="CW180" s="498"/>
      <c r="CX180" s="498"/>
      <c r="CY180" s="498"/>
      <c r="CZ180" s="498"/>
      <c r="DA180" s="498"/>
      <c r="DB180" s="498"/>
      <c r="DC180" s="498"/>
      <c r="DD180" s="498"/>
      <c r="DE180" s="498"/>
      <c r="DF180" s="498"/>
      <c r="DG180" s="498"/>
      <c r="DH180" s="498"/>
      <c r="DI180" s="498"/>
      <c r="DJ180" s="498"/>
      <c r="DK180" s="498"/>
      <c r="DL180" s="498"/>
      <c r="DM180" s="498"/>
      <c r="DN180" s="498"/>
      <c r="DO180" s="498"/>
      <c r="DP180" s="498"/>
      <c r="DQ180" s="498"/>
      <c r="DR180" s="498"/>
      <c r="DS180" s="498"/>
      <c r="DT180" s="498"/>
      <c r="DU180" s="498"/>
      <c r="DV180" s="498"/>
      <c r="DW180" s="498"/>
      <c r="DX180" s="498"/>
      <c r="DY180" s="498"/>
      <c r="DZ180" s="498"/>
      <c r="EA180" s="498"/>
      <c r="EB180" s="498"/>
      <c r="EC180" s="498"/>
      <c r="ED180" s="498"/>
      <c r="EE180" s="498"/>
      <c r="EF180" s="498"/>
      <c r="EG180" s="498"/>
      <c r="EH180" s="498"/>
      <c r="EI180" s="498"/>
      <c r="EJ180" s="498"/>
      <c r="EK180" s="498"/>
      <c r="EL180" s="498"/>
      <c r="EM180" s="498"/>
      <c r="EN180" s="498"/>
      <c r="EO180" s="498"/>
      <c r="EP180" s="498"/>
      <c r="EQ180" s="498"/>
      <c r="ER180" s="498"/>
      <c r="ES180" s="498"/>
      <c r="ET180" s="498"/>
      <c r="EU180" s="498"/>
      <c r="EV180" s="498"/>
      <c r="EW180" s="498"/>
      <c r="EX180" s="498"/>
      <c r="EY180" s="498"/>
      <c r="EZ180" s="498"/>
      <c r="FA180" s="498"/>
      <c r="FB180" s="498"/>
      <c r="FC180" s="498"/>
      <c r="FD180" s="498"/>
      <c r="FE180" s="498"/>
      <c r="FF180" s="498"/>
      <c r="FG180" s="498"/>
      <c r="FH180" s="498"/>
      <c r="FI180" s="498"/>
      <c r="FJ180" s="498"/>
      <c r="FK180" s="498"/>
      <c r="FL180" s="498"/>
      <c r="FM180" s="498"/>
      <c r="FN180" s="498"/>
      <c r="FO180" s="498"/>
      <c r="FP180" s="498"/>
      <c r="FQ180" s="498"/>
      <c r="FR180" s="498"/>
      <c r="FS180" s="498"/>
      <c r="FT180" s="498"/>
      <c r="FU180" s="498"/>
      <c r="FV180" s="498"/>
      <c r="FW180" s="498"/>
      <c r="FX180" s="498"/>
      <c r="FY180" s="498"/>
      <c r="FZ180" s="498"/>
      <c r="GA180" s="498"/>
      <c r="GB180" s="498"/>
      <c r="GC180" s="498"/>
      <c r="GD180" s="498"/>
      <c r="GE180" s="498"/>
      <c r="GF180" s="498"/>
      <c r="GG180" s="498"/>
    </row>
    <row r="181" spans="1:189" s="456" customFormat="1" ht="18.75" customHeight="1">
      <c r="A181" s="736"/>
      <c r="B181" s="239"/>
      <c r="C181" s="634"/>
      <c r="D181" s="635"/>
      <c r="E181" s="636" t="s">
        <v>113</v>
      </c>
      <c r="F181" s="1122" t="e">
        <f>SUM(F131:F180)</f>
        <v>#REF!</v>
      </c>
      <c r="H181" s="493"/>
      <c r="I181" s="494"/>
      <c r="J181" s="493"/>
      <c r="K181" s="495"/>
      <c r="L181" s="495"/>
      <c r="M181" s="495"/>
      <c r="N181" s="495"/>
      <c r="O181" s="495"/>
      <c r="P181" s="495"/>
      <c r="Q181" s="495"/>
      <c r="R181" s="495"/>
      <c r="S181" s="495"/>
      <c r="T181" s="495"/>
      <c r="U181" s="495"/>
      <c r="V181" s="495"/>
      <c r="W181" s="495"/>
      <c r="X181" s="495"/>
      <c r="Y181" s="495"/>
      <c r="Z181" s="495"/>
      <c r="AA181" s="495"/>
      <c r="AB181" s="495"/>
      <c r="AC181" s="495"/>
      <c r="AD181" s="495"/>
      <c r="AE181" s="495"/>
      <c r="AF181" s="495"/>
      <c r="AG181" s="495"/>
      <c r="AH181" s="495"/>
      <c r="AI181" s="495"/>
      <c r="AJ181" s="495"/>
      <c r="AK181" s="495"/>
      <c r="AL181" s="495"/>
      <c r="AM181" s="495"/>
      <c r="AN181" s="495"/>
      <c r="AO181" s="495"/>
      <c r="AP181" s="495"/>
      <c r="AQ181" s="495"/>
      <c r="AR181" s="495"/>
      <c r="AS181" s="495"/>
      <c r="AT181" s="495"/>
      <c r="AU181" s="495"/>
      <c r="AV181" s="495"/>
      <c r="AW181" s="495"/>
      <c r="AX181" s="495"/>
      <c r="AY181" s="495"/>
      <c r="AZ181" s="495"/>
      <c r="BA181" s="495"/>
      <c r="BB181" s="495"/>
      <c r="BC181" s="495"/>
      <c r="BD181" s="495"/>
      <c r="BE181" s="495"/>
      <c r="BF181" s="495"/>
      <c r="BG181" s="495"/>
      <c r="BH181" s="495"/>
      <c r="BI181" s="495"/>
      <c r="BJ181" s="495"/>
      <c r="BK181" s="495"/>
      <c r="BL181" s="495"/>
      <c r="BM181" s="495"/>
      <c r="BN181" s="495"/>
      <c r="BO181" s="495"/>
      <c r="BP181" s="495"/>
      <c r="BQ181" s="495"/>
      <c r="BR181" s="495"/>
      <c r="BS181" s="495"/>
      <c r="BT181" s="495"/>
      <c r="BU181" s="495"/>
      <c r="BV181" s="495"/>
      <c r="BW181" s="495"/>
      <c r="BX181" s="495"/>
      <c r="BY181" s="495"/>
      <c r="BZ181" s="495"/>
      <c r="CA181" s="495"/>
      <c r="CB181" s="495"/>
      <c r="CC181" s="495"/>
      <c r="CD181" s="495"/>
      <c r="CE181" s="495"/>
      <c r="CF181" s="495"/>
      <c r="CG181" s="495"/>
      <c r="CH181" s="495"/>
      <c r="CI181" s="495"/>
      <c r="CJ181" s="495"/>
      <c r="CK181" s="495"/>
      <c r="CL181" s="495"/>
      <c r="CM181" s="495"/>
      <c r="CN181" s="495"/>
      <c r="CO181" s="495"/>
      <c r="CP181" s="495"/>
      <c r="CQ181" s="495"/>
      <c r="CR181" s="495"/>
      <c r="CS181" s="495"/>
      <c r="CT181" s="495"/>
      <c r="CU181" s="495"/>
      <c r="CV181" s="495"/>
      <c r="CW181" s="495"/>
      <c r="CX181" s="495"/>
      <c r="CY181" s="495"/>
      <c r="CZ181" s="495"/>
      <c r="DA181" s="495"/>
      <c r="DB181" s="495"/>
      <c r="DC181" s="495"/>
      <c r="DD181" s="495"/>
      <c r="DE181" s="495"/>
      <c r="DF181" s="495"/>
      <c r="DG181" s="495"/>
      <c r="DH181" s="495"/>
      <c r="DI181" s="495"/>
      <c r="DJ181" s="495"/>
      <c r="DK181" s="495"/>
      <c r="DL181" s="495"/>
      <c r="DM181" s="495"/>
      <c r="DN181" s="495"/>
      <c r="DO181" s="495"/>
      <c r="DP181" s="495"/>
      <c r="DQ181" s="495"/>
      <c r="DR181" s="495"/>
      <c r="DS181" s="495"/>
      <c r="DT181" s="495"/>
      <c r="DU181" s="495"/>
      <c r="DV181" s="495"/>
      <c r="DW181" s="495"/>
      <c r="DX181" s="495"/>
      <c r="DY181" s="495"/>
      <c r="DZ181" s="495"/>
      <c r="EA181" s="495"/>
      <c r="EB181" s="495"/>
      <c r="EC181" s="495"/>
      <c r="ED181" s="495"/>
      <c r="EE181" s="495"/>
      <c r="EF181" s="495"/>
      <c r="EG181" s="495"/>
      <c r="EH181" s="495"/>
      <c r="EI181" s="495"/>
      <c r="EJ181" s="495"/>
      <c r="EK181" s="495"/>
      <c r="EL181" s="495"/>
      <c r="EM181" s="495"/>
      <c r="EN181" s="495"/>
      <c r="EO181" s="495"/>
      <c r="EP181" s="495"/>
      <c r="EQ181" s="495"/>
      <c r="ER181" s="495"/>
      <c r="ES181" s="495"/>
      <c r="ET181" s="495"/>
      <c r="EU181" s="495"/>
      <c r="EV181" s="495"/>
      <c r="EW181" s="495"/>
      <c r="EX181" s="495"/>
      <c r="EY181" s="495"/>
      <c r="EZ181" s="495"/>
      <c r="FA181" s="495"/>
      <c r="FB181" s="495"/>
      <c r="FC181" s="495"/>
      <c r="FD181" s="495"/>
      <c r="FE181" s="495"/>
      <c r="FF181" s="495"/>
      <c r="FG181" s="495"/>
      <c r="FH181" s="495"/>
      <c r="FI181" s="495"/>
      <c r="FJ181" s="495"/>
      <c r="FK181" s="495"/>
      <c r="FL181" s="495"/>
      <c r="FM181" s="495"/>
      <c r="FN181" s="495"/>
      <c r="FO181" s="495"/>
      <c r="FP181" s="495"/>
      <c r="FQ181" s="495"/>
      <c r="FR181" s="495"/>
      <c r="FS181" s="495"/>
      <c r="FT181" s="495"/>
      <c r="FU181" s="495"/>
      <c r="FV181" s="495"/>
      <c r="FW181" s="495"/>
      <c r="FX181" s="495"/>
      <c r="FY181" s="495"/>
      <c r="FZ181" s="495"/>
      <c r="GA181" s="495"/>
      <c r="GB181" s="495"/>
      <c r="GC181" s="495"/>
      <c r="GD181" s="495"/>
      <c r="GE181" s="495"/>
      <c r="GF181" s="495"/>
      <c r="GG181" s="495"/>
    </row>
    <row r="182" spans="1:189" s="129" customFormat="1" ht="15" customHeight="1">
      <c r="A182" s="406"/>
      <c r="B182" s="12"/>
      <c r="C182" s="13"/>
      <c r="D182" s="76"/>
      <c r="E182" s="5"/>
      <c r="F182" s="66"/>
      <c r="G182" s="142"/>
      <c r="H182" s="255"/>
      <c r="I182" s="262"/>
      <c r="J182" s="255"/>
      <c r="L182" s="129">
        <f>17500/22</f>
        <v>795.4545454545455</v>
      </c>
    </row>
    <row r="183" spans="1:189" s="779" customFormat="1" ht="24.95" customHeight="1">
      <c r="A183" s="1905" t="e">
        <f>#REF!</f>
        <v>#REF!</v>
      </c>
      <c r="B183" s="1906"/>
      <c r="C183" s="1906"/>
      <c r="D183" s="1906"/>
      <c r="E183" s="1906"/>
      <c r="F183" s="1907"/>
      <c r="G183" s="776"/>
      <c r="H183" s="777"/>
      <c r="I183" s="778"/>
      <c r="J183" s="777"/>
    </row>
    <row r="184" spans="1:189" s="495" customFormat="1">
      <c r="A184" s="755" t="e">
        <f>#REF!</f>
        <v>#REF!</v>
      </c>
      <c r="B184" s="678" t="e">
        <f>#REF!</f>
        <v>#REF!</v>
      </c>
      <c r="C184" s="1579"/>
      <c r="D184" s="660"/>
      <c r="E184" s="633"/>
      <c r="F184" s="633"/>
      <c r="G184" s="456"/>
      <c r="H184" s="493"/>
      <c r="I184" s="494"/>
      <c r="J184" s="493"/>
    </row>
    <row r="185" spans="1:189" s="495" customFormat="1">
      <c r="A185" s="750" t="e">
        <f>#REF!</f>
        <v>#REF!</v>
      </c>
      <c r="B185" s="677" t="e">
        <f>#REF!</f>
        <v>#REF!</v>
      </c>
      <c r="C185" s="1485" t="e">
        <f>#REF!</f>
        <v>#REF!</v>
      </c>
      <c r="D185" s="1503">
        <f>J185</f>
        <v>319</v>
      </c>
      <c r="E185" s="633" t="e">
        <f>#REF!</f>
        <v>#REF!</v>
      </c>
      <c r="F185" s="633" t="e">
        <f>+D185*E185</f>
        <v>#REF!</v>
      </c>
      <c r="G185" s="456"/>
      <c r="H185" s="493">
        <f>SUM(F13:F16)/25+F12/25+5</f>
        <v>319.03999999999996</v>
      </c>
      <c r="I185" s="494">
        <v>1</v>
      </c>
      <c r="J185" s="493">
        <f>ROUND(H185*I185,0)</f>
        <v>319</v>
      </c>
    </row>
    <row r="186" spans="1:189" s="495" customFormat="1">
      <c r="A186" s="750" t="e">
        <f>#REF!</f>
        <v>#REF!</v>
      </c>
      <c r="B186" s="677" t="e">
        <f>#REF!</f>
        <v>#REF!</v>
      </c>
      <c r="C186" s="1485" t="e">
        <f>#REF!</f>
        <v>#REF!</v>
      </c>
      <c r="D186" s="633">
        <f>+J186</f>
        <v>180</v>
      </c>
      <c r="E186" s="633" t="e">
        <f>#REF!</f>
        <v>#REF!</v>
      </c>
      <c r="F186" s="633" t="e">
        <f>+D186*E186</f>
        <v>#REF!</v>
      </c>
      <c r="G186" s="456"/>
      <c r="H186" s="493">
        <f>+J8/10</f>
        <v>179.6</v>
      </c>
      <c r="I186" s="494">
        <v>1</v>
      </c>
      <c r="J186" s="493">
        <f>ROUND(H186*I186,0)</f>
        <v>180</v>
      </c>
    </row>
    <row r="187" spans="1:189" s="495" customFormat="1">
      <c r="A187" s="750" t="e">
        <f>#REF!</f>
        <v>#REF!</v>
      </c>
      <c r="B187" s="677" t="e">
        <f>#REF!</f>
        <v>#REF!</v>
      </c>
      <c r="C187" s="1485" t="e">
        <f>#REF!</f>
        <v>#REF!</v>
      </c>
      <c r="D187" s="633">
        <f>J187</f>
        <v>2694</v>
      </c>
      <c r="E187" s="633" t="e">
        <f>#REF!</f>
        <v>#REF!</v>
      </c>
      <c r="F187" s="633" t="e">
        <f>+D187*E187</f>
        <v>#REF!</v>
      </c>
      <c r="G187" s="456"/>
      <c r="H187" s="769">
        <f>F12*(1.5)</f>
        <v>2694</v>
      </c>
      <c r="I187" s="494">
        <v>1</v>
      </c>
      <c r="J187" s="493">
        <f>ROUND(H187*I187,0)</f>
        <v>2694</v>
      </c>
    </row>
    <row r="188" spans="1:189" s="495" customFormat="1">
      <c r="A188" s="751" t="e">
        <f>#REF!</f>
        <v>#REF!</v>
      </c>
      <c r="B188" s="753" t="e">
        <f>#REF!</f>
        <v>#REF!</v>
      </c>
      <c r="C188" s="1408" t="e">
        <f>#REF!</f>
        <v>#REF!</v>
      </c>
      <c r="D188" s="527"/>
      <c r="E188" s="527" t="e">
        <f>#REF!</f>
        <v>#REF!</v>
      </c>
      <c r="F188" s="527" t="e">
        <f>+D188*E188</f>
        <v>#REF!</v>
      </c>
      <c r="G188" s="456"/>
      <c r="H188" s="493"/>
      <c r="I188" s="494">
        <v>1</v>
      </c>
      <c r="J188" s="493"/>
    </row>
    <row r="189" spans="1:189" s="495" customFormat="1">
      <c r="A189" s="689" t="e">
        <f>#REF!</f>
        <v>#REF!</v>
      </c>
      <c r="B189" s="711" t="e">
        <f>#REF!</f>
        <v>#REF!</v>
      </c>
      <c r="C189" s="1559"/>
      <c r="D189" s="548"/>
      <c r="E189" s="641"/>
      <c r="F189" s="641"/>
      <c r="G189" s="456"/>
      <c r="H189" s="493"/>
      <c r="I189" s="494">
        <v>1</v>
      </c>
      <c r="J189" s="493"/>
    </row>
    <row r="190" spans="1:189" s="495" customFormat="1">
      <c r="A190" s="750" t="e">
        <f>#REF!</f>
        <v>#REF!</v>
      </c>
      <c r="B190" s="677" t="e">
        <f>#REF!</f>
        <v>#REF!</v>
      </c>
      <c r="C190" s="1485" t="e">
        <f>#REF!</f>
        <v>#REF!</v>
      </c>
      <c r="D190" s="1503">
        <f>J190</f>
        <v>20</v>
      </c>
      <c r="E190" s="633" t="e">
        <f>#REF!</f>
        <v>#REF!</v>
      </c>
      <c r="F190" s="633" t="e">
        <f>+D190*E190</f>
        <v>#REF!</v>
      </c>
      <c r="G190" s="456"/>
      <c r="H190" s="493">
        <f>10*2+F11</f>
        <v>20</v>
      </c>
      <c r="I190" s="494">
        <v>1</v>
      </c>
      <c r="J190" s="493">
        <f>ROUND(H190*I190,0)</f>
        <v>20</v>
      </c>
    </row>
    <row r="191" spans="1:189" s="495" customFormat="1">
      <c r="A191" s="750" t="e">
        <f>#REF!</f>
        <v>#REF!</v>
      </c>
      <c r="B191" s="677" t="e">
        <f>#REF!</f>
        <v>#REF!</v>
      </c>
      <c r="C191" s="1485" t="e">
        <f>#REF!</f>
        <v>#REF!</v>
      </c>
      <c r="D191" s="1503">
        <f>D190</f>
        <v>20</v>
      </c>
      <c r="E191" s="633" t="e">
        <f>#REF!</f>
        <v>#REF!</v>
      </c>
      <c r="F191" s="633" t="e">
        <f>+D191*E191</f>
        <v>#REF!</v>
      </c>
      <c r="G191" s="456"/>
      <c r="H191" s="493">
        <f>J183*2+10*4</f>
        <v>40</v>
      </c>
      <c r="I191" s="494">
        <v>1</v>
      </c>
      <c r="J191" s="493">
        <f>ROUND(H191*I191,0)</f>
        <v>40</v>
      </c>
    </row>
    <row r="192" spans="1:189" s="495" customFormat="1">
      <c r="A192" s="689" t="e">
        <f>#REF!</f>
        <v>#REF!</v>
      </c>
      <c r="B192" s="752" t="e">
        <f>#REF!</f>
        <v>#REF!</v>
      </c>
      <c r="C192" s="1580"/>
      <c r="D192" s="665"/>
      <c r="E192" s="665"/>
      <c r="F192" s="641"/>
      <c r="G192" s="456"/>
      <c r="H192" s="493"/>
      <c r="I192" s="494">
        <v>1</v>
      </c>
      <c r="J192" s="493"/>
    </row>
    <row r="193" spans="1:189" s="495" customFormat="1">
      <c r="A193" s="750" t="e">
        <f>#REF!</f>
        <v>#REF!</v>
      </c>
      <c r="B193" s="729" t="e">
        <f>#REF!</f>
        <v>#REF!</v>
      </c>
      <c r="C193" s="1558" t="e">
        <f>#REF!</f>
        <v>#REF!</v>
      </c>
      <c r="D193" s="526">
        <f>J193</f>
        <v>60</v>
      </c>
      <c r="E193" s="526" t="e">
        <f>#REF!</f>
        <v>#REF!</v>
      </c>
      <c r="F193" s="633" t="e">
        <f>+D193*E193</f>
        <v>#REF!</v>
      </c>
      <c r="G193" s="456"/>
      <c r="H193" s="493">
        <f>60</f>
        <v>60</v>
      </c>
      <c r="I193" s="494">
        <v>1</v>
      </c>
      <c r="J193" s="493">
        <f>ROUND(H193*I193,0)</f>
        <v>60</v>
      </c>
    </row>
    <row r="194" spans="1:189" s="495" customFormat="1">
      <c r="A194" s="751" t="e">
        <f>#REF!</f>
        <v>#REF!</v>
      </c>
      <c r="B194" s="708" t="e">
        <f>#REF!</f>
        <v>#REF!</v>
      </c>
      <c r="C194" s="1560" t="e">
        <f>#REF!</f>
        <v>#REF!</v>
      </c>
      <c r="D194" s="744">
        <f>J194</f>
        <v>10</v>
      </c>
      <c r="E194" s="744" t="e">
        <f>#REF!</f>
        <v>#REF!</v>
      </c>
      <c r="F194" s="527" t="e">
        <f>+D194*E194</f>
        <v>#REF!</v>
      </c>
      <c r="G194" s="456"/>
      <c r="H194" s="493">
        <v>10</v>
      </c>
      <c r="I194" s="494">
        <v>1</v>
      </c>
      <c r="J194" s="493">
        <f>ROUND(H194*I194,0)</f>
        <v>10</v>
      </c>
    </row>
    <row r="195" spans="1:189" s="495" customFormat="1">
      <c r="A195" s="755" t="e">
        <f>#REF!</f>
        <v>#REF!</v>
      </c>
      <c r="B195" s="678" t="e">
        <f>#REF!</f>
        <v>#REF!</v>
      </c>
      <c r="C195" s="668"/>
      <c r="D195" s="526"/>
      <c r="E195" s="526"/>
      <c r="F195" s="641"/>
      <c r="G195" s="456"/>
      <c r="H195" s="493"/>
      <c r="I195" s="494"/>
      <c r="J195" s="493"/>
    </row>
    <row r="196" spans="1:189" s="498" customFormat="1">
      <c r="A196" s="763"/>
      <c r="B196" s="729"/>
      <c r="C196" s="1557" t="e">
        <f>#REF!</f>
        <v>#REF!</v>
      </c>
      <c r="D196" s="744">
        <f>J196</f>
        <v>0</v>
      </c>
      <c r="E196" s="744" t="e">
        <f>#REF!</f>
        <v>#REF!</v>
      </c>
      <c r="F196" s="527" t="e">
        <f>+D196*E196</f>
        <v>#REF!</v>
      </c>
      <c r="G196" s="466"/>
      <c r="H196" s="496">
        <v>0</v>
      </c>
      <c r="I196" s="497">
        <v>1.05</v>
      </c>
      <c r="J196" s="496">
        <f>ROUND(H196*I196,0)</f>
        <v>0</v>
      </c>
    </row>
    <row r="197" spans="1:189" s="495" customFormat="1" ht="27.75" customHeight="1">
      <c r="A197" s="689" t="e">
        <f>#REF!</f>
        <v>#REF!</v>
      </c>
      <c r="B197" s="782" t="e">
        <f>#REF!</f>
        <v>#REF!</v>
      </c>
      <c r="C197" s="802"/>
      <c r="D197" s="526"/>
      <c r="E197" s="526"/>
      <c r="F197" s="641"/>
      <c r="G197" s="456"/>
      <c r="H197" s="493"/>
      <c r="I197" s="494"/>
      <c r="J197" s="493"/>
    </row>
    <row r="198" spans="1:189" s="495" customFormat="1">
      <c r="A198" s="751" t="e">
        <f>+#REF!</f>
        <v>#REF!</v>
      </c>
      <c r="B198" s="708" t="e">
        <f>+#REF!</f>
        <v>#REF!</v>
      </c>
      <c r="C198" s="1553" t="e">
        <f>#REF!</f>
        <v>#REF!</v>
      </c>
      <c r="D198" s="526">
        <f>+J198</f>
        <v>20</v>
      </c>
      <c r="E198" s="526" t="e">
        <f>+#REF!</f>
        <v>#REF!</v>
      </c>
      <c r="F198" s="633" t="e">
        <f>+D198*E198</f>
        <v>#REF!</v>
      </c>
      <c r="G198" s="456"/>
      <c r="H198" s="494">
        <v>20</v>
      </c>
      <c r="I198" s="494">
        <v>1</v>
      </c>
      <c r="J198" s="493">
        <f>H198*I198</f>
        <v>20</v>
      </c>
    </row>
    <row r="199" spans="1:189" s="495" customFormat="1" ht="30" customHeight="1">
      <c r="A199" s="755" t="e">
        <f>#REF!</f>
        <v>#REF!</v>
      </c>
      <c r="B199" s="748" t="e">
        <f>#REF!</f>
        <v>#REF!</v>
      </c>
      <c r="C199" s="1264"/>
      <c r="D199" s="807"/>
      <c r="E199" s="641"/>
      <c r="F199" s="740"/>
      <c r="G199" s="456"/>
      <c r="H199" s="494"/>
      <c r="I199" s="494"/>
      <c r="J199" s="493"/>
    </row>
    <row r="200" spans="1:189" s="495" customFormat="1">
      <c r="A200" s="751" t="e">
        <f>#REF!</f>
        <v>#REF!</v>
      </c>
      <c r="B200" s="753" t="e">
        <f>#REF!</f>
        <v>#REF!</v>
      </c>
      <c r="C200" s="1502" t="e">
        <f>#REF!</f>
        <v>#REF!</v>
      </c>
      <c r="D200" s="808">
        <f>+J200</f>
        <v>345</v>
      </c>
      <c r="E200" s="527" t="e">
        <f>+#REF!</f>
        <v>#REF!</v>
      </c>
      <c r="F200" s="741" t="e">
        <f>+D200*E200</f>
        <v>#REF!</v>
      </c>
      <c r="G200" s="456"/>
      <c r="H200" s="494">
        <f>ROUND(F17/25+F12/25,0)</f>
        <v>314</v>
      </c>
      <c r="I200" s="494">
        <v>1.1000000000000001</v>
      </c>
      <c r="J200" s="493">
        <f>ROUND(H200*I200,0)</f>
        <v>345</v>
      </c>
    </row>
    <row r="201" spans="1:189" s="495" customFormat="1" ht="18.75">
      <c r="A201" s="1278"/>
      <c r="B201" s="500"/>
      <c r="C201" s="656"/>
      <c r="D201" s="657"/>
      <c r="E201" s="658" t="s">
        <v>112</v>
      </c>
      <c r="F201" s="1122" t="e">
        <f>SUM(F184:F200)</f>
        <v>#REF!</v>
      </c>
      <c r="G201" s="456"/>
      <c r="H201" s="456"/>
      <c r="I201" s="494"/>
      <c r="J201" s="493"/>
    </row>
    <row r="202" spans="1:189" s="129" customFormat="1" ht="15" customHeight="1">
      <c r="A202" s="1277"/>
      <c r="B202" s="5"/>
      <c r="C202" s="1282"/>
      <c r="D202" s="490"/>
      <c r="E202" s="485"/>
      <c r="F202" s="487"/>
      <c r="G202" s="142"/>
      <c r="H202" s="255"/>
      <c r="I202" s="262"/>
      <c r="J202" s="255"/>
    </row>
    <row r="203" spans="1:189" s="495" customFormat="1" ht="24.95" customHeight="1">
      <c r="A203" s="1278"/>
      <c r="B203" s="500"/>
      <c r="C203" s="634"/>
      <c r="D203" s="635"/>
      <c r="E203" s="636" t="s">
        <v>486</v>
      </c>
      <c r="F203" s="1122" t="e">
        <f>+F70+F92+F128+F181+F201</f>
        <v>#REF!</v>
      </c>
      <c r="G203" s="456"/>
      <c r="H203" s="493"/>
      <c r="I203" s="456"/>
      <c r="J203" s="493"/>
    </row>
    <row r="204" spans="1:189" ht="15" customHeight="1">
      <c r="A204" s="1277"/>
      <c r="B204" s="5"/>
      <c r="C204" s="1282"/>
      <c r="D204" s="5"/>
      <c r="E204" s="5"/>
      <c r="F204" s="488"/>
    </row>
    <row r="205" spans="1:189" s="456" customFormat="1" ht="24.95" customHeight="1">
      <c r="A205" s="1279"/>
      <c r="B205" s="666"/>
      <c r="C205" s="634"/>
      <c r="D205" s="635"/>
      <c r="E205" s="636" t="s">
        <v>487</v>
      </c>
      <c r="F205" s="1122" t="e">
        <f>+F203+F42</f>
        <v>#REF!</v>
      </c>
      <c r="H205" s="493"/>
      <c r="I205" s="494"/>
      <c r="J205" s="493"/>
      <c r="K205" s="495"/>
      <c r="L205" s="495"/>
      <c r="M205" s="495"/>
      <c r="N205" s="495"/>
      <c r="O205" s="495"/>
      <c r="P205" s="495"/>
      <c r="Q205" s="495"/>
      <c r="R205" s="495"/>
      <c r="S205" s="495"/>
      <c r="T205" s="495"/>
      <c r="U205" s="495"/>
      <c r="V205" s="495"/>
      <c r="W205" s="495"/>
      <c r="X205" s="495"/>
      <c r="Y205" s="495"/>
      <c r="Z205" s="495"/>
      <c r="AA205" s="495"/>
      <c r="AB205" s="495"/>
      <c r="AC205" s="495"/>
      <c r="AD205" s="495"/>
      <c r="AE205" s="495"/>
      <c r="AF205" s="495"/>
      <c r="AG205" s="495"/>
      <c r="AH205" s="495"/>
      <c r="AI205" s="495"/>
      <c r="AJ205" s="495"/>
      <c r="AK205" s="495"/>
      <c r="AL205" s="495"/>
      <c r="AM205" s="495"/>
      <c r="AN205" s="495"/>
      <c r="AO205" s="495"/>
      <c r="AP205" s="495"/>
      <c r="AQ205" s="495"/>
      <c r="AR205" s="495"/>
      <c r="AS205" s="495"/>
      <c r="AT205" s="495"/>
      <c r="AU205" s="495"/>
      <c r="AV205" s="495"/>
      <c r="AW205" s="495"/>
      <c r="AX205" s="495"/>
      <c r="AY205" s="495"/>
      <c r="AZ205" s="495"/>
      <c r="BA205" s="495"/>
      <c r="BB205" s="495"/>
      <c r="BC205" s="495"/>
      <c r="BD205" s="495"/>
      <c r="BE205" s="495"/>
      <c r="BF205" s="495"/>
      <c r="BG205" s="495"/>
      <c r="BH205" s="495"/>
      <c r="BI205" s="495"/>
      <c r="BJ205" s="495"/>
      <c r="BK205" s="495"/>
      <c r="BL205" s="495"/>
      <c r="BM205" s="495"/>
      <c r="BN205" s="495"/>
      <c r="BO205" s="495"/>
      <c r="BP205" s="495"/>
      <c r="BQ205" s="495"/>
      <c r="BR205" s="495"/>
      <c r="BS205" s="495"/>
      <c r="BT205" s="495"/>
      <c r="BU205" s="495"/>
      <c r="BV205" s="495"/>
      <c r="BW205" s="495"/>
      <c r="BX205" s="495"/>
      <c r="BY205" s="495"/>
      <c r="BZ205" s="495"/>
      <c r="CA205" s="495"/>
      <c r="CB205" s="495"/>
      <c r="CC205" s="495"/>
      <c r="CD205" s="495"/>
      <c r="CE205" s="495"/>
      <c r="CF205" s="495"/>
      <c r="CG205" s="495"/>
      <c r="CH205" s="495"/>
      <c r="CI205" s="495"/>
      <c r="CJ205" s="495"/>
      <c r="CK205" s="495"/>
      <c r="CL205" s="495"/>
      <c r="CM205" s="495"/>
      <c r="CN205" s="495"/>
      <c r="CO205" s="495"/>
      <c r="CP205" s="495"/>
      <c r="CQ205" s="495"/>
      <c r="CR205" s="495"/>
      <c r="CS205" s="495"/>
      <c r="CT205" s="495"/>
      <c r="CU205" s="495"/>
      <c r="CV205" s="495"/>
      <c r="CW205" s="495"/>
      <c r="CX205" s="495"/>
      <c r="CY205" s="495"/>
      <c r="CZ205" s="495"/>
      <c r="DA205" s="495"/>
      <c r="DB205" s="495"/>
      <c r="DC205" s="495"/>
      <c r="DD205" s="495"/>
      <c r="DE205" s="495"/>
      <c r="DF205" s="495"/>
      <c r="DG205" s="495"/>
      <c r="DH205" s="495"/>
      <c r="DI205" s="495"/>
      <c r="DJ205" s="495"/>
      <c r="DK205" s="495"/>
      <c r="DL205" s="495"/>
      <c r="DM205" s="495"/>
      <c r="DN205" s="495"/>
      <c r="DO205" s="495"/>
      <c r="DP205" s="495"/>
      <c r="DQ205" s="495"/>
      <c r="DR205" s="495"/>
      <c r="DS205" s="495"/>
      <c r="DT205" s="495"/>
      <c r="DU205" s="495"/>
      <c r="DV205" s="495"/>
      <c r="DW205" s="495"/>
      <c r="DX205" s="495"/>
      <c r="DY205" s="495"/>
      <c r="DZ205" s="495"/>
      <c r="EA205" s="495"/>
      <c r="EB205" s="495"/>
      <c r="EC205" s="495"/>
      <c r="ED205" s="495"/>
      <c r="EE205" s="495"/>
      <c r="EF205" s="495"/>
      <c r="EG205" s="495"/>
      <c r="EH205" s="495"/>
      <c r="EI205" s="495"/>
      <c r="EJ205" s="495"/>
      <c r="EK205" s="495"/>
      <c r="EL205" s="495"/>
      <c r="EM205" s="495"/>
      <c r="EN205" s="495"/>
      <c r="EO205" s="495"/>
      <c r="EP205" s="495"/>
      <c r="EQ205" s="495"/>
      <c r="ER205" s="495"/>
      <c r="ES205" s="495"/>
      <c r="ET205" s="495"/>
      <c r="EU205" s="495"/>
      <c r="EV205" s="495"/>
      <c r="EW205" s="495"/>
      <c r="EX205" s="495"/>
      <c r="EY205" s="495"/>
      <c r="EZ205" s="495"/>
      <c r="FA205" s="495"/>
      <c r="FB205" s="495"/>
      <c r="FC205" s="495"/>
      <c r="FD205" s="495"/>
      <c r="FE205" s="495"/>
      <c r="FF205" s="495"/>
      <c r="FG205" s="495"/>
      <c r="FH205" s="495"/>
      <c r="FI205" s="495"/>
      <c r="FJ205" s="495"/>
      <c r="FK205" s="495"/>
      <c r="FL205" s="495"/>
      <c r="FM205" s="495"/>
      <c r="FN205" s="495"/>
      <c r="FO205" s="495"/>
      <c r="FP205" s="495"/>
      <c r="FQ205" s="495"/>
      <c r="FR205" s="495"/>
      <c r="FS205" s="495"/>
      <c r="FT205" s="495"/>
      <c r="FU205" s="495"/>
      <c r="FV205" s="495"/>
      <c r="FW205" s="495"/>
      <c r="FX205" s="495"/>
      <c r="FY205" s="495"/>
      <c r="FZ205" s="495"/>
      <c r="GA205" s="495"/>
      <c r="GB205" s="495"/>
      <c r="GC205" s="495"/>
      <c r="GD205" s="495"/>
      <c r="GE205" s="495"/>
      <c r="GF205" s="495"/>
      <c r="GG205" s="495"/>
    </row>
    <row r="216" spans="1:6" ht="19.5">
      <c r="A216" s="434"/>
      <c r="D216" s="62"/>
      <c r="E216" s="62"/>
      <c r="F216" s="99"/>
    </row>
    <row r="217" spans="1:6" ht="26.25">
      <c r="B217" s="1859"/>
      <c r="C217" s="1859"/>
      <c r="D217" s="1859"/>
      <c r="E217" s="1859"/>
      <c r="F217" s="1859"/>
    </row>
  </sheetData>
  <mergeCells count="10">
    <mergeCell ref="A2:F2"/>
    <mergeCell ref="B217:F217"/>
    <mergeCell ref="A1:F1"/>
    <mergeCell ref="A72:F72"/>
    <mergeCell ref="A44:F44"/>
    <mergeCell ref="A27:F27"/>
    <mergeCell ref="A20:F20"/>
    <mergeCell ref="A94:F94"/>
    <mergeCell ref="A130:F130"/>
    <mergeCell ref="A183:F183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  <rowBreaks count="3" manualBreakCount="3">
    <brk id="85" max="5" man="1"/>
    <brk id="149" max="6" man="1"/>
    <brk id="181" max="5" man="1"/>
  </rowBreaks>
  <colBreaks count="1" manualBreakCount="1">
    <brk id="6" max="1048575" man="1"/>
  </colBreaks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H15"/>
  <sheetViews>
    <sheetView view="pageBreakPreview" zoomScaleNormal="100" zoomScaleSheetLayoutView="100" workbookViewId="0">
      <selection activeCell="F177" sqref="F177"/>
    </sheetView>
  </sheetViews>
  <sheetFormatPr baseColWidth="10" defaultColWidth="9.140625" defaultRowHeight="15"/>
  <cols>
    <col min="1" max="1" width="37.140625" style="142" customWidth="1"/>
    <col min="2" max="2" width="28.42578125" style="142" customWidth="1"/>
    <col min="3" max="3" width="29.28515625" style="142" customWidth="1"/>
    <col min="4" max="4" width="35.28515625" style="142" customWidth="1"/>
    <col min="5" max="5" width="9.140625" style="142"/>
    <col min="6" max="6" width="13.7109375" style="142" bestFit="1" customWidth="1"/>
    <col min="7" max="7" width="34.85546875" style="142" customWidth="1"/>
    <col min="8" max="8" width="33.7109375" style="142" customWidth="1"/>
    <col min="9" max="16384" width="9.140625" style="142"/>
  </cols>
  <sheetData>
    <row r="1" spans="1:8" ht="20.25" thickBot="1">
      <c r="A1" s="1908"/>
      <c r="B1" s="1908"/>
      <c r="C1" s="1908"/>
    </row>
    <row r="2" spans="1:8" ht="15.75" thickBot="1">
      <c r="A2" s="1471"/>
      <c r="B2" s="1472"/>
      <c r="C2" s="1473"/>
    </row>
    <row r="3" spans="1:8" ht="19.5" thickBot="1">
      <c r="A3" s="365" t="s">
        <v>217</v>
      </c>
      <c r="B3" s="366" t="s">
        <v>291</v>
      </c>
      <c r="C3" s="366" t="s">
        <v>232</v>
      </c>
      <c r="D3" s="100"/>
    </row>
    <row r="4" spans="1:8" ht="15.75" thickBot="1">
      <c r="A4" s="245"/>
      <c r="B4" s="367" t="s">
        <v>340</v>
      </c>
      <c r="C4" s="367" t="s">
        <v>295</v>
      </c>
    </row>
    <row r="5" spans="1:8" s="516" customFormat="1" ht="21.95" customHeight="1">
      <c r="A5" s="1463" t="s">
        <v>730</v>
      </c>
      <c r="B5" s="1464" t="e">
        <f>+L_Amazone!F153</f>
        <v>#REF!</v>
      </c>
      <c r="C5" s="1465" t="e">
        <f t="shared" ref="C5:C8" si="0">B5/656</f>
        <v>#REF!</v>
      </c>
      <c r="D5" s="1466"/>
      <c r="H5" s="516">
        <v>10877533374</v>
      </c>
    </row>
    <row r="6" spans="1:8" s="516" customFormat="1" ht="21.95" customHeight="1">
      <c r="A6" s="1463" t="s">
        <v>731</v>
      </c>
      <c r="B6" s="1464" t="e">
        <f>+M_Amazone!F168</f>
        <v>#REF!</v>
      </c>
      <c r="C6" s="1465" t="e">
        <f t="shared" si="0"/>
        <v>#REF!</v>
      </c>
      <c r="D6" s="1466"/>
      <c r="H6" s="516">
        <v>7071566017</v>
      </c>
    </row>
    <row r="7" spans="1:8" s="516" customFormat="1" ht="21.95" customHeight="1" thickBot="1">
      <c r="A7" s="1463"/>
      <c r="B7" s="1464"/>
      <c r="C7" s="1465"/>
      <c r="D7" s="1466"/>
    </row>
    <row r="8" spans="1:8" s="516" customFormat="1" ht="19.5" customHeight="1" thickBot="1">
      <c r="A8" s="1467" t="s">
        <v>291</v>
      </c>
      <c r="B8" s="332" t="e">
        <f>SUM(B5:B7)</f>
        <v>#REF!</v>
      </c>
      <c r="C8" s="333" t="e">
        <f t="shared" si="0"/>
        <v>#REF!</v>
      </c>
    </row>
    <row r="9" spans="1:8" s="516" customFormat="1" ht="32.25" customHeight="1" thickBot="1">
      <c r="A9" s="1468" t="s">
        <v>343</v>
      </c>
      <c r="B9" s="105" t="e">
        <f>B8</f>
        <v>#REF!</v>
      </c>
      <c r="C9" s="267" t="e">
        <f>B9/656</f>
        <v>#REF!</v>
      </c>
      <c r="D9" s="1466"/>
    </row>
    <row r="10" spans="1:8" ht="37.5" customHeight="1" thickBot="1">
      <c r="A10" s="1909" t="s">
        <v>732</v>
      </c>
      <c r="B10" s="1910"/>
      <c r="C10" s="1911"/>
    </row>
    <row r="11" spans="1:8">
      <c r="A11" s="1470"/>
      <c r="B11" s="255"/>
      <c r="C11" s="334"/>
      <c r="G11" s="334"/>
    </row>
    <row r="14" spans="1:8">
      <c r="C14" s="334"/>
    </row>
    <row r="15" spans="1:8">
      <c r="G15" s="334"/>
    </row>
  </sheetData>
  <mergeCells count="2">
    <mergeCell ref="A1:C1"/>
    <mergeCell ref="A10:C10"/>
  </mergeCells>
  <pageMargins left="0.98425196850393704" right="0.9055118110236221" top="0.94488188976377963" bottom="0.94488188976377963" header="0.31496062992125984" footer="0.31496062992125984"/>
  <pageSetup paperSize="9" scale="71" orientation="portrait" r:id="rId1"/>
  <headerFooter>
    <oddHeader>Page &amp;P de &amp;N</oddHeader>
    <oddFooter>&amp;A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FFFF00"/>
  </sheetPr>
  <dimension ref="A1:GG178"/>
  <sheetViews>
    <sheetView zoomScale="80" zoomScaleNormal="80" workbookViewId="0">
      <selection activeCell="F177" sqref="F177"/>
    </sheetView>
  </sheetViews>
  <sheetFormatPr baseColWidth="10" defaultColWidth="9.140625" defaultRowHeight="15"/>
  <cols>
    <col min="1" max="1" width="12.85546875" style="1108" customWidth="1"/>
    <col min="2" max="2" width="90.140625" style="114" customWidth="1"/>
    <col min="3" max="3" width="12.28515625" style="1057" customWidth="1"/>
    <col min="4" max="4" width="15.5703125" style="940" customWidth="1"/>
    <col min="5" max="5" width="20.7109375" style="257" customWidth="1"/>
    <col min="6" max="6" width="25" style="257" customWidth="1"/>
    <col min="7" max="7" width="13.42578125" style="255" customWidth="1"/>
    <col min="8" max="8" width="16" style="255" bestFit="1" customWidth="1"/>
    <col min="9" max="9" width="15" style="262" bestFit="1" customWidth="1"/>
    <col min="10" max="10" width="16" style="255" bestFit="1" customWidth="1"/>
    <col min="11" max="11" width="9.140625" style="129"/>
    <col min="12" max="12" width="9.28515625" style="129" bestFit="1" customWidth="1"/>
    <col min="13" max="189" width="9.140625" style="129"/>
    <col min="190" max="16384" width="9.140625" style="142"/>
  </cols>
  <sheetData>
    <row r="1" spans="1:21" ht="20.25" thickBot="1">
      <c r="A1" s="1912" t="e">
        <f>+#REF!</f>
        <v>#REF!</v>
      </c>
      <c r="B1" s="1913"/>
      <c r="C1" s="1913"/>
      <c r="D1" s="1913"/>
      <c r="E1" s="1913"/>
      <c r="F1" s="1914"/>
      <c r="K1" s="255"/>
      <c r="L1" s="262"/>
      <c r="M1" s="255"/>
      <c r="N1" s="255"/>
      <c r="O1" s="262"/>
      <c r="P1" s="255"/>
      <c r="Q1" s="255"/>
      <c r="R1" s="262"/>
      <c r="S1" s="255"/>
      <c r="T1" s="255"/>
      <c r="U1" s="262"/>
    </row>
    <row r="2" spans="1:21" ht="25.5" thickBot="1">
      <c r="A2" s="1856" t="s">
        <v>668</v>
      </c>
      <c r="B2" s="1857"/>
      <c r="C2" s="1857"/>
      <c r="D2" s="1857"/>
      <c r="E2" s="1857"/>
      <c r="F2" s="1858"/>
      <c r="G2" s="471"/>
      <c r="K2" s="255"/>
      <c r="L2" s="262"/>
      <c r="M2" s="255"/>
      <c r="N2" s="255"/>
      <c r="O2" s="262"/>
      <c r="P2" s="255"/>
      <c r="Q2" s="255"/>
      <c r="R2" s="262"/>
      <c r="S2" s="255"/>
      <c r="T2" s="255"/>
      <c r="U2" s="262"/>
    </row>
    <row r="3" spans="1:21" s="129" customFormat="1" ht="15.75">
      <c r="A3" s="1105"/>
      <c r="B3" s="176"/>
      <c r="C3" s="1060"/>
      <c r="D3" s="1060"/>
      <c r="E3" s="1061" t="s">
        <v>711</v>
      </c>
      <c r="F3" s="1062">
        <f>(1575-525)*0</f>
        <v>0</v>
      </c>
      <c r="G3" s="255"/>
      <c r="H3" s="255" t="s">
        <v>599</v>
      </c>
      <c r="I3" s="262">
        <f>+F3+F4+F5+F6+F7</f>
        <v>667</v>
      </c>
      <c r="J3" s="255"/>
      <c r="K3" s="255"/>
      <c r="L3" s="262"/>
      <c r="M3" s="255"/>
      <c r="N3" s="255"/>
      <c r="O3" s="262"/>
      <c r="P3" s="255"/>
      <c r="Q3" s="255"/>
      <c r="R3" s="262"/>
      <c r="S3" s="255"/>
      <c r="T3" s="255"/>
      <c r="U3" s="262"/>
    </row>
    <row r="4" spans="1:21" s="129" customFormat="1" ht="15.75">
      <c r="A4" s="1105"/>
      <c r="B4" s="176"/>
      <c r="C4" s="1060"/>
      <c r="D4" s="1060"/>
      <c r="E4" s="1061" t="s">
        <v>712</v>
      </c>
      <c r="F4" s="1062">
        <f>(1825-1575)*0</f>
        <v>0</v>
      </c>
      <c r="G4" s="255"/>
      <c r="H4" s="255"/>
      <c r="I4" s="262"/>
      <c r="J4" s="255"/>
      <c r="K4" s="255"/>
      <c r="L4" s="262"/>
      <c r="M4" s="255"/>
      <c r="N4" s="255"/>
      <c r="O4" s="262"/>
      <c r="P4" s="255"/>
      <c r="Q4" s="255"/>
      <c r="R4" s="262"/>
      <c r="S4" s="255"/>
      <c r="T4" s="255"/>
      <c r="U4" s="262"/>
    </row>
    <row r="5" spans="1:21" s="129" customFormat="1" ht="15.75">
      <c r="A5" s="1105"/>
      <c r="B5" s="176"/>
      <c r="C5" s="1060"/>
      <c r="D5" s="1060"/>
      <c r="E5" s="1061" t="s">
        <v>713</v>
      </c>
      <c r="F5" s="1062">
        <f>2340-1825</f>
        <v>515</v>
      </c>
      <c r="G5" s="255"/>
      <c r="H5" s="255"/>
      <c r="I5" s="262"/>
      <c r="J5" s="255"/>
      <c r="K5" s="255"/>
      <c r="L5" s="262"/>
      <c r="M5" s="255"/>
      <c r="N5" s="255"/>
      <c r="O5" s="262"/>
      <c r="P5" s="255"/>
      <c r="Q5" s="255"/>
      <c r="R5" s="262"/>
      <c r="S5" s="255"/>
      <c r="T5" s="255"/>
      <c r="U5" s="262"/>
    </row>
    <row r="6" spans="1:21" s="129" customFormat="1" ht="15.95" customHeight="1">
      <c r="A6" s="1105"/>
      <c r="B6" s="176"/>
      <c r="C6" s="1060"/>
      <c r="D6" s="1060"/>
      <c r="E6" s="1061" t="s">
        <v>329</v>
      </c>
      <c r="F6" s="1062">
        <f>(640*0+20*10)*0</f>
        <v>0</v>
      </c>
      <c r="G6" s="255" t="s">
        <v>328</v>
      </c>
      <c r="H6" s="255"/>
      <c r="I6" s="262" t="s">
        <v>496</v>
      </c>
      <c r="J6" s="255"/>
      <c r="K6" s="255">
        <v>650</v>
      </c>
      <c r="L6" s="262"/>
      <c r="M6" s="255"/>
      <c r="N6" s="255"/>
      <c r="O6" s="262"/>
      <c r="P6" s="255"/>
      <c r="Q6" s="255"/>
      <c r="R6" s="262"/>
      <c r="S6" s="255"/>
      <c r="T6" s="255"/>
      <c r="U6" s="262"/>
    </row>
    <row r="7" spans="1:21" s="129" customFormat="1" ht="15.75">
      <c r="A7" s="1105"/>
      <c r="B7" s="176"/>
      <c r="C7" s="1060"/>
      <c r="D7" s="1060"/>
      <c r="E7" s="1061" t="s">
        <v>333</v>
      </c>
      <c r="F7" s="1062">
        <f>(38*20)*0.2</f>
        <v>152</v>
      </c>
      <c r="G7" s="255" t="s">
        <v>497</v>
      </c>
      <c r="H7" s="255"/>
      <c r="I7" s="262">
        <f>840/30</f>
        <v>28</v>
      </c>
      <c r="J7" s="255"/>
      <c r="K7" s="255"/>
      <c r="L7" s="262"/>
      <c r="M7" s="255"/>
      <c r="N7" s="255"/>
      <c r="O7" s="262"/>
      <c r="P7" s="255"/>
      <c r="Q7" s="255"/>
      <c r="R7" s="262"/>
      <c r="S7" s="255"/>
      <c r="T7" s="255"/>
      <c r="U7" s="262"/>
    </row>
    <row r="8" spans="1:21" s="129" customFormat="1" ht="15.75" hidden="1">
      <c r="A8" s="1105"/>
      <c r="B8" s="176"/>
      <c r="C8" s="1060"/>
      <c r="D8" s="1060"/>
      <c r="E8" s="1061" t="s">
        <v>517</v>
      </c>
      <c r="F8" s="1062"/>
      <c r="G8" s="255"/>
      <c r="H8" s="255"/>
      <c r="I8" s="262" t="s">
        <v>393</v>
      </c>
      <c r="J8" s="255"/>
      <c r="K8" s="255"/>
      <c r="L8" s="262" t="s">
        <v>665</v>
      </c>
      <c r="M8" s="255" t="s">
        <v>664</v>
      </c>
      <c r="N8" s="255"/>
      <c r="O8" s="262" t="s">
        <v>666</v>
      </c>
      <c r="P8" s="255"/>
      <c r="Q8" s="255"/>
      <c r="R8" s="262"/>
      <c r="S8" s="255"/>
      <c r="T8" s="255"/>
      <c r="U8" s="262"/>
    </row>
    <row r="9" spans="1:21" s="129" customFormat="1" ht="15.75">
      <c r="A9" s="1105"/>
      <c r="B9" s="176"/>
      <c r="C9" s="1060"/>
      <c r="D9" s="1060"/>
      <c r="E9" s="1061" t="s">
        <v>518</v>
      </c>
      <c r="F9" s="1062">
        <f>670*0</f>
        <v>0</v>
      </c>
      <c r="G9" s="255" t="s">
        <v>328</v>
      </c>
      <c r="H9" s="255"/>
      <c r="I9" s="262">
        <v>20</v>
      </c>
      <c r="J9" s="255"/>
      <c r="K9" s="255"/>
      <c r="L9" s="262">
        <v>11</v>
      </c>
      <c r="M9" s="255">
        <f>+F9*L9</f>
        <v>0</v>
      </c>
      <c r="N9" s="255"/>
      <c r="O9" s="262">
        <v>3</v>
      </c>
      <c r="P9" s="255">
        <f>+F9*O9*2</f>
        <v>0</v>
      </c>
      <c r="Q9" s="255"/>
      <c r="R9" s="262"/>
      <c r="S9" s="255"/>
      <c r="T9" s="255"/>
      <c r="U9" s="262"/>
    </row>
    <row r="10" spans="1:21" s="129" customFormat="1" ht="15.75">
      <c r="A10" s="1105"/>
      <c r="B10" s="176"/>
      <c r="C10" s="1060"/>
      <c r="D10" s="1060"/>
      <c r="E10" s="1061" t="s">
        <v>519</v>
      </c>
      <c r="F10" s="1062">
        <f>411*0</f>
        <v>0</v>
      </c>
      <c r="G10" s="255"/>
      <c r="H10" s="255"/>
      <c r="I10" s="262">
        <v>20</v>
      </c>
      <c r="J10" s="255"/>
      <c r="K10" s="255"/>
      <c r="L10" s="262">
        <v>11</v>
      </c>
      <c r="M10" s="255">
        <f t="shared" ref="M10" si="0">+F10*L10</f>
        <v>0</v>
      </c>
      <c r="N10" s="255"/>
      <c r="O10" s="262">
        <v>3</v>
      </c>
      <c r="P10" s="255">
        <f t="shared" ref="P10:P12" si="1">+F10*O10*2</f>
        <v>0</v>
      </c>
      <c r="Q10" s="255"/>
      <c r="R10" s="262"/>
      <c r="S10" s="255"/>
      <c r="T10" s="255"/>
      <c r="U10" s="262"/>
    </row>
    <row r="11" spans="1:21" s="129" customFormat="1" ht="15.75">
      <c r="A11" s="1105"/>
      <c r="B11" s="176"/>
      <c r="C11" s="1060"/>
      <c r="D11" s="1060"/>
      <c r="E11" s="1061" t="s">
        <v>662</v>
      </c>
      <c r="F11" s="1062">
        <f>800*0</f>
        <v>0</v>
      </c>
      <c r="G11" s="255"/>
      <c r="H11" s="255"/>
      <c r="I11" s="262">
        <v>15</v>
      </c>
      <c r="J11" s="255"/>
      <c r="K11" s="255"/>
      <c r="L11" s="262">
        <v>9</v>
      </c>
      <c r="M11" s="255">
        <f>+F11*L11</f>
        <v>0</v>
      </c>
      <c r="N11" s="255"/>
      <c r="O11" s="262">
        <v>2</v>
      </c>
      <c r="P11" s="255">
        <f t="shared" si="1"/>
        <v>0</v>
      </c>
      <c r="Q11" s="255"/>
      <c r="R11" s="262"/>
      <c r="S11" s="255"/>
      <c r="T11" s="255"/>
      <c r="U11" s="262"/>
    </row>
    <row r="12" spans="1:21" s="129" customFormat="1" ht="15.75">
      <c r="A12" s="1105"/>
      <c r="B12" s="176"/>
      <c r="C12" s="1060"/>
      <c r="D12" s="1060"/>
      <c r="E12" s="1061" t="s">
        <v>663</v>
      </c>
      <c r="F12" s="1062">
        <f>+(2340-2000)</f>
        <v>340</v>
      </c>
      <c r="G12" s="255"/>
      <c r="H12" s="255"/>
      <c r="I12" s="262">
        <v>15</v>
      </c>
      <c r="J12" s="255"/>
      <c r="K12" s="255"/>
      <c r="L12" s="262">
        <v>11</v>
      </c>
      <c r="M12" s="255"/>
      <c r="N12" s="255">
        <f>+F12*L12</f>
        <v>3740</v>
      </c>
      <c r="O12" s="262">
        <v>0</v>
      </c>
      <c r="P12" s="255">
        <f t="shared" si="1"/>
        <v>0</v>
      </c>
      <c r="Q12" s="255"/>
      <c r="R12" s="262"/>
      <c r="S12" s="255"/>
      <c r="T12" s="255"/>
      <c r="U12" s="262"/>
    </row>
    <row r="13" spans="1:21" s="129" customFormat="1" ht="15.75">
      <c r="A13" s="1105"/>
      <c r="B13" s="176"/>
      <c r="C13" s="1060"/>
      <c r="D13" s="1061"/>
      <c r="E13" s="1061" t="s">
        <v>309</v>
      </c>
      <c r="F13" s="1062">
        <f>SUM(F9:F12)</f>
        <v>340</v>
      </c>
      <c r="G13" s="255"/>
      <c r="H13" s="255"/>
      <c r="I13" s="262"/>
      <c r="J13" s="255"/>
      <c r="K13" s="255">
        <f>877*25/10</f>
        <v>2192.5</v>
      </c>
      <c r="L13" s="262"/>
      <c r="M13" s="255">
        <f>SUM(M9:M12)</f>
        <v>0</v>
      </c>
      <c r="N13" s="255">
        <f>SUM(N12)</f>
        <v>3740</v>
      </c>
      <c r="O13" s="262"/>
      <c r="P13" s="255">
        <f>SUM(P9:P12)</f>
        <v>0</v>
      </c>
      <c r="Q13" s="255"/>
      <c r="R13" s="262"/>
      <c r="S13" s="255"/>
      <c r="T13" s="255"/>
      <c r="U13" s="262"/>
    </row>
    <row r="14" spans="1:21" s="495" customFormat="1" ht="24.95" customHeight="1">
      <c r="A14" s="1581" t="s">
        <v>661</v>
      </c>
      <c r="B14" s="1402" t="s">
        <v>584</v>
      </c>
      <c r="C14" s="1402" t="s">
        <v>98</v>
      </c>
      <c r="D14" s="1402" t="s">
        <v>99</v>
      </c>
      <c r="E14" s="1569" t="s">
        <v>100</v>
      </c>
      <c r="F14" s="1569" t="s">
        <v>114</v>
      </c>
      <c r="G14" s="493"/>
      <c r="H14" s="493"/>
      <c r="I14" s="494"/>
      <c r="J14" s="493"/>
      <c r="K14" s="493"/>
      <c r="L14" s="494"/>
      <c r="M14" s="493">
        <f>+M13+(10*20*20)*0</f>
        <v>0</v>
      </c>
      <c r="N14" s="493">
        <f>+N13</f>
        <v>3740</v>
      </c>
      <c r="O14" s="494"/>
      <c r="P14" s="493"/>
      <c r="Q14" s="493"/>
      <c r="R14" s="494"/>
      <c r="S14" s="493"/>
      <c r="T14" s="493"/>
      <c r="U14" s="494"/>
    </row>
    <row r="15" spans="1:21" s="495" customFormat="1" ht="24.95" customHeight="1">
      <c r="A15" s="1919" t="e">
        <f>+#REF!</f>
        <v>#REF!</v>
      </c>
      <c r="B15" s="1920"/>
      <c r="C15" s="1920"/>
      <c r="D15" s="1920"/>
      <c r="E15" s="1920"/>
      <c r="F15" s="1921"/>
      <c r="G15" s="493"/>
      <c r="H15" s="493"/>
      <c r="I15" s="494"/>
      <c r="J15" s="493"/>
      <c r="K15" s="493"/>
      <c r="L15" s="494"/>
      <c r="M15" s="493"/>
      <c r="N15" s="493"/>
      <c r="O15" s="494"/>
      <c r="P15" s="493"/>
      <c r="Q15" s="493"/>
      <c r="R15" s="494"/>
      <c r="S15" s="493"/>
      <c r="T15" s="493"/>
      <c r="U15" s="494"/>
    </row>
    <row r="16" spans="1:21" s="1257" customFormat="1" ht="30" customHeight="1">
      <c r="A16" s="745" t="e">
        <f>+#REF!</f>
        <v>#REF!</v>
      </c>
      <c r="B16" s="1448" t="e">
        <f>+#REF!</f>
        <v>#REF!</v>
      </c>
      <c r="C16" s="1260"/>
      <c r="D16" s="1260"/>
      <c r="E16" s="1593"/>
      <c r="F16" s="1260"/>
      <c r="G16" s="1254"/>
      <c r="H16" s="1255" t="e">
        <f>10%*F151</f>
        <v>#REF!</v>
      </c>
      <c r="I16" s="1256">
        <v>1</v>
      </c>
      <c r="J16" s="1254" t="e">
        <f>H16*I16</f>
        <v>#REF!</v>
      </c>
      <c r="K16" s="1254"/>
      <c r="L16" s="1256"/>
      <c r="M16" s="1254"/>
      <c r="N16" s="1254"/>
      <c r="O16" s="1256"/>
      <c r="P16" s="1254"/>
      <c r="Q16" s="1254"/>
      <c r="R16" s="1256"/>
      <c r="S16" s="1254"/>
      <c r="T16" s="1254"/>
      <c r="U16" s="1256"/>
    </row>
    <row r="17" spans="1:38" s="1257" customFormat="1">
      <c r="A17" s="1582"/>
      <c r="B17" s="1583"/>
      <c r="C17" s="714" t="e">
        <f>#REF!</f>
        <v>#REF!</v>
      </c>
      <c r="D17" s="714">
        <v>1</v>
      </c>
      <c r="E17" s="1261" t="e">
        <f>J16</f>
        <v>#REF!</v>
      </c>
      <c r="F17" s="1261" t="e">
        <f>+D17*E17</f>
        <v>#REF!</v>
      </c>
      <c r="G17" s="1254"/>
      <c r="H17" s="1254"/>
      <c r="I17" s="1256"/>
      <c r="J17" s="1254"/>
    </row>
    <row r="18" spans="1:38" s="1257" customFormat="1">
      <c r="A18" s="745" t="e">
        <f>+#REF!</f>
        <v>#REF!</v>
      </c>
      <c r="B18" s="830" t="e">
        <f>+#REF!</f>
        <v>#REF!</v>
      </c>
      <c r="C18" s="543"/>
      <c r="D18" s="543"/>
      <c r="E18" s="1260"/>
      <c r="F18" s="1260"/>
      <c r="G18" s="1254"/>
      <c r="H18" s="1254">
        <f>F13</f>
        <v>340</v>
      </c>
      <c r="I18" s="1256">
        <v>1.1000000000000001</v>
      </c>
      <c r="J18" s="1254">
        <f>H18*I18</f>
        <v>374.00000000000006</v>
      </c>
    </row>
    <row r="19" spans="1:38" s="1257" customFormat="1">
      <c r="A19" s="639"/>
      <c r="B19" s="681"/>
      <c r="C19" s="714" t="e">
        <f>#REF!</f>
        <v>#REF!</v>
      </c>
      <c r="D19" s="714">
        <v>1</v>
      </c>
      <c r="E19" s="1261" t="e">
        <f>+H19</f>
        <v>#REF!</v>
      </c>
      <c r="F19" s="1261" t="e">
        <f>+D19*E19</f>
        <v>#REF!</v>
      </c>
      <c r="G19" s="1254">
        <v>0.2</v>
      </c>
      <c r="H19" s="1254" t="e">
        <f>+H16*G19</f>
        <v>#REF!</v>
      </c>
      <c r="I19" s="1256"/>
      <c r="J19" s="1254"/>
    </row>
    <row r="20" spans="1:38" s="1257" customFormat="1" ht="18.75">
      <c r="A20" s="1512"/>
      <c r="B20" s="688"/>
      <c r="C20" s="1605"/>
      <c r="D20" s="1606"/>
      <c r="E20" s="1404" t="s">
        <v>108</v>
      </c>
      <c r="F20" s="1406" t="e">
        <f>SUM(F17:F19)</f>
        <v>#REF!</v>
      </c>
      <c r="G20" s="1254"/>
      <c r="H20" s="1254"/>
      <c r="I20" s="1256"/>
      <c r="J20" s="1254"/>
    </row>
    <row r="21" spans="1:38" s="129" customFormat="1">
      <c r="A21" s="1589"/>
      <c r="B21" s="1590"/>
      <c r="C21" s="1114"/>
      <c r="D21" s="1114"/>
      <c r="E21" s="1594"/>
      <c r="F21" s="1594"/>
      <c r="G21" s="255"/>
      <c r="H21" s="255" t="e">
        <f>+F151</f>
        <v>#REF!</v>
      </c>
      <c r="I21" s="262"/>
      <c r="J21" s="255"/>
    </row>
    <row r="22" spans="1:38" s="129" customFormat="1" ht="24.95" customHeight="1">
      <c r="A22" s="1919" t="e">
        <f>+#REF!</f>
        <v>#REF!</v>
      </c>
      <c r="B22" s="1920"/>
      <c r="C22" s="1920"/>
      <c r="D22" s="1920"/>
      <c r="E22" s="1920"/>
      <c r="F22" s="1921"/>
      <c r="G22" s="255"/>
      <c r="H22" s="255"/>
      <c r="I22" s="262"/>
      <c r="J22" s="255"/>
      <c r="N22" s="129">
        <f>1.7*3</f>
        <v>5.0999999999999996</v>
      </c>
      <c r="AL22" s="129">
        <v>250</v>
      </c>
    </row>
    <row r="23" spans="1:38" s="495" customFormat="1">
      <c r="A23" s="745" t="e">
        <f>+#REF!</f>
        <v>#REF!</v>
      </c>
      <c r="B23" s="830" t="e">
        <f>+#REF!</f>
        <v>#REF!</v>
      </c>
      <c r="C23" s="1264"/>
      <c r="D23" s="1922">
        <v>1</v>
      </c>
      <c r="E23" s="1916">
        <v>450000000</v>
      </c>
      <c r="F23" s="1916">
        <f>+D23*E23</f>
        <v>450000000</v>
      </c>
      <c r="G23" s="493"/>
      <c r="H23" s="493"/>
      <c r="I23" s="494"/>
      <c r="J23" s="493"/>
    </row>
    <row r="24" spans="1:38" s="495" customFormat="1">
      <c r="A24" s="639"/>
      <c r="B24" s="681"/>
      <c r="C24" s="1523" t="e">
        <f>#REF!</f>
        <v>#REF!</v>
      </c>
      <c r="D24" s="1923"/>
      <c r="E24" s="1917"/>
      <c r="F24" s="1917"/>
      <c r="G24" s="493" t="e">
        <f>+#REF!</f>
        <v>#REF!</v>
      </c>
      <c r="H24" s="493" t="e">
        <f>+H21</f>
        <v>#REF!</v>
      </c>
      <c r="I24" s="494">
        <v>0.02</v>
      </c>
      <c r="J24" s="493"/>
    </row>
    <row r="25" spans="1:38" s="495" customFormat="1">
      <c r="A25" s="745" t="e">
        <f>+#REF!</f>
        <v>#REF!</v>
      </c>
      <c r="B25" s="830" t="e">
        <f>+#REF!</f>
        <v>#REF!</v>
      </c>
      <c r="C25" s="1264"/>
      <c r="D25" s="1923"/>
      <c r="E25" s="1917"/>
      <c r="F25" s="1917"/>
      <c r="G25" s="493"/>
      <c r="H25" s="493"/>
      <c r="I25" s="494"/>
      <c r="J25" s="493"/>
    </row>
    <row r="26" spans="1:38" s="495" customFormat="1">
      <c r="A26" s="639"/>
      <c r="B26" s="681"/>
      <c r="C26" s="1523" t="e">
        <f>#REF!</f>
        <v>#REF!</v>
      </c>
      <c r="D26" s="1923"/>
      <c r="E26" s="1917"/>
      <c r="F26" s="1917"/>
      <c r="G26" s="493" t="e">
        <f>+H26*I26</f>
        <v>#REF!</v>
      </c>
      <c r="H26" s="493" t="e">
        <f>+H24</f>
        <v>#REF!</v>
      </c>
      <c r="I26" s="494">
        <v>0.02</v>
      </c>
      <c r="J26" s="493"/>
    </row>
    <row r="27" spans="1:38" s="495" customFormat="1">
      <c r="A27" s="745" t="e">
        <f>+#REF!</f>
        <v>#REF!</v>
      </c>
      <c r="B27" s="830" t="e">
        <f>+#REF!</f>
        <v>#REF!</v>
      </c>
      <c r="C27" s="1264"/>
      <c r="D27" s="1923"/>
      <c r="E27" s="1917"/>
      <c r="F27" s="1917"/>
      <c r="G27" s="493"/>
      <c r="H27" s="493"/>
      <c r="I27" s="494"/>
      <c r="J27" s="493"/>
    </row>
    <row r="28" spans="1:38" s="495" customFormat="1">
      <c r="A28" s="639"/>
      <c r="B28" s="681"/>
      <c r="C28" s="1523" t="e">
        <f>#REF!</f>
        <v>#REF!</v>
      </c>
      <c r="D28" s="1923"/>
      <c r="E28" s="1917"/>
      <c r="F28" s="1917"/>
      <c r="G28" s="493" t="e">
        <f>+#REF!</f>
        <v>#REF!</v>
      </c>
      <c r="H28" s="493"/>
      <c r="I28" s="494"/>
      <c r="J28" s="493"/>
    </row>
    <row r="29" spans="1:38" s="495" customFormat="1">
      <c r="A29" s="745" t="e">
        <f>+#REF!</f>
        <v>#REF!</v>
      </c>
      <c r="B29" s="830" t="e">
        <f>+#REF!</f>
        <v>#REF!</v>
      </c>
      <c r="C29" s="1264"/>
      <c r="D29" s="1923"/>
      <c r="E29" s="1917"/>
      <c r="F29" s="1917"/>
      <c r="G29" s="493"/>
      <c r="I29" s="494"/>
      <c r="J29" s="493"/>
    </row>
    <row r="30" spans="1:38" s="495" customFormat="1">
      <c r="A30" s="639"/>
      <c r="B30" s="681"/>
      <c r="C30" s="1523" t="e">
        <f>#REF!</f>
        <v>#REF!</v>
      </c>
      <c r="D30" s="1923"/>
      <c r="E30" s="1917"/>
      <c r="F30" s="1917"/>
      <c r="G30" s="493"/>
      <c r="H30" s="493"/>
      <c r="I30" s="494"/>
      <c r="J30" s="493"/>
    </row>
    <row r="31" spans="1:38" s="495" customFormat="1">
      <c r="A31" s="745" t="e">
        <f>+#REF!</f>
        <v>#REF!</v>
      </c>
      <c r="B31" s="1448" t="e">
        <f>+#REF!</f>
        <v>#REF!</v>
      </c>
      <c r="C31" s="1264"/>
      <c r="D31" s="1923"/>
      <c r="E31" s="1917"/>
      <c r="F31" s="1917"/>
      <c r="G31" s="493"/>
      <c r="H31" s="493"/>
      <c r="I31" s="494"/>
      <c r="J31" s="493"/>
    </row>
    <row r="32" spans="1:38" s="495" customFormat="1">
      <c r="A32" s="639"/>
      <c r="B32" s="681"/>
      <c r="C32" s="1523" t="e">
        <f>#REF!</f>
        <v>#REF!</v>
      </c>
      <c r="D32" s="1924"/>
      <c r="E32" s="1918"/>
      <c r="F32" s="1918"/>
      <c r="G32" s="493">
        <v>0.2</v>
      </c>
      <c r="H32" s="493"/>
      <c r="I32" s="494"/>
      <c r="J32" s="493"/>
    </row>
    <row r="33" spans="1:189" s="495" customFormat="1">
      <c r="A33" s="745" t="e">
        <f>+#REF!</f>
        <v>#REF!</v>
      </c>
      <c r="B33" s="830" t="e">
        <f>+#REF!</f>
        <v>#REF!</v>
      </c>
      <c r="C33" s="1264"/>
      <c r="D33" s="1264"/>
      <c r="E33" s="1260"/>
      <c r="F33" s="1258"/>
      <c r="G33" s="493"/>
      <c r="H33" s="493"/>
      <c r="I33" s="494"/>
      <c r="J33" s="493"/>
    </row>
    <row r="34" spans="1:189" s="495" customFormat="1">
      <c r="A34" s="639"/>
      <c r="B34" s="681"/>
      <c r="C34" s="1523" t="e">
        <f>#REF!</f>
        <v>#REF!</v>
      </c>
      <c r="D34" s="1523">
        <v>46</v>
      </c>
      <c r="E34" s="1261" t="e">
        <f>+#REF!</f>
        <v>#REF!</v>
      </c>
      <c r="F34" s="1259" t="e">
        <f>+D34*E34</f>
        <v>#REF!</v>
      </c>
      <c r="G34" s="493"/>
      <c r="H34" s="493"/>
      <c r="I34" s="494"/>
      <c r="J34" s="493"/>
    </row>
    <row r="35" spans="1:189" s="456" customFormat="1" ht="18.75">
      <c r="A35" s="1513"/>
      <c r="B35" s="1530"/>
      <c r="C35" s="1605"/>
      <c r="D35" s="1606"/>
      <c r="E35" s="1404" t="s">
        <v>106</v>
      </c>
      <c r="F35" s="1406" t="e">
        <f>SUM(F23:F34)</f>
        <v>#REF!</v>
      </c>
      <c r="G35" s="493"/>
      <c r="H35" s="493"/>
      <c r="I35" s="494"/>
      <c r="J35" s="493"/>
      <c r="K35" s="495"/>
      <c r="L35" s="495"/>
      <c r="M35" s="495"/>
      <c r="N35" s="495"/>
      <c r="O35" s="495"/>
      <c r="P35" s="495"/>
      <c r="Q35" s="495"/>
      <c r="R35" s="495"/>
      <c r="S35" s="495"/>
      <c r="T35" s="495"/>
      <c r="U35" s="495"/>
      <c r="V35" s="495"/>
      <c r="W35" s="495"/>
      <c r="X35" s="495"/>
      <c r="Y35" s="495"/>
      <c r="Z35" s="495"/>
      <c r="AA35" s="495"/>
      <c r="AB35" s="495"/>
      <c r="AC35" s="495"/>
      <c r="AD35" s="495"/>
      <c r="AE35" s="495"/>
      <c r="AF35" s="495"/>
      <c r="AG35" s="495"/>
      <c r="AH35" s="495"/>
      <c r="AI35" s="495"/>
      <c r="AJ35" s="495"/>
      <c r="AK35" s="495"/>
      <c r="AL35" s="495"/>
      <c r="AM35" s="495"/>
      <c r="AN35" s="495"/>
      <c r="AO35" s="495"/>
      <c r="AP35" s="495"/>
      <c r="AQ35" s="495"/>
      <c r="AR35" s="495"/>
      <c r="AS35" s="495"/>
      <c r="AT35" s="495"/>
      <c r="AU35" s="495"/>
      <c r="AV35" s="495"/>
      <c r="AW35" s="495"/>
      <c r="AX35" s="495"/>
      <c r="AY35" s="495"/>
      <c r="AZ35" s="495"/>
      <c r="BA35" s="495"/>
      <c r="BB35" s="495"/>
      <c r="BC35" s="495"/>
      <c r="BD35" s="495"/>
      <c r="BE35" s="495"/>
      <c r="BF35" s="495"/>
      <c r="BG35" s="495"/>
      <c r="BH35" s="495"/>
      <c r="BI35" s="495"/>
      <c r="BJ35" s="495"/>
      <c r="BK35" s="495"/>
      <c r="BL35" s="495"/>
      <c r="BM35" s="495"/>
      <c r="BN35" s="495"/>
      <c r="BO35" s="495"/>
      <c r="BP35" s="495"/>
      <c r="BQ35" s="495"/>
      <c r="BR35" s="495"/>
      <c r="BS35" s="495"/>
      <c r="BT35" s="495"/>
      <c r="BU35" s="495"/>
      <c r="BV35" s="495"/>
      <c r="BW35" s="495"/>
      <c r="BX35" s="495"/>
      <c r="BY35" s="495"/>
      <c r="BZ35" s="495"/>
      <c r="CA35" s="495"/>
      <c r="CB35" s="495"/>
      <c r="CC35" s="495"/>
      <c r="CD35" s="495"/>
      <c r="CE35" s="495"/>
      <c r="CF35" s="495"/>
      <c r="CG35" s="495"/>
      <c r="CH35" s="495"/>
      <c r="CI35" s="495"/>
      <c r="CJ35" s="495"/>
      <c r="CK35" s="495"/>
      <c r="CL35" s="495"/>
      <c r="CM35" s="495"/>
      <c r="CN35" s="495"/>
      <c r="CO35" s="495"/>
      <c r="CP35" s="495"/>
      <c r="CQ35" s="495"/>
      <c r="CR35" s="495"/>
      <c r="CS35" s="495"/>
      <c r="CT35" s="495"/>
      <c r="CU35" s="495"/>
      <c r="CV35" s="495"/>
      <c r="CW35" s="495"/>
      <c r="CX35" s="495"/>
      <c r="CY35" s="495"/>
      <c r="CZ35" s="495"/>
      <c r="DA35" s="495"/>
      <c r="DB35" s="495"/>
      <c r="DC35" s="495"/>
      <c r="DD35" s="495"/>
      <c r="DE35" s="495"/>
      <c r="DF35" s="495"/>
      <c r="DG35" s="495"/>
      <c r="DH35" s="495"/>
      <c r="DI35" s="495"/>
      <c r="DJ35" s="495"/>
      <c r="DK35" s="495"/>
      <c r="DL35" s="495"/>
      <c r="DM35" s="495"/>
      <c r="DN35" s="495"/>
      <c r="DO35" s="495"/>
      <c r="DP35" s="495"/>
      <c r="DQ35" s="495"/>
      <c r="DR35" s="495"/>
      <c r="DS35" s="495"/>
      <c r="DT35" s="495"/>
      <c r="DU35" s="495"/>
      <c r="DV35" s="495"/>
      <c r="DW35" s="495"/>
      <c r="DX35" s="495"/>
      <c r="DY35" s="495"/>
      <c r="DZ35" s="495"/>
      <c r="EA35" s="495"/>
      <c r="EB35" s="495"/>
      <c r="EC35" s="495"/>
      <c r="ED35" s="495"/>
      <c r="EE35" s="495"/>
      <c r="EF35" s="495"/>
      <c r="EG35" s="495"/>
      <c r="EH35" s="495"/>
      <c r="EI35" s="495"/>
      <c r="EJ35" s="495"/>
      <c r="EK35" s="495"/>
      <c r="EL35" s="495"/>
      <c r="EM35" s="495"/>
      <c r="EN35" s="495"/>
      <c r="EO35" s="495"/>
      <c r="EP35" s="495"/>
      <c r="EQ35" s="495"/>
      <c r="ER35" s="495"/>
      <c r="ES35" s="495"/>
      <c r="ET35" s="495"/>
      <c r="EU35" s="495"/>
      <c r="EV35" s="495"/>
      <c r="EW35" s="495"/>
      <c r="EX35" s="495"/>
      <c r="EY35" s="495"/>
      <c r="EZ35" s="495"/>
      <c r="FA35" s="495"/>
      <c r="FB35" s="495"/>
      <c r="FC35" s="495"/>
      <c r="FD35" s="495"/>
      <c r="FE35" s="495"/>
      <c r="FF35" s="495"/>
      <c r="FG35" s="495"/>
      <c r="FH35" s="495"/>
      <c r="FI35" s="495"/>
      <c r="FJ35" s="495"/>
      <c r="FK35" s="495"/>
      <c r="FL35" s="495"/>
      <c r="FM35" s="495"/>
      <c r="FN35" s="495"/>
      <c r="FO35" s="495"/>
      <c r="FP35" s="495"/>
      <c r="FQ35" s="495"/>
      <c r="FR35" s="495"/>
      <c r="FS35" s="495"/>
      <c r="FT35" s="495"/>
      <c r="FU35" s="495"/>
      <c r="FV35" s="495"/>
      <c r="FW35" s="495"/>
      <c r="FX35" s="495"/>
      <c r="FY35" s="495"/>
      <c r="FZ35" s="495"/>
      <c r="GA35" s="495"/>
      <c r="GB35" s="495"/>
      <c r="GC35" s="495"/>
      <c r="GD35" s="495"/>
      <c r="GE35" s="495"/>
      <c r="GF35" s="495"/>
      <c r="GG35" s="495"/>
    </row>
    <row r="36" spans="1:189" ht="15" customHeight="1">
      <c r="A36" s="1589"/>
      <c r="B36" s="1590"/>
      <c r="C36" s="1595"/>
      <c r="D36" s="1596"/>
      <c r="E36" s="1597"/>
      <c r="F36" s="1597"/>
    </row>
    <row r="37" spans="1:189" s="114" customFormat="1" ht="24.95" customHeight="1">
      <c r="A37" s="1589"/>
      <c r="B37" s="1590"/>
      <c r="C37" s="1605"/>
      <c r="D37" s="1606"/>
      <c r="E37" s="1404" t="s">
        <v>107</v>
      </c>
      <c r="F37" s="1406" t="e">
        <f>+F20+F35</f>
        <v>#REF!</v>
      </c>
      <c r="G37" s="255"/>
      <c r="H37" s="255"/>
      <c r="I37" s="262"/>
      <c r="J37" s="255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29"/>
      <c r="W37" s="129"/>
      <c r="X37" s="129"/>
      <c r="Y37" s="129"/>
      <c r="Z37" s="129"/>
      <c r="AA37" s="129"/>
      <c r="AB37" s="129"/>
      <c r="AC37" s="129"/>
      <c r="AD37" s="129"/>
      <c r="AE37" s="129"/>
      <c r="AF37" s="129"/>
      <c r="AG37" s="129"/>
      <c r="AH37" s="129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  <c r="BM37" s="129"/>
      <c r="BN37" s="129"/>
      <c r="BO37" s="129"/>
      <c r="BP37" s="129"/>
      <c r="BQ37" s="129"/>
      <c r="BR37" s="129"/>
      <c r="BS37" s="129"/>
      <c r="BT37" s="129"/>
      <c r="BU37" s="129"/>
      <c r="BV37" s="129"/>
      <c r="BW37" s="129"/>
      <c r="BX37" s="129"/>
      <c r="BY37" s="129"/>
      <c r="BZ37" s="129"/>
      <c r="CA37" s="129"/>
      <c r="CB37" s="129"/>
      <c r="CC37" s="129"/>
      <c r="CD37" s="129"/>
      <c r="CE37" s="129"/>
      <c r="CF37" s="129"/>
      <c r="CG37" s="129"/>
      <c r="CH37" s="129"/>
      <c r="CI37" s="129"/>
      <c r="CJ37" s="129"/>
      <c r="CK37" s="129"/>
      <c r="CL37" s="129"/>
      <c r="CM37" s="129"/>
      <c r="CN37" s="129"/>
      <c r="CO37" s="129"/>
      <c r="CP37" s="129"/>
      <c r="CQ37" s="129"/>
      <c r="CR37" s="129"/>
      <c r="CS37" s="129"/>
      <c r="CT37" s="129"/>
      <c r="CU37" s="129"/>
      <c r="CV37" s="129"/>
      <c r="CW37" s="129"/>
      <c r="CX37" s="129"/>
      <c r="CY37" s="129"/>
      <c r="CZ37" s="129"/>
      <c r="DA37" s="129"/>
      <c r="DB37" s="129"/>
      <c r="DC37" s="129"/>
      <c r="DD37" s="129"/>
      <c r="DE37" s="129"/>
      <c r="DF37" s="129"/>
      <c r="DG37" s="129"/>
      <c r="DH37" s="129"/>
      <c r="DI37" s="129"/>
      <c r="DJ37" s="129"/>
      <c r="DK37" s="129"/>
      <c r="DL37" s="129"/>
      <c r="DM37" s="129"/>
      <c r="DN37" s="129"/>
      <c r="DO37" s="129"/>
      <c r="DP37" s="129"/>
      <c r="DQ37" s="129"/>
      <c r="DR37" s="129"/>
      <c r="DS37" s="129"/>
      <c r="DT37" s="129"/>
      <c r="DU37" s="129"/>
      <c r="DV37" s="129"/>
      <c r="DW37" s="129"/>
      <c r="DX37" s="129"/>
      <c r="DY37" s="129"/>
      <c r="DZ37" s="129"/>
      <c r="EA37" s="129"/>
      <c r="EB37" s="129"/>
      <c r="EC37" s="129"/>
      <c r="ED37" s="129"/>
      <c r="EE37" s="129"/>
      <c r="EF37" s="129"/>
      <c r="EG37" s="129"/>
      <c r="EH37" s="129"/>
      <c r="EI37" s="129"/>
      <c r="EJ37" s="129"/>
      <c r="EK37" s="129"/>
      <c r="EL37" s="129"/>
      <c r="EM37" s="129"/>
      <c r="EN37" s="129"/>
      <c r="EO37" s="129"/>
      <c r="EP37" s="129"/>
      <c r="EQ37" s="129"/>
      <c r="ER37" s="129"/>
      <c r="ES37" s="129"/>
      <c r="ET37" s="129"/>
      <c r="EU37" s="129"/>
      <c r="EV37" s="129"/>
      <c r="EW37" s="129"/>
      <c r="EX37" s="129"/>
      <c r="EY37" s="129"/>
      <c r="EZ37" s="129"/>
      <c r="FA37" s="129"/>
      <c r="FB37" s="129"/>
      <c r="FC37" s="129"/>
      <c r="FD37" s="129"/>
      <c r="FE37" s="129"/>
      <c r="FF37" s="129"/>
      <c r="FG37" s="129"/>
      <c r="FH37" s="129"/>
      <c r="FI37" s="129"/>
      <c r="FJ37" s="129"/>
      <c r="FK37" s="129"/>
      <c r="FL37" s="129"/>
      <c r="FM37" s="129"/>
      <c r="FN37" s="129"/>
      <c r="FO37" s="129"/>
      <c r="FP37" s="129"/>
      <c r="FQ37" s="129"/>
      <c r="FR37" s="129"/>
      <c r="FS37" s="129"/>
      <c r="FT37" s="129"/>
      <c r="FU37" s="129"/>
      <c r="FV37" s="129"/>
      <c r="FW37" s="129"/>
      <c r="FX37" s="129"/>
      <c r="FY37" s="129"/>
      <c r="FZ37" s="129"/>
      <c r="GA37" s="129"/>
      <c r="GB37" s="129"/>
      <c r="GC37" s="129"/>
      <c r="GD37" s="129"/>
      <c r="GE37" s="129"/>
      <c r="GF37" s="129"/>
      <c r="GG37" s="129"/>
    </row>
    <row r="38" spans="1:189" ht="15" customHeight="1">
      <c r="A38" s="1589"/>
      <c r="B38" s="1590"/>
      <c r="C38" s="1595"/>
      <c r="D38" s="1114"/>
      <c r="E38" s="1598"/>
      <c r="F38" s="1599"/>
      <c r="G38" s="257"/>
      <c r="H38" s="257"/>
      <c r="I38" s="263"/>
      <c r="J38" s="257"/>
    </row>
    <row r="39" spans="1:189" ht="24.95" customHeight="1">
      <c r="A39" s="1919" t="e">
        <f>+#REF!</f>
        <v>#REF!</v>
      </c>
      <c r="B39" s="1920"/>
      <c r="C39" s="1920"/>
      <c r="D39" s="1920"/>
      <c r="E39" s="1920"/>
      <c r="F39" s="1921"/>
    </row>
    <row r="40" spans="1:189">
      <c r="A40" s="745" t="e">
        <f>+#REF!</f>
        <v>#REF!</v>
      </c>
      <c r="B40" s="830" t="e">
        <f>+#REF!</f>
        <v>#REF!</v>
      </c>
      <c r="C40" s="1478"/>
      <c r="D40" s="543"/>
      <c r="E40" s="1260"/>
      <c r="F40" s="1260"/>
    </row>
    <row r="41" spans="1:189">
      <c r="A41" s="639"/>
      <c r="B41" s="681"/>
      <c r="C41" s="1523" t="e">
        <f>#REF!</f>
        <v>#REF!</v>
      </c>
      <c r="D41" s="1521">
        <v>1</v>
      </c>
      <c r="E41" s="1261">
        <v>15672373</v>
      </c>
      <c r="F41" s="1261">
        <f>+D41*E41</f>
        <v>15672373</v>
      </c>
    </row>
    <row r="42" spans="1:189">
      <c r="A42" s="745" t="e">
        <f>+#REF!</f>
        <v>#REF!</v>
      </c>
      <c r="B42" s="830" t="e">
        <f>+#REF!</f>
        <v>#REF!</v>
      </c>
      <c r="C42" s="1264"/>
      <c r="D42" s="1519"/>
      <c r="E42" s="1260"/>
      <c r="F42" s="1260"/>
    </row>
    <row r="43" spans="1:189">
      <c r="A43" s="639" t="e">
        <f>+#REF!</f>
        <v>#REF!</v>
      </c>
      <c r="B43" s="681" t="e">
        <f>+#REF!</f>
        <v>#REF!</v>
      </c>
      <c r="C43" s="1523" t="e">
        <f>#REF!</f>
        <v>#REF!</v>
      </c>
      <c r="D43" s="1521">
        <f>J43</f>
        <v>0</v>
      </c>
      <c r="E43" s="1261" t="e">
        <f>#REF!</f>
        <v>#REF!</v>
      </c>
      <c r="F43" s="1261" t="e">
        <f>+D43*E43</f>
        <v>#REF!</v>
      </c>
      <c r="H43" s="255">
        <f>+(F9+F10)*20*1.3</f>
        <v>0</v>
      </c>
      <c r="I43" s="262">
        <v>1.05</v>
      </c>
      <c r="J43" s="255">
        <f>H43*I43</f>
        <v>0</v>
      </c>
    </row>
    <row r="44" spans="1:189">
      <c r="A44" s="745" t="e">
        <f>+#REF!</f>
        <v>#REF!</v>
      </c>
      <c r="B44" s="830" t="e">
        <f>+#REF!</f>
        <v>#REF!</v>
      </c>
      <c r="C44" s="1264"/>
      <c r="D44" s="1519"/>
      <c r="E44" s="1260"/>
      <c r="F44" s="1260"/>
    </row>
    <row r="45" spans="1:189">
      <c r="A45" s="639"/>
      <c r="B45" s="681"/>
      <c r="C45" s="1523" t="e">
        <f>#REF!</f>
        <v>#REF!</v>
      </c>
      <c r="D45" s="1521">
        <f>J45</f>
        <v>31.5</v>
      </c>
      <c r="E45" s="1261" t="e">
        <f>#REF!</f>
        <v>#REF!</v>
      </c>
      <c r="F45" s="1261" t="e">
        <f>+D45*E45</f>
        <v>#REF!</v>
      </c>
      <c r="H45" s="255">
        <v>30</v>
      </c>
      <c r="I45" s="262">
        <v>1.05</v>
      </c>
      <c r="J45" s="255">
        <f>H45*I45</f>
        <v>31.5</v>
      </c>
    </row>
    <row r="46" spans="1:189">
      <c r="A46" s="745" t="e">
        <f>+#REF!</f>
        <v>#REF!</v>
      </c>
      <c r="B46" s="830" t="e">
        <f>+#REF!</f>
        <v>#REF!</v>
      </c>
      <c r="C46" s="1516"/>
      <c r="D46" s="954"/>
      <c r="E46" s="1260"/>
      <c r="F46" s="1260"/>
    </row>
    <row r="47" spans="1:189">
      <c r="A47" s="638" t="e">
        <f>+#REF!</f>
        <v>#REF!</v>
      </c>
      <c r="B47" s="749" t="e">
        <f>+#REF!</f>
        <v>#REF!</v>
      </c>
      <c r="C47" s="1522" t="e">
        <f>#REF!</f>
        <v>#REF!</v>
      </c>
      <c r="D47" s="1139">
        <v>1</v>
      </c>
      <c r="E47" s="1265">
        <v>30405375</v>
      </c>
      <c r="F47" s="1265">
        <f>+D47*E47</f>
        <v>30405375</v>
      </c>
      <c r="H47" s="262">
        <f>F13/1000</f>
        <v>0.34</v>
      </c>
      <c r="I47" s="262">
        <f t="shared" ref="I47:I53" si="2">1.05</f>
        <v>1.05</v>
      </c>
      <c r="J47" s="262">
        <f t="shared" ref="J47:J53" si="3">H47*I47</f>
        <v>0.35700000000000004</v>
      </c>
    </row>
    <row r="48" spans="1:189">
      <c r="A48" s="638" t="e">
        <f>+#REF!</f>
        <v>#REF!</v>
      </c>
      <c r="B48" s="749" t="e">
        <f>+#REF!</f>
        <v>#REF!</v>
      </c>
      <c r="C48" s="1522" t="e">
        <f>#REF!</f>
        <v>#REF!</v>
      </c>
      <c r="D48" s="1139">
        <v>1</v>
      </c>
      <c r="E48" s="1265">
        <v>24324300</v>
      </c>
      <c r="F48" s="1265">
        <f>+D48*E48</f>
        <v>24324300</v>
      </c>
      <c r="H48" s="262">
        <f>H47</f>
        <v>0.34</v>
      </c>
      <c r="I48" s="262">
        <f t="shared" si="2"/>
        <v>1.05</v>
      </c>
      <c r="J48" s="262">
        <f t="shared" si="3"/>
        <v>0.35700000000000004</v>
      </c>
    </row>
    <row r="49" spans="1:11">
      <c r="A49" s="638" t="e">
        <f>+#REF!</f>
        <v>#REF!</v>
      </c>
      <c r="B49" s="749" t="e">
        <f>+#REF!</f>
        <v>#REF!</v>
      </c>
      <c r="C49" s="1522" t="e">
        <f>#REF!</f>
        <v>#REF!</v>
      </c>
      <c r="D49" s="1520">
        <f>J49</f>
        <v>1908.9</v>
      </c>
      <c r="E49" s="1265" t="e">
        <f>#REF!</f>
        <v>#REF!</v>
      </c>
      <c r="F49" s="1265" t="e">
        <f>+D49*E49</f>
        <v>#REF!</v>
      </c>
      <c r="H49" s="262">
        <f>20%*F13 +(1225-530)*2+2*10*18</f>
        <v>1818</v>
      </c>
      <c r="I49" s="262">
        <f t="shared" si="2"/>
        <v>1.05</v>
      </c>
      <c r="J49" s="262">
        <f t="shared" si="3"/>
        <v>1908.9</v>
      </c>
    </row>
    <row r="50" spans="1:11" s="129" customFormat="1">
      <c r="A50" s="639" t="e">
        <f>+#REF!</f>
        <v>#REF!</v>
      </c>
      <c r="B50" s="681" t="e">
        <f>+#REF!</f>
        <v>#REF!</v>
      </c>
      <c r="C50" s="1523" t="e">
        <f>#REF!</f>
        <v>#REF!</v>
      </c>
      <c r="D50" s="1140">
        <v>1</v>
      </c>
      <c r="E50" s="1261">
        <v>4990551.7662000004</v>
      </c>
      <c r="F50" s="1261">
        <f>+D50*E50</f>
        <v>4990551.7662000004</v>
      </c>
      <c r="G50" s="255"/>
      <c r="H50" s="262">
        <f>H48</f>
        <v>0.34</v>
      </c>
      <c r="I50" s="262">
        <f t="shared" si="2"/>
        <v>1.05</v>
      </c>
      <c r="J50" s="262">
        <f t="shared" si="3"/>
        <v>0.35700000000000004</v>
      </c>
    </row>
    <row r="51" spans="1:11" s="129" customFormat="1">
      <c r="A51" s="745" t="e">
        <f>+#REF!</f>
        <v>#REF!</v>
      </c>
      <c r="B51" s="830" t="e">
        <f>+#REF!</f>
        <v>#REF!</v>
      </c>
      <c r="C51" s="1516"/>
      <c r="D51" s="954"/>
      <c r="E51" s="1260"/>
      <c r="F51" s="1260"/>
      <c r="G51" s="255"/>
      <c r="H51" s="255"/>
      <c r="I51" s="262">
        <f t="shared" si="2"/>
        <v>1.05</v>
      </c>
      <c r="J51" s="262">
        <f t="shared" si="3"/>
        <v>0</v>
      </c>
    </row>
    <row r="52" spans="1:11" s="129" customFormat="1">
      <c r="A52" s="639"/>
      <c r="B52" s="681"/>
      <c r="C52" s="1523" t="e">
        <f>#REF!</f>
        <v>#REF!</v>
      </c>
      <c r="D52" s="1521">
        <f>+J52</f>
        <v>9749.25</v>
      </c>
      <c r="E52" s="1261" t="e">
        <f>#REF!</f>
        <v>#REF!</v>
      </c>
      <c r="F52" s="1261" t="e">
        <f>+D52*E52</f>
        <v>#REF!</v>
      </c>
      <c r="G52" s="422"/>
      <c r="H52" s="255">
        <f>510+ (1225-530)*9 + 7*20*18</f>
        <v>9285</v>
      </c>
      <c r="I52" s="262">
        <f t="shared" si="2"/>
        <v>1.05</v>
      </c>
      <c r="J52" s="262">
        <f t="shared" si="3"/>
        <v>9749.25</v>
      </c>
    </row>
    <row r="53" spans="1:11" s="129" customFormat="1">
      <c r="A53" s="745" t="e">
        <f>+#REF!</f>
        <v>#REF!</v>
      </c>
      <c r="B53" s="830" t="e">
        <f>+#REF!</f>
        <v>#REF!</v>
      </c>
      <c r="C53" s="1516"/>
      <c r="D53" s="954"/>
      <c r="E53" s="1260"/>
      <c r="F53" s="1260"/>
      <c r="G53" s="255"/>
      <c r="H53" s="255">
        <f>240+(1225-530)*2+20*2*18+7*18</f>
        <v>2476</v>
      </c>
      <c r="I53" s="262">
        <f t="shared" si="2"/>
        <v>1.05</v>
      </c>
      <c r="J53" s="262">
        <f t="shared" si="3"/>
        <v>2599.8000000000002</v>
      </c>
    </row>
    <row r="54" spans="1:11" s="129" customFormat="1">
      <c r="A54" s="639"/>
      <c r="B54" s="681"/>
      <c r="C54" s="1523" t="e">
        <f>#REF!</f>
        <v>#REF!</v>
      </c>
      <c r="D54" s="1521">
        <f>+J53</f>
        <v>2599.8000000000002</v>
      </c>
      <c r="E54" s="1261" t="e">
        <f>#REF!</f>
        <v>#REF!</v>
      </c>
      <c r="F54" s="1261" t="e">
        <f>+D54*E54</f>
        <v>#REF!</v>
      </c>
      <c r="G54" s="255"/>
      <c r="H54" s="255"/>
      <c r="I54" s="262"/>
      <c r="J54" s="255"/>
    </row>
    <row r="55" spans="1:11" s="129" customFormat="1">
      <c r="A55" s="745" t="e">
        <f>+#REF!</f>
        <v>#REF!</v>
      </c>
      <c r="B55" s="830" t="e">
        <f>+#REF!</f>
        <v>#REF!</v>
      </c>
      <c r="C55" s="1516"/>
      <c r="D55" s="954"/>
      <c r="E55" s="1260"/>
      <c r="F55" s="1260"/>
      <c r="G55" s="255"/>
      <c r="H55" s="255"/>
      <c r="I55" s="262"/>
      <c r="J55" s="255"/>
    </row>
    <row r="56" spans="1:11" s="129" customFormat="1">
      <c r="A56" s="639" t="e">
        <f>+#REF!</f>
        <v>#REF!</v>
      </c>
      <c r="B56" s="681" t="e">
        <f>+#REF!</f>
        <v>#REF!</v>
      </c>
      <c r="C56" s="1531" t="e">
        <f>#REF!</f>
        <v>#REF!</v>
      </c>
      <c r="D56" s="1143">
        <f>J56</f>
        <v>20023</v>
      </c>
      <c r="E56" s="1261" t="e">
        <f>#REF!</f>
        <v>#REF!</v>
      </c>
      <c r="F56" s="1261" t="e">
        <f>+D56*E56</f>
        <v>#REF!</v>
      </c>
      <c r="G56" s="255"/>
      <c r="H56" s="255">
        <f>210+15+200+1100+150+200+75+228+105+75+90+325+440+220+200+400+150+100+1120+100+390+140+35+90+170+30+130+344+65+385+170+65+45+1600+1600+1100+217+285+230+320+558+190+260+260+570+1100+138+204+365+365+806+728+134+44+140+50+330+427+440</f>
        <v>20023</v>
      </c>
      <c r="I56" s="262">
        <v>1</v>
      </c>
      <c r="J56" s="255">
        <f>H56*I56</f>
        <v>20023</v>
      </c>
    </row>
    <row r="57" spans="1:11" s="129" customFormat="1">
      <c r="A57" s="745" t="e">
        <f>+#REF!</f>
        <v>#REF!</v>
      </c>
      <c r="B57" s="830" t="e">
        <f>+#REF!</f>
        <v>#REF!</v>
      </c>
      <c r="C57" s="1516"/>
      <c r="D57" s="954"/>
      <c r="E57" s="1260"/>
      <c r="F57" s="1260"/>
      <c r="G57" s="255"/>
      <c r="H57" s="255"/>
      <c r="I57" s="262"/>
      <c r="J57" s="255"/>
    </row>
    <row r="58" spans="1:11" s="129" customFormat="1">
      <c r="A58" s="639"/>
      <c r="B58" s="681"/>
      <c r="C58" s="1523" t="e">
        <f>#REF!</f>
        <v>#REF!</v>
      </c>
      <c r="D58" s="1521">
        <f>+J58</f>
        <v>264</v>
      </c>
      <c r="E58" s="1261" t="e">
        <f>#REF!</f>
        <v>#REF!</v>
      </c>
      <c r="F58" s="1261" t="e">
        <f>+D58*E58</f>
        <v>#REF!</v>
      </c>
      <c r="G58" s="255"/>
      <c r="H58" s="255">
        <f>12*20</f>
        <v>240</v>
      </c>
      <c r="I58" s="262">
        <v>1.1000000000000001</v>
      </c>
      <c r="J58" s="255">
        <f>+H58*I58</f>
        <v>264</v>
      </c>
    </row>
    <row r="59" spans="1:11" s="129" customFormat="1">
      <c r="A59" s="745" t="e">
        <f>+#REF!</f>
        <v>#REF!</v>
      </c>
      <c r="B59" s="830" t="e">
        <f>+#REF!</f>
        <v>#REF!</v>
      </c>
      <c r="C59" s="1516"/>
      <c r="D59" s="954"/>
      <c r="E59" s="1260"/>
      <c r="F59" s="1260"/>
      <c r="G59" s="255"/>
      <c r="H59" s="255"/>
      <c r="I59" s="262"/>
      <c r="J59" s="255"/>
    </row>
    <row r="60" spans="1:11" s="129" customFormat="1">
      <c r="A60" s="639"/>
      <c r="B60" s="681"/>
      <c r="C60" s="1523" t="e">
        <f>#REF!</f>
        <v>#REF!</v>
      </c>
      <c r="D60" s="1521">
        <f>J60</f>
        <v>514.5</v>
      </c>
      <c r="E60" s="1261" t="e">
        <f>#REF!</f>
        <v>#REF!</v>
      </c>
      <c r="F60" s="1261" t="e">
        <f>+D60*E60</f>
        <v>#REF!</v>
      </c>
      <c r="G60" s="255"/>
      <c r="H60" s="255">
        <f xml:space="preserve"> (2340-1850)+(1850-525)*0</f>
        <v>490</v>
      </c>
      <c r="I60" s="262">
        <v>1.05</v>
      </c>
      <c r="J60" s="255">
        <f>H60*I60</f>
        <v>514.5</v>
      </c>
      <c r="K60" s="129" t="s">
        <v>511</v>
      </c>
    </row>
    <row r="61" spans="1:11" s="129" customFormat="1" ht="18.75">
      <c r="A61" s="749"/>
      <c r="B61" s="1515"/>
      <c r="C61" s="1605"/>
      <c r="D61" s="1606"/>
      <c r="E61" s="1404" t="s">
        <v>111</v>
      </c>
      <c r="F61" s="1406" t="e">
        <f>SUM(F40:F60)</f>
        <v>#REF!</v>
      </c>
      <c r="G61" s="255"/>
      <c r="H61" s="255"/>
      <c r="I61" s="262"/>
      <c r="J61" s="255"/>
    </row>
    <row r="62" spans="1:11" s="129" customFormat="1" ht="15.95" customHeight="1">
      <c r="A62" s="1588"/>
      <c r="B62" s="1527"/>
      <c r="C62" s="1600"/>
      <c r="D62" s="410"/>
      <c r="E62" s="949"/>
      <c r="F62" s="949"/>
      <c r="G62" s="255"/>
      <c r="H62" s="255"/>
      <c r="I62" s="262"/>
      <c r="J62" s="255"/>
    </row>
    <row r="63" spans="1:11" s="495" customFormat="1" ht="24.95" customHeight="1">
      <c r="A63" s="1919" t="e">
        <f>+#REF!</f>
        <v>#REF!</v>
      </c>
      <c r="B63" s="1920"/>
      <c r="C63" s="1920"/>
      <c r="D63" s="1920"/>
      <c r="E63" s="1920"/>
      <c r="F63" s="1921"/>
      <c r="G63" s="493"/>
      <c r="H63" s="493"/>
      <c r="I63" s="494"/>
      <c r="J63" s="493"/>
    </row>
    <row r="64" spans="1:11" s="495" customFormat="1">
      <c r="A64" s="745" t="e">
        <f>+#REF!</f>
        <v>#REF!</v>
      </c>
      <c r="B64" s="830" t="e">
        <f>+#REF!</f>
        <v>#REF!</v>
      </c>
      <c r="C64" s="1516"/>
      <c r="D64" s="954"/>
      <c r="E64" s="1260"/>
      <c r="F64" s="1260"/>
      <c r="G64" s="493"/>
      <c r="H64" s="493"/>
      <c r="I64" s="494"/>
      <c r="J64" s="493"/>
    </row>
    <row r="65" spans="1:38" s="495" customFormat="1">
      <c r="A65" s="639" t="e">
        <f>+#REF!</f>
        <v>#REF!</v>
      </c>
      <c r="B65" s="681" t="e">
        <f>+#REF!</f>
        <v>#REF!</v>
      </c>
      <c r="C65" s="1523" t="e">
        <f>#REF!</f>
        <v>#REF!</v>
      </c>
      <c r="D65" s="1521">
        <f>J65</f>
        <v>1683.0000000000002</v>
      </c>
      <c r="E65" s="1261" t="e">
        <f>#REF!</f>
        <v>#REF!</v>
      </c>
      <c r="F65" s="1261" t="e">
        <f>+D65*E65</f>
        <v>#REF!</v>
      </c>
      <c r="G65" s="493"/>
      <c r="H65" s="493">
        <f>(F9*I9+F10*I10+F11*I11+F12*I12)*0.3</f>
        <v>1530</v>
      </c>
      <c r="I65" s="494">
        <v>1.1000000000000001</v>
      </c>
      <c r="J65" s="493">
        <f>H65*I65</f>
        <v>1683.0000000000002</v>
      </c>
    </row>
    <row r="66" spans="1:38" s="495" customFormat="1">
      <c r="A66" s="745" t="e">
        <f>+#REF!</f>
        <v>#REF!</v>
      </c>
      <c r="B66" s="830" t="e">
        <f>+#REF!</f>
        <v>#REF!</v>
      </c>
      <c r="C66" s="1516"/>
      <c r="D66" s="954"/>
      <c r="E66" s="1260"/>
      <c r="F66" s="1260"/>
      <c r="G66" s="493"/>
      <c r="H66" s="493"/>
      <c r="I66" s="494"/>
      <c r="J66" s="493">
        <f>J65*0</f>
        <v>0</v>
      </c>
    </row>
    <row r="67" spans="1:38" s="495" customFormat="1">
      <c r="A67" s="639"/>
      <c r="B67" s="681"/>
      <c r="C67" s="1523" t="e">
        <f>#REF!</f>
        <v>#REF!</v>
      </c>
      <c r="D67" s="1521">
        <f>D65*0.5</f>
        <v>841.50000000000011</v>
      </c>
      <c r="E67" s="1261" t="e">
        <f>#REF!</f>
        <v>#REF!</v>
      </c>
      <c r="F67" s="1261" t="e">
        <f>+D67*E67</f>
        <v>#REF!</v>
      </c>
      <c r="G67" s="493"/>
      <c r="H67" s="493"/>
      <c r="I67" s="494"/>
      <c r="J67" s="493"/>
    </row>
    <row r="68" spans="1:38" s="495" customFormat="1">
      <c r="A68" s="745" t="e">
        <f>+#REF!</f>
        <v>#REF!</v>
      </c>
      <c r="B68" s="830" t="e">
        <f>+#REF!</f>
        <v>#REF!</v>
      </c>
      <c r="C68" s="1516"/>
      <c r="D68" s="954"/>
      <c r="E68" s="1260"/>
      <c r="F68" s="1260"/>
      <c r="G68" s="493"/>
      <c r="H68" s="493"/>
      <c r="I68" s="494"/>
      <c r="J68" s="493"/>
    </row>
    <row r="69" spans="1:38" s="538" customFormat="1">
      <c r="A69" s="639"/>
      <c r="B69" s="681"/>
      <c r="C69" s="1523" t="e">
        <f>#REF!</f>
        <v>#REF!</v>
      </c>
      <c r="D69" s="1521">
        <f>J69</f>
        <v>841.50000000000011</v>
      </c>
      <c r="E69" s="1261" t="e">
        <f>#REF!</f>
        <v>#REF!</v>
      </c>
      <c r="F69" s="1261" t="e">
        <f>+D69*E69</f>
        <v>#REF!</v>
      </c>
      <c r="G69" s="493"/>
      <c r="H69" s="493">
        <f>H65*0.5</f>
        <v>765</v>
      </c>
      <c r="I69" s="494">
        <v>1.1000000000000001</v>
      </c>
      <c r="J69" s="493">
        <f>H69*I69</f>
        <v>841.50000000000011</v>
      </c>
      <c r="K69" s="495"/>
      <c r="L69" s="495"/>
      <c r="M69" s="495"/>
      <c r="N69" s="495"/>
      <c r="O69" s="495"/>
      <c r="P69" s="495"/>
      <c r="Q69" s="495"/>
      <c r="R69" s="495"/>
      <c r="S69" s="495"/>
      <c r="T69" s="495"/>
      <c r="U69" s="495"/>
      <c r="V69" s="495"/>
      <c r="W69" s="495"/>
      <c r="X69" s="495"/>
      <c r="Y69" s="495"/>
      <c r="Z69" s="495"/>
      <c r="AA69" s="495"/>
      <c r="AB69" s="495"/>
      <c r="AC69" s="495"/>
      <c r="AD69" s="495"/>
      <c r="AE69" s="495"/>
      <c r="AF69" s="495"/>
      <c r="AG69" s="495"/>
      <c r="AH69" s="495"/>
      <c r="AI69" s="495"/>
      <c r="AJ69" s="495"/>
      <c r="AK69" s="495"/>
      <c r="AL69" s="495"/>
    </row>
    <row r="70" spans="1:38" s="495" customFormat="1" ht="18.75">
      <c r="A70" s="1513"/>
      <c r="B70" s="1530"/>
      <c r="C70" s="1605"/>
      <c r="D70" s="1606"/>
      <c r="E70" s="1404" t="s">
        <v>110</v>
      </c>
      <c r="F70" s="1406" t="e">
        <f>SUM(F64:F69)</f>
        <v>#REF!</v>
      </c>
      <c r="G70" s="493"/>
      <c r="H70" s="493"/>
      <c r="I70" s="494"/>
      <c r="J70" s="493"/>
    </row>
    <row r="71" spans="1:38" s="129" customFormat="1" ht="15.95" customHeight="1">
      <c r="A71" s="1589"/>
      <c r="B71" s="370"/>
      <c r="C71" s="1595"/>
      <c r="D71" s="1114"/>
      <c r="E71" s="1601"/>
      <c r="F71" s="1599"/>
      <c r="G71" s="255"/>
      <c r="H71" s="255"/>
      <c r="I71" s="262"/>
      <c r="J71" s="255"/>
    </row>
    <row r="72" spans="1:38" s="129" customFormat="1" ht="24.95" customHeight="1">
      <c r="A72" s="1919" t="e">
        <f>+#REF!</f>
        <v>#REF!</v>
      </c>
      <c r="B72" s="1920"/>
      <c r="C72" s="1920"/>
      <c r="D72" s="1920"/>
      <c r="E72" s="1920"/>
      <c r="F72" s="1921"/>
      <c r="G72" s="255"/>
      <c r="H72" s="270">
        <f>+M14*0.15+N14*0.25+20*20*20*0.15</f>
        <v>2135</v>
      </c>
      <c r="I72" s="262">
        <f>1.1</f>
        <v>1.1000000000000001</v>
      </c>
      <c r="J72" s="255">
        <f>+H72*I72</f>
        <v>2348.5</v>
      </c>
    </row>
    <row r="73" spans="1:38" s="495" customFormat="1">
      <c r="A73" s="745" t="e">
        <f>+#REF!</f>
        <v>#REF!</v>
      </c>
      <c r="B73" s="1448" t="e">
        <f>+#REF!</f>
        <v>#REF!</v>
      </c>
      <c r="C73" s="1516"/>
      <c r="D73" s="1496"/>
      <c r="E73" s="1260"/>
      <c r="F73" s="1258"/>
      <c r="G73" s="493"/>
      <c r="H73" s="493"/>
      <c r="I73" s="494"/>
      <c r="J73" s="493"/>
      <c r="K73" s="495" t="s">
        <v>273</v>
      </c>
    </row>
    <row r="74" spans="1:38" s="495" customFormat="1">
      <c r="A74" s="639" t="e">
        <f>+#REF!</f>
        <v>#REF!</v>
      </c>
      <c r="B74" s="681" t="e">
        <f>+#REF!</f>
        <v>#REF!</v>
      </c>
      <c r="C74" s="1523" t="e">
        <f>#REF!</f>
        <v>#REF!</v>
      </c>
      <c r="D74" s="1414">
        <f>J74</f>
        <v>4519.9000000000005</v>
      </c>
      <c r="E74" s="1261" t="e">
        <f>#REF!</f>
        <v>#REF!</v>
      </c>
      <c r="F74" s="1259" t="e">
        <f>+D74*E74</f>
        <v>#REF!</v>
      </c>
      <c r="G74" s="493"/>
      <c r="H74" s="756">
        <f>+(M14+N14)*0.35+P13*0.2 +20*20*20*0.35</f>
        <v>4109</v>
      </c>
      <c r="I74" s="494">
        <f>1.1</f>
        <v>1.1000000000000001</v>
      </c>
      <c r="J74" s="493">
        <f>+H74*I74</f>
        <v>4519.9000000000005</v>
      </c>
    </row>
    <row r="75" spans="1:38" s="495" customFormat="1">
      <c r="A75" s="745" t="e">
        <f>+#REF!</f>
        <v>#REF!</v>
      </c>
      <c r="B75" s="830" t="e">
        <f>+#REF!</f>
        <v>#REF!</v>
      </c>
      <c r="C75" s="1516"/>
      <c r="D75" s="1496"/>
      <c r="E75" s="1260"/>
      <c r="F75" s="1258"/>
      <c r="G75" s="493"/>
    </row>
    <row r="76" spans="1:38" s="495" customFormat="1">
      <c r="A76" s="638"/>
      <c r="B76" s="749"/>
      <c r="C76" s="1522" t="e">
        <f>#REF!</f>
        <v>#REF!</v>
      </c>
      <c r="D76" s="1456">
        <f>J76</f>
        <v>228978.75000000003</v>
      </c>
      <c r="E76" s="1265" t="e">
        <f>#REF!</f>
        <v>#REF!</v>
      </c>
      <c r="F76" s="1267" t="e">
        <f t="shared" ref="F76" si="4">+D76*E76</f>
        <v>#REF!</v>
      </c>
      <c r="G76" s="493"/>
      <c r="H76" s="493">
        <f>H72*1950*5%</f>
        <v>208162.5</v>
      </c>
      <c r="I76" s="494">
        <v>1.1000000000000001</v>
      </c>
      <c r="J76" s="493">
        <f>H76*I76</f>
        <v>228978.75000000003</v>
      </c>
      <c r="L76" s="495">
        <f>+(M14+N14)*0.15</f>
        <v>561</v>
      </c>
    </row>
    <row r="77" spans="1:38" s="495" customFormat="1">
      <c r="A77" s="745" t="e">
        <f>+#REF!</f>
        <v>#REF!</v>
      </c>
      <c r="B77" s="830" t="e">
        <f>+#REF!</f>
        <v>#REF!</v>
      </c>
      <c r="C77" s="1264"/>
      <c r="D77" s="1484"/>
      <c r="E77" s="1260"/>
      <c r="F77" s="1258"/>
      <c r="G77" s="493"/>
      <c r="H77" s="493"/>
      <c r="I77" s="494"/>
      <c r="J77" s="493"/>
    </row>
    <row r="78" spans="1:38" s="495" customFormat="1">
      <c r="A78" s="791" t="e">
        <f>+#REF!</f>
        <v>#REF!</v>
      </c>
      <c r="B78" s="824" t="e">
        <f>+#REF!</f>
        <v>#REF!</v>
      </c>
      <c r="C78" s="1522"/>
      <c r="D78" s="1456"/>
      <c r="E78" s="1265"/>
      <c r="F78" s="1267"/>
      <c r="G78" s="493"/>
    </row>
    <row r="79" spans="1:38" s="495" customFormat="1">
      <c r="A79" s="638" t="e">
        <f>+#REF!</f>
        <v>#REF!</v>
      </c>
      <c r="B79" s="749" t="e">
        <f>+#REF!</f>
        <v>#REF!</v>
      </c>
      <c r="C79" s="1522" t="e">
        <f>#REF!</f>
        <v>#REF!</v>
      </c>
      <c r="D79" s="1456">
        <f>+J79</f>
        <v>3927</v>
      </c>
      <c r="E79" s="1265" t="e">
        <f>+#REF!</f>
        <v>#REF!</v>
      </c>
      <c r="F79" s="1267" t="e">
        <f>+D79*E79</f>
        <v>#REF!</v>
      </c>
      <c r="G79" s="493"/>
      <c r="H79" s="493">
        <f>+N14</f>
        <v>3740</v>
      </c>
      <c r="I79" s="494">
        <v>1.05</v>
      </c>
      <c r="J79" s="493">
        <f>+H79*I79</f>
        <v>3927</v>
      </c>
    </row>
    <row r="80" spans="1:38" s="495" customFormat="1">
      <c r="A80" s="638" t="e">
        <f>+#REF!</f>
        <v>#REF!</v>
      </c>
      <c r="B80" s="749" t="e">
        <f>+#REF!</f>
        <v>#REF!</v>
      </c>
      <c r="C80" s="1522" t="e">
        <f>#REF!</f>
        <v>#REF!</v>
      </c>
      <c r="D80" s="1456">
        <f>+J80*0.91</f>
        <v>0</v>
      </c>
      <c r="E80" s="1265" t="e">
        <f>+#REF!</f>
        <v>#REF!</v>
      </c>
      <c r="F80" s="1267" t="e">
        <f t="shared" ref="F80:F101" si="5">+D80*E80</f>
        <v>#REF!</v>
      </c>
      <c r="G80" s="493"/>
      <c r="H80" s="493">
        <f>+M14</f>
        <v>0</v>
      </c>
      <c r="I80" s="494">
        <v>1.05</v>
      </c>
      <c r="J80" s="493">
        <f t="shared" ref="J80:J81" si="6">+H80*I80</f>
        <v>0</v>
      </c>
    </row>
    <row r="81" spans="1:10" s="495" customFormat="1">
      <c r="A81" s="638" t="e">
        <f>+#REF!</f>
        <v>#REF!</v>
      </c>
      <c r="B81" s="749" t="e">
        <f>+#REF!</f>
        <v>#REF!</v>
      </c>
      <c r="C81" s="1522" t="e">
        <f>#REF!</f>
        <v>#REF!</v>
      </c>
      <c r="D81" s="1456">
        <f>+J81*0.83</f>
        <v>0</v>
      </c>
      <c r="E81" s="1265" t="e">
        <f>+#REF!</f>
        <v>#REF!</v>
      </c>
      <c r="F81" s="1267" t="e">
        <f t="shared" si="5"/>
        <v>#REF!</v>
      </c>
      <c r="G81" s="493"/>
      <c r="H81" s="493">
        <f>+P13</f>
        <v>0</v>
      </c>
      <c r="I81" s="494">
        <v>1.05</v>
      </c>
      <c r="J81" s="493">
        <f t="shared" si="6"/>
        <v>0</v>
      </c>
    </row>
    <row r="82" spans="1:10" s="495" customFormat="1">
      <c r="A82" s="791" t="e">
        <f>+#REF!</f>
        <v>#REF!</v>
      </c>
      <c r="B82" s="824" t="e">
        <f>+#REF!</f>
        <v>#REF!</v>
      </c>
      <c r="C82" s="1522"/>
      <c r="D82" s="1456"/>
      <c r="E82" s="1265"/>
      <c r="F82" s="1267"/>
      <c r="G82" s="493"/>
      <c r="H82" s="493"/>
      <c r="I82" s="494"/>
      <c r="J82" s="493"/>
    </row>
    <row r="83" spans="1:10" s="495" customFormat="1">
      <c r="A83" s="638" t="e">
        <f>+#REF!</f>
        <v>#REF!</v>
      </c>
      <c r="B83" s="749" t="e">
        <f>+#REF!</f>
        <v>#REF!</v>
      </c>
      <c r="C83" s="1522" t="e">
        <f>#REF!</f>
        <v>#REF!</v>
      </c>
      <c r="D83" s="1456">
        <f>+D79</f>
        <v>3927</v>
      </c>
      <c r="E83" s="1265" t="e">
        <f>+#REF!</f>
        <v>#REF!</v>
      </c>
      <c r="F83" s="1267" t="e">
        <f t="shared" si="5"/>
        <v>#REF!</v>
      </c>
      <c r="G83" s="493"/>
      <c r="H83" s="493"/>
      <c r="I83" s="494"/>
      <c r="J83" s="493"/>
    </row>
    <row r="84" spans="1:10" s="495" customFormat="1">
      <c r="A84" s="638" t="e">
        <f>+#REF!</f>
        <v>#REF!</v>
      </c>
      <c r="B84" s="749" t="e">
        <f>+#REF!</f>
        <v>#REF!</v>
      </c>
      <c r="C84" s="1522" t="e">
        <f>#REF!</f>
        <v>#REF!</v>
      </c>
      <c r="D84" s="1456">
        <f t="shared" ref="D84:D85" si="7">+D80</f>
        <v>0</v>
      </c>
      <c r="E84" s="1265" t="e">
        <f>+#REF!</f>
        <v>#REF!</v>
      </c>
      <c r="F84" s="1267" t="e">
        <f t="shared" si="5"/>
        <v>#REF!</v>
      </c>
      <c r="G84" s="493"/>
      <c r="H84" s="493"/>
      <c r="I84" s="494"/>
      <c r="J84" s="493"/>
    </row>
    <row r="85" spans="1:10" s="495" customFormat="1">
      <c r="A85" s="639" t="e">
        <f>+#REF!</f>
        <v>#REF!</v>
      </c>
      <c r="B85" s="681" t="e">
        <f>+#REF!</f>
        <v>#REF!</v>
      </c>
      <c r="C85" s="1523" t="e">
        <f>#REF!</f>
        <v>#REF!</v>
      </c>
      <c r="D85" s="1414">
        <f t="shared" si="7"/>
        <v>0</v>
      </c>
      <c r="E85" s="1261" t="e">
        <f>+#REF!</f>
        <v>#REF!</v>
      </c>
      <c r="F85" s="1259" t="e">
        <f t="shared" si="5"/>
        <v>#REF!</v>
      </c>
      <c r="G85" s="493"/>
      <c r="H85" s="493"/>
      <c r="I85" s="494"/>
      <c r="J85" s="493"/>
    </row>
    <row r="86" spans="1:10" s="495" customFormat="1">
      <c r="A86" s="745" t="e">
        <f>+#REF!</f>
        <v>#REF!</v>
      </c>
      <c r="B86" s="830" t="e">
        <f>+#REF!</f>
        <v>#REF!</v>
      </c>
      <c r="C86" s="1264"/>
      <c r="D86" s="1484"/>
      <c r="E86" s="1260"/>
      <c r="F86" s="1258"/>
      <c r="G86" s="493"/>
      <c r="H86" s="493"/>
      <c r="I86" s="494"/>
      <c r="J86" s="493"/>
    </row>
    <row r="87" spans="1:10" s="495" customFormat="1">
      <c r="A87" s="791" t="e">
        <f>+#REF!</f>
        <v>#REF!</v>
      </c>
      <c r="B87" s="824" t="e">
        <f>+#REF!</f>
        <v>#REF!</v>
      </c>
      <c r="C87" s="1522"/>
      <c r="D87" s="1456"/>
      <c r="E87" s="1265"/>
      <c r="F87" s="1267"/>
      <c r="G87" s="493"/>
    </row>
    <row r="88" spans="1:10" s="495" customFormat="1">
      <c r="A88" s="638" t="e">
        <f>+#REF!</f>
        <v>#REF!</v>
      </c>
      <c r="B88" s="749" t="e">
        <f>+#REF!</f>
        <v>#REF!</v>
      </c>
      <c r="C88" s="1522" t="e">
        <f>#REF!</f>
        <v>#REF!</v>
      </c>
      <c r="D88" s="1456">
        <f>+J88</f>
        <v>0</v>
      </c>
      <c r="E88" s="1265" t="e">
        <f>+#REF!</f>
        <v>#REF!</v>
      </c>
      <c r="F88" s="1267" t="e">
        <f t="shared" si="5"/>
        <v>#REF!</v>
      </c>
      <c r="G88" s="493"/>
      <c r="H88" s="493">
        <f>20*20*0</f>
        <v>0</v>
      </c>
      <c r="I88" s="494">
        <v>1.1000000000000001</v>
      </c>
      <c r="J88" s="493">
        <f>+H88*I88</f>
        <v>0</v>
      </c>
    </row>
    <row r="89" spans="1:10" s="495" customFormat="1">
      <c r="A89" s="638" t="e">
        <f>+#REF!</f>
        <v>#REF!</v>
      </c>
      <c r="B89" s="749" t="e">
        <f>+#REF!</f>
        <v>#REF!</v>
      </c>
      <c r="C89" s="1522" t="e">
        <f>#REF!</f>
        <v>#REF!</v>
      </c>
      <c r="D89" s="1456">
        <f>+H89</f>
        <v>0</v>
      </c>
      <c r="E89" s="1265" t="e">
        <f>+#REF!</f>
        <v>#REF!</v>
      </c>
      <c r="F89" s="1267" t="e">
        <f t="shared" si="5"/>
        <v>#REF!</v>
      </c>
      <c r="G89" s="493"/>
      <c r="H89" s="493">
        <f>SUM(F9:F11)*2</f>
        <v>0</v>
      </c>
      <c r="I89" s="494">
        <v>1</v>
      </c>
      <c r="J89" s="493">
        <f>+H89*I89</f>
        <v>0</v>
      </c>
    </row>
    <row r="90" spans="1:10" s="495" customFormat="1">
      <c r="A90" s="638" t="e">
        <f>+#REF!</f>
        <v>#REF!</v>
      </c>
      <c r="B90" s="749" t="e">
        <f>+#REF!</f>
        <v>#REF!</v>
      </c>
      <c r="C90" s="1522" t="e">
        <f>#REF!</f>
        <v>#REF!</v>
      </c>
      <c r="D90" s="1456">
        <f>+J90</f>
        <v>714</v>
      </c>
      <c r="E90" s="1265" t="e">
        <f>+#REF!</f>
        <v>#REF!</v>
      </c>
      <c r="F90" s="1267" t="e">
        <f t="shared" si="5"/>
        <v>#REF!</v>
      </c>
      <c r="G90" s="493"/>
      <c r="H90" s="493">
        <f>+F13*2</f>
        <v>680</v>
      </c>
      <c r="I90" s="494">
        <v>1.05</v>
      </c>
      <c r="J90" s="493">
        <f>+H90*I90</f>
        <v>714</v>
      </c>
    </row>
    <row r="91" spans="1:10" s="495" customFormat="1">
      <c r="A91" s="791" t="e">
        <f>+#REF!</f>
        <v>#REF!</v>
      </c>
      <c r="B91" s="824" t="e">
        <f>+#REF!</f>
        <v>#REF!</v>
      </c>
      <c r="C91" s="1522"/>
      <c r="D91" s="1456"/>
      <c r="E91" s="1265"/>
      <c r="F91" s="1267"/>
      <c r="G91" s="493"/>
      <c r="H91" s="493"/>
      <c r="I91" s="494"/>
      <c r="J91" s="493"/>
    </row>
    <row r="92" spans="1:10" s="495" customFormat="1">
      <c r="A92" s="638" t="e">
        <f>+#REF!</f>
        <v>#REF!</v>
      </c>
      <c r="B92" s="749" t="e">
        <f>+#REF!</f>
        <v>#REF!</v>
      </c>
      <c r="C92" s="1522" t="e">
        <f>#REF!</f>
        <v>#REF!</v>
      </c>
      <c r="D92" s="1456">
        <f>+D88</f>
        <v>0</v>
      </c>
      <c r="E92" s="1265" t="e">
        <f>+#REF!</f>
        <v>#REF!</v>
      </c>
      <c r="F92" s="1267" t="e">
        <f t="shared" si="5"/>
        <v>#REF!</v>
      </c>
      <c r="G92" s="493"/>
      <c r="H92" s="493"/>
      <c r="I92" s="494"/>
      <c r="J92" s="493"/>
    </row>
    <row r="93" spans="1:10" s="495" customFormat="1">
      <c r="A93" s="638" t="e">
        <f>+#REF!</f>
        <v>#REF!</v>
      </c>
      <c r="B93" s="749" t="e">
        <f>+#REF!</f>
        <v>#REF!</v>
      </c>
      <c r="C93" s="1522" t="e">
        <f>#REF!</f>
        <v>#REF!</v>
      </c>
      <c r="D93" s="1456">
        <f>+D89</f>
        <v>0</v>
      </c>
      <c r="E93" s="1265" t="e">
        <f>+#REF!</f>
        <v>#REF!</v>
      </c>
      <c r="F93" s="1267" t="e">
        <f t="shared" si="5"/>
        <v>#REF!</v>
      </c>
      <c r="G93" s="493"/>
      <c r="H93" s="493"/>
      <c r="I93" s="494"/>
      <c r="J93" s="493"/>
    </row>
    <row r="94" spans="1:10" s="495" customFormat="1">
      <c r="A94" s="639" t="e">
        <f>+#REF!</f>
        <v>#REF!</v>
      </c>
      <c r="B94" s="681" t="e">
        <f>+#REF!</f>
        <v>#REF!</v>
      </c>
      <c r="C94" s="1523" t="e">
        <f>#REF!</f>
        <v>#REF!</v>
      </c>
      <c r="D94" s="1414">
        <f>+D90</f>
        <v>714</v>
      </c>
      <c r="E94" s="1261" t="e">
        <f>+#REF!</f>
        <v>#REF!</v>
      </c>
      <c r="F94" s="1259" t="e">
        <f t="shared" si="5"/>
        <v>#REF!</v>
      </c>
      <c r="G94" s="493"/>
      <c r="H94" s="493"/>
      <c r="I94" s="494"/>
      <c r="J94" s="493"/>
    </row>
    <row r="95" spans="1:10" s="495" customFormat="1" ht="30" customHeight="1">
      <c r="A95" s="745" t="e">
        <f>+#REF!</f>
        <v>#REF!</v>
      </c>
      <c r="B95" s="1448" t="e">
        <f>+#REF!</f>
        <v>#REF!</v>
      </c>
      <c r="C95" s="1264"/>
      <c r="D95" s="1484"/>
      <c r="E95" s="1260"/>
      <c r="F95" s="1258"/>
      <c r="G95" s="493"/>
      <c r="H95" s="493"/>
      <c r="I95" s="494"/>
      <c r="J95" s="493"/>
    </row>
    <row r="96" spans="1:10" s="495" customFormat="1">
      <c r="A96" s="791" t="e">
        <f>+#REF!</f>
        <v>#REF!</v>
      </c>
      <c r="B96" s="826" t="e">
        <f>+#REF!</f>
        <v>#REF!</v>
      </c>
      <c r="C96" s="1522"/>
      <c r="D96" s="1456"/>
      <c r="E96" s="1265"/>
      <c r="F96" s="1267"/>
      <c r="G96" s="493"/>
      <c r="H96" s="493">
        <f>1.6*4+0.3*5</f>
        <v>7.9</v>
      </c>
      <c r="I96" s="494">
        <f>10*5*(2340-1825)</f>
        <v>25750</v>
      </c>
      <c r="J96" s="493"/>
    </row>
    <row r="97" spans="1:16" s="495" customFormat="1">
      <c r="A97" s="638" t="e">
        <f>+#REF!</f>
        <v>#REF!</v>
      </c>
      <c r="B97" s="749" t="e">
        <f>+#REF!</f>
        <v>#REF!</v>
      </c>
      <c r="C97" s="1522" t="e">
        <f>#REF!</f>
        <v>#REF!</v>
      </c>
      <c r="D97" s="1456">
        <f>+D80*0.1</f>
        <v>0</v>
      </c>
      <c r="E97" s="1265" t="e">
        <f>+#REF!</f>
        <v>#REF!</v>
      </c>
      <c r="F97" s="1267" t="e">
        <f t="shared" si="5"/>
        <v>#REF!</v>
      </c>
      <c r="G97" s="493"/>
      <c r="H97" s="493"/>
      <c r="I97" s="494"/>
      <c r="J97" s="493"/>
    </row>
    <row r="98" spans="1:16" s="495" customFormat="1">
      <c r="A98" s="638" t="e">
        <f>+#REF!</f>
        <v>#REF!</v>
      </c>
      <c r="B98" s="749" t="e">
        <f>+#REF!</f>
        <v>#REF!</v>
      </c>
      <c r="C98" s="1522" t="e">
        <f>#REF!</f>
        <v>#REF!</v>
      </c>
      <c r="D98" s="1456">
        <f>+D80*0.2</f>
        <v>0</v>
      </c>
      <c r="E98" s="1265" t="e">
        <f>+#REF!</f>
        <v>#REF!</v>
      </c>
      <c r="F98" s="1267" t="e">
        <f t="shared" si="5"/>
        <v>#REF!</v>
      </c>
      <c r="G98" s="493"/>
      <c r="H98" s="493"/>
      <c r="I98" s="494"/>
      <c r="J98" s="493"/>
    </row>
    <row r="99" spans="1:16" s="495" customFormat="1">
      <c r="A99" s="791" t="e">
        <f>+#REF!</f>
        <v>#REF!</v>
      </c>
      <c r="B99" s="826" t="e">
        <f>+#REF!</f>
        <v>#REF!</v>
      </c>
      <c r="C99" s="1522"/>
      <c r="D99" s="1456"/>
      <c r="E99" s="1265"/>
      <c r="F99" s="1267"/>
      <c r="G99" s="493"/>
      <c r="H99" s="493"/>
      <c r="I99" s="494"/>
      <c r="J99" s="493"/>
    </row>
    <row r="100" spans="1:16" s="495" customFormat="1">
      <c r="A100" s="638" t="e">
        <f>+#REF!</f>
        <v>#REF!</v>
      </c>
      <c r="B100" s="749" t="e">
        <f>+#REF!</f>
        <v>#REF!</v>
      </c>
      <c r="C100" s="1522" t="e">
        <f>#REF!</f>
        <v>#REF!</v>
      </c>
      <c r="D100" s="1456">
        <f>+D97</f>
        <v>0</v>
      </c>
      <c r="E100" s="1265" t="e">
        <f>+#REF!</f>
        <v>#REF!</v>
      </c>
      <c r="F100" s="1267" t="e">
        <f t="shared" si="5"/>
        <v>#REF!</v>
      </c>
      <c r="G100" s="493"/>
      <c r="H100" s="493"/>
      <c r="I100" s="494"/>
      <c r="J100" s="493"/>
    </row>
    <row r="101" spans="1:16" s="495" customFormat="1">
      <c r="A101" s="639" t="e">
        <f>+#REF!</f>
        <v>#REF!</v>
      </c>
      <c r="B101" s="681" t="e">
        <f>+#REF!</f>
        <v>#REF!</v>
      </c>
      <c r="C101" s="1523" t="e">
        <f>#REF!</f>
        <v>#REF!</v>
      </c>
      <c r="D101" s="1414">
        <f>+D98</f>
        <v>0</v>
      </c>
      <c r="E101" s="1261" t="e">
        <f>+#REF!</f>
        <v>#REF!</v>
      </c>
      <c r="F101" s="1259" t="e">
        <f t="shared" si="5"/>
        <v>#REF!</v>
      </c>
      <c r="G101" s="493"/>
      <c r="H101" s="493"/>
      <c r="I101" s="494"/>
      <c r="J101" s="493"/>
    </row>
    <row r="102" spans="1:16" s="495" customFormat="1" ht="18.75">
      <c r="A102" s="749"/>
      <c r="B102" s="239"/>
      <c r="C102" s="1605"/>
      <c r="D102" s="1606"/>
      <c r="E102" s="1404" t="s">
        <v>109</v>
      </c>
      <c r="F102" s="1406" t="e">
        <f>SUM(F73:F101)</f>
        <v>#REF!</v>
      </c>
      <c r="G102" s="493"/>
      <c r="H102" s="493"/>
      <c r="I102" s="494"/>
      <c r="J102" s="493"/>
      <c r="L102" s="495">
        <f>2.95*2</f>
        <v>5.9</v>
      </c>
    </row>
    <row r="103" spans="1:16" s="129" customFormat="1" ht="15.95" customHeight="1">
      <c r="A103" s="1588"/>
      <c r="B103" s="182"/>
      <c r="C103" s="1600"/>
      <c r="D103" s="410"/>
      <c r="E103" s="1266"/>
      <c r="F103" s="1266"/>
      <c r="G103" s="255"/>
      <c r="H103" s="255"/>
      <c r="I103" s="262"/>
      <c r="J103" s="255"/>
    </row>
    <row r="104" spans="1:16" s="495" customFormat="1" ht="24.95" customHeight="1">
      <c r="A104" s="1919" t="e">
        <f>+#REF!</f>
        <v>#REF!</v>
      </c>
      <c r="B104" s="1920"/>
      <c r="C104" s="1920"/>
      <c r="D104" s="1920"/>
      <c r="E104" s="1920"/>
      <c r="F104" s="1921"/>
      <c r="G104" s="493"/>
      <c r="H104" s="493"/>
      <c r="I104" s="494"/>
      <c r="J104" s="493"/>
    </row>
    <row r="105" spans="1:16" s="129" customFormat="1">
      <c r="A105" s="745" t="e">
        <f>+#REF!</f>
        <v>#REF!</v>
      </c>
      <c r="B105" s="830" t="e">
        <f>+#REF!</f>
        <v>#REF!</v>
      </c>
      <c r="C105" s="1478"/>
      <c r="D105" s="543"/>
      <c r="E105" s="1260"/>
      <c r="F105" s="1258"/>
      <c r="G105" s="255"/>
      <c r="H105" s="255"/>
      <c r="I105" s="262"/>
      <c r="J105" s="255"/>
      <c r="L105" s="129">
        <v>6.1</v>
      </c>
    </row>
    <row r="106" spans="1:16" s="129" customFormat="1">
      <c r="A106" s="639"/>
      <c r="B106" s="681"/>
      <c r="C106" s="1523" t="e">
        <f>#REF!</f>
        <v>#REF!</v>
      </c>
      <c r="D106" s="1521">
        <f>J106</f>
        <v>27676.571190476192</v>
      </c>
      <c r="E106" s="1261" t="e">
        <f>#REF!</f>
        <v>#REF!</v>
      </c>
      <c r="F106" s="1259" t="e">
        <f>+D106*E106</f>
        <v>#REF!</v>
      </c>
      <c r="G106" s="255"/>
      <c r="H106" s="336">
        <f>83607*0.4</f>
        <v>33442.800000000003</v>
      </c>
      <c r="I106" s="262">
        <v>1</v>
      </c>
      <c r="J106" s="255">
        <f>H106*I106-J108</f>
        <v>27676.571190476192</v>
      </c>
      <c r="L106" s="129">
        <f>2*9</f>
        <v>18</v>
      </c>
      <c r="M106" s="129" t="s">
        <v>498</v>
      </c>
    </row>
    <row r="107" spans="1:16" s="129" customFormat="1">
      <c r="A107" s="745" t="e">
        <f>+#REF!</f>
        <v>#REF!</v>
      </c>
      <c r="B107" s="830" t="e">
        <f>+#REF!</f>
        <v>#REF!</v>
      </c>
      <c r="C107" s="1478"/>
      <c r="D107" s="543"/>
      <c r="E107" s="1260"/>
      <c r="F107" s="1258"/>
      <c r="G107" s="255"/>
      <c r="H107" s="255"/>
      <c r="I107" s="262"/>
      <c r="J107" s="255"/>
      <c r="L107" s="129">
        <f>2*2</f>
        <v>4</v>
      </c>
    </row>
    <row r="108" spans="1:16" s="129" customFormat="1">
      <c r="A108" s="639"/>
      <c r="B108" s="681"/>
      <c r="C108" s="1523" t="e">
        <f>#REF!</f>
        <v>#REF!</v>
      </c>
      <c r="D108" s="1521">
        <f>+J108</f>
        <v>5766.2288095238109</v>
      </c>
      <c r="E108" s="1261" t="e">
        <f>+#REF!</f>
        <v>#REF!</v>
      </c>
      <c r="F108" s="1259" t="e">
        <f t="shared" ref="F108" si="8">+D108*E108</f>
        <v>#REF!</v>
      </c>
      <c r="G108" s="255"/>
      <c r="H108" s="328">
        <f>+H106/2016*(2016-1700)</f>
        <v>5242.026190476191</v>
      </c>
      <c r="I108" s="262">
        <v>1.1000000000000001</v>
      </c>
      <c r="J108" s="255">
        <f>H108*I108</f>
        <v>5766.2288095238109</v>
      </c>
      <c r="K108" s="328">
        <f>+K106/2016*(2016-1700)</f>
        <v>0</v>
      </c>
      <c r="L108" s="262">
        <v>1.1000000000000001</v>
      </c>
      <c r="M108" s="255">
        <f>K108*L108</f>
        <v>0</v>
      </c>
      <c r="N108" s="328">
        <f>+N106/2016*(2016-1700)</f>
        <v>0</v>
      </c>
      <c r="O108" s="262">
        <v>1.1000000000000001</v>
      </c>
      <c r="P108" s="255">
        <f>N108*O108</f>
        <v>0</v>
      </c>
    </row>
    <row r="109" spans="1:16" s="129" customFormat="1">
      <c r="A109" s="745" t="e">
        <f>+#REF!</f>
        <v>#REF!</v>
      </c>
      <c r="B109" s="830" t="e">
        <f>+#REF!</f>
        <v>#REF!</v>
      </c>
      <c r="C109" s="1478"/>
      <c r="D109" s="543"/>
      <c r="E109" s="1260"/>
      <c r="F109" s="1258"/>
      <c r="G109" s="255"/>
      <c r="H109" s="328">
        <f>+H107/2016*(2016-1700)</f>
        <v>0</v>
      </c>
      <c r="I109" s="262">
        <v>1.1000000000000001</v>
      </c>
      <c r="J109" s="255">
        <f>H109*I109</f>
        <v>0</v>
      </c>
      <c r="K109" s="328">
        <f>+K107/2016*(2016-1700)</f>
        <v>0</v>
      </c>
      <c r="L109" s="262">
        <v>1.1000000000000001</v>
      </c>
      <c r="M109" s="255">
        <f>K109*L109</f>
        <v>0</v>
      </c>
      <c r="N109" s="328">
        <f>+N107/2016*(2016-1700)</f>
        <v>0</v>
      </c>
      <c r="O109" s="262">
        <v>1.1000000000000001</v>
      </c>
      <c r="P109" s="255">
        <f>N109*O109</f>
        <v>0</v>
      </c>
    </row>
    <row r="110" spans="1:16" s="129" customFormat="1">
      <c r="A110" s="639"/>
      <c r="B110" s="681"/>
      <c r="C110" s="1523" t="e">
        <f>#REF!</f>
        <v>#REF!</v>
      </c>
      <c r="D110" s="1521">
        <f>J110</f>
        <v>26754.240000000005</v>
      </c>
      <c r="E110" s="1261" t="e">
        <f>#REF!</f>
        <v>#REF!</v>
      </c>
      <c r="F110" s="1259" t="e">
        <f>+D110*E110</f>
        <v>#REF!</v>
      </c>
      <c r="G110" s="255"/>
      <c r="H110" s="256">
        <f>H106-(6.3*2.4*F4)-(4.3*2.4*F3)-(1+0.25*2+0.1*2)*(1.5+0.25*2+0.1)*F6</f>
        <v>33442.800000000003</v>
      </c>
      <c r="I110" s="262">
        <v>0.8</v>
      </c>
      <c r="J110" s="255">
        <f>H110*I110</f>
        <v>26754.240000000005</v>
      </c>
      <c r="L110" s="129">
        <f>2*3</f>
        <v>6</v>
      </c>
    </row>
    <row r="111" spans="1:16" s="129" customFormat="1">
      <c r="A111" s="745" t="e">
        <f>+#REF!</f>
        <v>#REF!</v>
      </c>
      <c r="B111" s="830" t="e">
        <f>+#REF!</f>
        <v>#REF!</v>
      </c>
      <c r="C111" s="1478"/>
      <c r="D111" s="543"/>
      <c r="E111" s="1260"/>
      <c r="F111" s="1258"/>
      <c r="G111" s="255"/>
      <c r="H111" s="255"/>
      <c r="I111" s="262"/>
      <c r="J111" s="255"/>
    </row>
    <row r="112" spans="1:16" s="129" customFormat="1">
      <c r="A112" s="639"/>
      <c r="B112" s="681"/>
      <c r="C112" s="1523" t="e">
        <f>#REF!</f>
        <v>#REF!</v>
      </c>
      <c r="D112" s="1521">
        <v>150</v>
      </c>
      <c r="E112" s="1261" t="e">
        <f>#REF!</f>
        <v>#REF!</v>
      </c>
      <c r="F112" s="1259" t="e">
        <f>+D112*E112</f>
        <v>#REF!</v>
      </c>
      <c r="G112" s="255"/>
      <c r="H112" s="255"/>
      <c r="I112" s="262"/>
      <c r="J112" s="255"/>
    </row>
    <row r="113" spans="1:189" s="129" customFormat="1">
      <c r="A113" s="745" t="e">
        <f>+#REF!</f>
        <v>#REF!</v>
      </c>
      <c r="B113" s="830" t="e">
        <f>+#REF!</f>
        <v>#REF!</v>
      </c>
      <c r="C113" s="1478"/>
      <c r="D113" s="543"/>
      <c r="E113" s="1260"/>
      <c r="F113" s="1258"/>
      <c r="G113" s="255"/>
      <c r="H113" s="255"/>
      <c r="I113" s="262"/>
      <c r="J113" s="255"/>
    </row>
    <row r="114" spans="1:189" s="129" customFormat="1">
      <c r="A114" s="639"/>
      <c r="B114" s="681"/>
      <c r="C114" s="1523" t="e">
        <f>#REF!</f>
        <v>#REF!</v>
      </c>
      <c r="D114" s="1521">
        <v>325</v>
      </c>
      <c r="E114" s="1261" t="e">
        <f>#REF!</f>
        <v>#REF!</v>
      </c>
      <c r="F114" s="1259" t="e">
        <f>+D114*E114</f>
        <v>#REF!</v>
      </c>
      <c r="G114" s="255"/>
      <c r="H114" s="255"/>
      <c r="I114" s="262"/>
      <c r="J114" s="255">
        <f>6.2+2</f>
        <v>8.1999999999999993</v>
      </c>
      <c r="K114" s="129">
        <f>2</f>
        <v>2</v>
      </c>
    </row>
    <row r="115" spans="1:189" s="129" customFormat="1">
      <c r="A115" s="745" t="e">
        <f>+#REF!</f>
        <v>#REF!</v>
      </c>
      <c r="B115" s="830" t="e">
        <f>+#REF!</f>
        <v>#REF!</v>
      </c>
      <c r="C115" s="1478"/>
      <c r="D115" s="543"/>
      <c r="E115" s="1260"/>
      <c r="F115" s="1258"/>
      <c r="G115" s="255"/>
      <c r="H115" s="255"/>
      <c r="I115" s="262"/>
      <c r="J115" s="255"/>
      <c r="K115" s="129">
        <f>J114*K114/2</f>
        <v>8.1999999999999993</v>
      </c>
    </row>
    <row r="116" spans="1:189" s="129" customFormat="1">
      <c r="A116" s="639" t="e">
        <f>+#REF!</f>
        <v>#REF!</v>
      </c>
      <c r="B116" s="681" t="e">
        <f>+#REF!</f>
        <v>#REF!</v>
      </c>
      <c r="C116" s="1523" t="e">
        <f>#REF!</f>
        <v>#REF!</v>
      </c>
      <c r="D116" s="1521">
        <f>(D120)*110</f>
        <v>19250</v>
      </c>
      <c r="E116" s="1261" t="e">
        <f>#REF!</f>
        <v>#REF!</v>
      </c>
      <c r="F116" s="1259" t="e">
        <f>+D116*E116</f>
        <v>#REF!</v>
      </c>
      <c r="G116" s="255"/>
      <c r="H116" s="255"/>
      <c r="I116" s="262"/>
      <c r="J116" s="255"/>
    </row>
    <row r="117" spans="1:189" s="129" customFormat="1">
      <c r="A117" s="745" t="e">
        <f>+#REF!</f>
        <v>#REF!</v>
      </c>
      <c r="B117" s="830" t="e">
        <f>+#REF!</f>
        <v>#REF!</v>
      </c>
      <c r="C117" s="1478"/>
      <c r="D117" s="543"/>
      <c r="E117" s="1260"/>
      <c r="F117" s="1258"/>
      <c r="G117" s="255"/>
      <c r="H117" s="255"/>
      <c r="I117" s="262"/>
      <c r="J117" s="255"/>
      <c r="L117" s="129">
        <f>0.1+0.25+0.25+0.25+0.1</f>
        <v>0.95</v>
      </c>
    </row>
    <row r="118" spans="1:189" s="129" customFormat="1">
      <c r="A118" s="639"/>
      <c r="B118" s="681"/>
      <c r="C118" s="1523" t="e">
        <f>#REF!</f>
        <v>#REF!</v>
      </c>
      <c r="D118" s="1521">
        <v>110</v>
      </c>
      <c r="E118" s="1261" t="e">
        <f>#REF!</f>
        <v>#REF!</v>
      </c>
      <c r="F118" s="1259" t="e">
        <f>+D118*E118</f>
        <v>#REF!</v>
      </c>
      <c r="G118" s="255"/>
      <c r="H118" s="255"/>
      <c r="I118" s="262"/>
      <c r="J118" s="255"/>
      <c r="L118" s="129">
        <f>1*2+L117</f>
        <v>2.95</v>
      </c>
      <c r="N118" s="129">
        <f>0.1+0.25+1.8+0.25</f>
        <v>2.4</v>
      </c>
    </row>
    <row r="119" spans="1:189" s="129" customFormat="1">
      <c r="A119" s="745" t="e">
        <f>+#REF!</f>
        <v>#REF!</v>
      </c>
      <c r="B119" s="830" t="e">
        <f>+#REF!</f>
        <v>#REF!</v>
      </c>
      <c r="C119" s="1478"/>
      <c r="D119" s="543"/>
      <c r="E119" s="1260"/>
      <c r="F119" s="1258"/>
      <c r="G119" s="255"/>
      <c r="H119" s="255"/>
      <c r="I119" s="262"/>
      <c r="J119" s="255"/>
    </row>
    <row r="120" spans="1:189" s="129" customFormat="1">
      <c r="A120" s="639"/>
      <c r="B120" s="681"/>
      <c r="C120" s="1523" t="e">
        <f>#REF!</f>
        <v>#REF!</v>
      </c>
      <c r="D120" s="1521">
        <v>175</v>
      </c>
      <c r="E120" s="1261" t="e">
        <f>#REF!</f>
        <v>#REF!</v>
      </c>
      <c r="F120" s="1259" t="e">
        <f>+D120*E120</f>
        <v>#REF!</v>
      </c>
      <c r="G120" s="255"/>
      <c r="H120" s="255"/>
      <c r="I120" s="262"/>
      <c r="J120" s="255"/>
    </row>
    <row r="121" spans="1:189" s="129" customFormat="1">
      <c r="A121" s="1449" t="e">
        <f>+#REF!</f>
        <v>#REF!</v>
      </c>
      <c r="B121" s="1448" t="e">
        <f>+#REF!</f>
        <v>#REF!</v>
      </c>
      <c r="C121" s="1516"/>
      <c r="D121" s="954"/>
      <c r="E121" s="1260"/>
      <c r="F121" s="1258"/>
      <c r="G121" s="255"/>
      <c r="H121" s="255"/>
      <c r="I121" s="262"/>
      <c r="J121" s="255"/>
    </row>
    <row r="122" spans="1:189" s="129" customFormat="1">
      <c r="A122" s="638" t="e">
        <f>+#REF!</f>
        <v>#REF!</v>
      </c>
      <c r="B122" s="749" t="e">
        <f>+#REF!</f>
        <v>#REF!</v>
      </c>
      <c r="C122" s="1522" t="e">
        <f>#REF!</f>
        <v>#REF!</v>
      </c>
      <c r="D122" s="955">
        <f>J122</f>
        <v>0</v>
      </c>
      <c r="E122" s="1265" t="e">
        <f>#REF!</f>
        <v>#REF!</v>
      </c>
      <c r="F122" s="1267" t="e">
        <f>+D122*E122</f>
        <v>#REF!</v>
      </c>
      <c r="G122" s="255"/>
      <c r="H122" s="255">
        <f>2%*J56*0</f>
        <v>0</v>
      </c>
      <c r="I122" s="262">
        <v>1.1000000000000001</v>
      </c>
      <c r="J122" s="255">
        <f>H122*I122</f>
        <v>0</v>
      </c>
    </row>
    <row r="123" spans="1:189" s="129" customFormat="1">
      <c r="A123" s="638" t="e">
        <f>+#REF!</f>
        <v>#REF!</v>
      </c>
      <c r="B123" s="749" t="e">
        <f>+#REF!</f>
        <v>#REF!</v>
      </c>
      <c r="C123" s="1522" t="e">
        <f>#REF!</f>
        <v>#REF!</v>
      </c>
      <c r="D123" s="955">
        <f>J123</f>
        <v>0</v>
      </c>
      <c r="E123" s="1265" t="e">
        <f>#REF!</f>
        <v>#REF!</v>
      </c>
      <c r="F123" s="1267" t="e">
        <f>+D123*E123</f>
        <v>#REF!</v>
      </c>
      <c r="G123" s="255"/>
      <c r="H123" s="255">
        <f>1%*H56*0</f>
        <v>0</v>
      </c>
      <c r="I123" s="262">
        <v>1.1000000000000001</v>
      </c>
      <c r="J123" s="255">
        <f>H123*I123</f>
        <v>0</v>
      </c>
    </row>
    <row r="124" spans="1:189">
      <c r="A124" s="639" t="e">
        <f>+#REF!</f>
        <v>#REF!</v>
      </c>
      <c r="B124" s="681" t="e">
        <f>+#REF!</f>
        <v>#REF!</v>
      </c>
      <c r="C124" s="1523" t="e">
        <f>#REF!</f>
        <v>#REF!</v>
      </c>
      <c r="D124" s="1143">
        <f>H124</f>
        <v>0</v>
      </c>
      <c r="E124" s="1261" t="e">
        <f>#REF!</f>
        <v>#REF!</v>
      </c>
      <c r="F124" s="1259" t="e">
        <f>+D124*E124</f>
        <v>#REF!</v>
      </c>
      <c r="H124" s="255">
        <f>30*0</f>
        <v>0</v>
      </c>
    </row>
    <row r="125" spans="1:189" s="225" customFormat="1">
      <c r="A125" s="745" t="e">
        <f>+#REF!</f>
        <v>#REF!</v>
      </c>
      <c r="B125" s="1448" t="e">
        <f>+#REF!</f>
        <v>#REF!</v>
      </c>
      <c r="C125" s="1264"/>
      <c r="D125" s="1519"/>
      <c r="E125" s="1260"/>
      <c r="F125" s="1258"/>
      <c r="G125" s="259"/>
      <c r="H125" s="259"/>
      <c r="I125" s="265"/>
      <c r="J125" s="255">
        <f>H125*I125</f>
        <v>0</v>
      </c>
      <c r="K125" s="226"/>
      <c r="L125" s="226"/>
      <c r="M125" s="226"/>
      <c r="N125" s="226"/>
      <c r="O125" s="226"/>
      <c r="P125" s="226"/>
      <c r="Q125" s="226"/>
      <c r="R125" s="226"/>
      <c r="S125" s="226"/>
      <c r="T125" s="226"/>
      <c r="U125" s="226"/>
      <c r="V125" s="226"/>
      <c r="W125" s="226"/>
      <c r="X125" s="226"/>
      <c r="Y125" s="226"/>
      <c r="Z125" s="226"/>
      <c r="AA125" s="226"/>
      <c r="AB125" s="226"/>
      <c r="AC125" s="226"/>
      <c r="AD125" s="226"/>
      <c r="AE125" s="226"/>
      <c r="AF125" s="226"/>
      <c r="AG125" s="226"/>
      <c r="AH125" s="226"/>
      <c r="AI125" s="226"/>
      <c r="AJ125" s="226"/>
      <c r="AK125" s="226"/>
      <c r="AL125" s="226"/>
      <c r="AM125" s="226"/>
      <c r="AN125" s="226"/>
      <c r="AO125" s="226"/>
      <c r="AP125" s="226"/>
      <c r="AQ125" s="226"/>
      <c r="AR125" s="226"/>
      <c r="AS125" s="226"/>
      <c r="AT125" s="226"/>
      <c r="AU125" s="226"/>
      <c r="AV125" s="226"/>
      <c r="AW125" s="226"/>
      <c r="AX125" s="226"/>
      <c r="AY125" s="226"/>
      <c r="AZ125" s="226"/>
      <c r="BA125" s="226"/>
      <c r="BB125" s="226"/>
      <c r="BC125" s="226"/>
      <c r="BD125" s="226"/>
      <c r="BE125" s="226"/>
      <c r="BF125" s="226"/>
      <c r="BG125" s="226"/>
      <c r="BH125" s="226"/>
      <c r="BI125" s="226"/>
      <c r="BJ125" s="226"/>
      <c r="BK125" s="226"/>
      <c r="BL125" s="226"/>
      <c r="BM125" s="226"/>
      <c r="BN125" s="226"/>
      <c r="BO125" s="226"/>
      <c r="BP125" s="226"/>
      <c r="BQ125" s="226"/>
      <c r="BR125" s="226"/>
      <c r="BS125" s="226"/>
      <c r="BT125" s="226"/>
      <c r="BU125" s="226"/>
      <c r="BV125" s="226"/>
      <c r="BW125" s="226"/>
      <c r="BX125" s="226"/>
      <c r="BY125" s="226"/>
      <c r="BZ125" s="226"/>
      <c r="CA125" s="226"/>
      <c r="CB125" s="226"/>
      <c r="CC125" s="226"/>
      <c r="CD125" s="226"/>
      <c r="CE125" s="226"/>
      <c r="CF125" s="226"/>
      <c r="CG125" s="226"/>
      <c r="CH125" s="226"/>
      <c r="CI125" s="226"/>
      <c r="CJ125" s="226"/>
      <c r="CK125" s="226"/>
      <c r="CL125" s="226"/>
      <c r="CM125" s="226"/>
      <c r="CN125" s="226"/>
      <c r="CO125" s="226"/>
      <c r="CP125" s="226"/>
      <c r="CQ125" s="226"/>
      <c r="CR125" s="226"/>
      <c r="CS125" s="226"/>
      <c r="CT125" s="226"/>
      <c r="CU125" s="226"/>
      <c r="CV125" s="226"/>
      <c r="CW125" s="226"/>
      <c r="CX125" s="226"/>
      <c r="CY125" s="226"/>
      <c r="CZ125" s="226"/>
      <c r="DA125" s="226"/>
      <c r="DB125" s="226"/>
      <c r="DC125" s="226"/>
      <c r="DD125" s="226"/>
      <c r="DE125" s="226"/>
      <c r="DF125" s="226"/>
      <c r="DG125" s="226"/>
      <c r="DH125" s="226"/>
      <c r="DI125" s="226"/>
      <c r="DJ125" s="226"/>
      <c r="DK125" s="226"/>
      <c r="DL125" s="226"/>
      <c r="DM125" s="226"/>
      <c r="DN125" s="226"/>
      <c r="DO125" s="226"/>
      <c r="DP125" s="226"/>
      <c r="DQ125" s="226"/>
      <c r="DR125" s="226"/>
      <c r="DS125" s="226"/>
      <c r="DT125" s="226"/>
      <c r="DU125" s="226"/>
      <c r="DV125" s="226"/>
      <c r="DW125" s="226"/>
      <c r="DX125" s="226"/>
      <c r="DY125" s="226"/>
      <c r="DZ125" s="226"/>
      <c r="EA125" s="226"/>
      <c r="EB125" s="226"/>
      <c r="EC125" s="226"/>
      <c r="ED125" s="226"/>
      <c r="EE125" s="226"/>
      <c r="EF125" s="226"/>
      <c r="EG125" s="226"/>
      <c r="EH125" s="226"/>
      <c r="EI125" s="226"/>
      <c r="EJ125" s="226"/>
      <c r="EK125" s="226"/>
      <c r="EL125" s="226"/>
      <c r="EM125" s="226"/>
      <c r="EN125" s="226"/>
      <c r="EO125" s="226"/>
      <c r="EP125" s="226"/>
      <c r="EQ125" s="226"/>
      <c r="ER125" s="226"/>
      <c r="ES125" s="226"/>
      <c r="ET125" s="226"/>
      <c r="EU125" s="226"/>
      <c r="EV125" s="226"/>
      <c r="EW125" s="226"/>
      <c r="EX125" s="226"/>
      <c r="EY125" s="226"/>
      <c r="EZ125" s="226"/>
      <c r="FA125" s="226"/>
      <c r="FB125" s="226"/>
      <c r="FC125" s="226"/>
      <c r="FD125" s="226"/>
      <c r="FE125" s="226"/>
      <c r="FF125" s="226"/>
      <c r="FG125" s="226"/>
      <c r="FH125" s="226"/>
      <c r="FI125" s="226"/>
      <c r="FJ125" s="226"/>
      <c r="FK125" s="226"/>
      <c r="FL125" s="226"/>
      <c r="FM125" s="226"/>
      <c r="FN125" s="226"/>
      <c r="FO125" s="226"/>
      <c r="FP125" s="226"/>
      <c r="FQ125" s="226"/>
      <c r="FR125" s="226"/>
      <c r="FS125" s="226"/>
      <c r="FT125" s="226"/>
      <c r="FU125" s="226"/>
      <c r="FV125" s="226"/>
      <c r="FW125" s="226"/>
      <c r="FX125" s="226"/>
      <c r="FY125" s="226"/>
      <c r="FZ125" s="226"/>
      <c r="GA125" s="226"/>
      <c r="GB125" s="226"/>
      <c r="GC125" s="226"/>
      <c r="GD125" s="226"/>
      <c r="GE125" s="226"/>
      <c r="GF125" s="226"/>
      <c r="GG125" s="226"/>
    </row>
    <row r="126" spans="1:189" s="225" customFormat="1">
      <c r="A126" s="638" t="e">
        <f>+#REF!</f>
        <v>#REF!</v>
      </c>
      <c r="B126" s="749" t="e">
        <f>+#REF!</f>
        <v>#REF!</v>
      </c>
      <c r="C126" s="1522" t="e">
        <f>#REF!</f>
        <v>#REF!</v>
      </c>
      <c r="D126" s="1520">
        <f>+J126</f>
        <v>448.8</v>
      </c>
      <c r="E126" s="1265" t="e">
        <f>+#REF!</f>
        <v>#REF!</v>
      </c>
      <c r="F126" s="1267" t="e">
        <f>+D126*E126</f>
        <v>#REF!</v>
      </c>
      <c r="G126" s="259"/>
      <c r="H126" s="225">
        <f>+(F9+F10+F11+F12)*2*0.6</f>
        <v>408</v>
      </c>
      <c r="I126" s="265">
        <v>1.1000000000000001</v>
      </c>
      <c r="J126" s="255">
        <f>H126*I126</f>
        <v>448.8</v>
      </c>
      <c r="K126" s="226" t="s">
        <v>595</v>
      </c>
      <c r="L126" s="226"/>
      <c r="M126" s="226">
        <f>+(F9+F10+F11)*2</f>
        <v>0</v>
      </c>
      <c r="N126" s="226"/>
      <c r="O126" s="226"/>
      <c r="P126" s="226"/>
      <c r="Q126" s="226"/>
      <c r="R126" s="226"/>
      <c r="S126" s="226"/>
      <c r="T126" s="226"/>
      <c r="U126" s="226"/>
      <c r="V126" s="226"/>
      <c r="W126" s="226"/>
      <c r="X126" s="226"/>
      <c r="Y126" s="226"/>
      <c r="Z126" s="226"/>
      <c r="AA126" s="226"/>
      <c r="AB126" s="226"/>
      <c r="AC126" s="226"/>
      <c r="AD126" s="226"/>
      <c r="AE126" s="226"/>
      <c r="AF126" s="226"/>
      <c r="AG126" s="226"/>
      <c r="AH126" s="226"/>
      <c r="AI126" s="226"/>
      <c r="AJ126" s="226"/>
      <c r="AK126" s="226"/>
      <c r="AL126" s="226"/>
      <c r="AM126" s="226"/>
      <c r="AN126" s="226"/>
      <c r="AO126" s="226"/>
      <c r="AP126" s="226"/>
      <c r="AQ126" s="226"/>
      <c r="AR126" s="226"/>
      <c r="AS126" s="226"/>
      <c r="AT126" s="226"/>
      <c r="AU126" s="226"/>
      <c r="AV126" s="226"/>
      <c r="AW126" s="226"/>
      <c r="AX126" s="226"/>
      <c r="AY126" s="226"/>
      <c r="AZ126" s="226"/>
      <c r="BA126" s="226"/>
      <c r="BB126" s="226"/>
      <c r="BC126" s="226"/>
      <c r="BD126" s="226"/>
      <c r="BE126" s="226"/>
      <c r="BF126" s="226"/>
      <c r="BG126" s="226"/>
      <c r="BH126" s="226"/>
      <c r="BI126" s="226"/>
      <c r="BJ126" s="226"/>
      <c r="BK126" s="226"/>
      <c r="BL126" s="226"/>
      <c r="BM126" s="226"/>
      <c r="BN126" s="226"/>
      <c r="BO126" s="226"/>
      <c r="BP126" s="226"/>
      <c r="BQ126" s="226"/>
      <c r="BR126" s="226"/>
      <c r="BS126" s="226"/>
      <c r="BT126" s="226"/>
      <c r="BU126" s="226"/>
      <c r="BV126" s="226"/>
      <c r="BW126" s="226"/>
      <c r="BX126" s="226"/>
      <c r="BY126" s="226"/>
      <c r="BZ126" s="226"/>
      <c r="CA126" s="226"/>
      <c r="CB126" s="226"/>
      <c r="CC126" s="226"/>
      <c r="CD126" s="226"/>
      <c r="CE126" s="226"/>
      <c r="CF126" s="226"/>
      <c r="CG126" s="226"/>
      <c r="CH126" s="226"/>
      <c r="CI126" s="226"/>
      <c r="CJ126" s="226"/>
      <c r="CK126" s="226"/>
      <c r="CL126" s="226"/>
      <c r="CM126" s="226"/>
      <c r="CN126" s="226"/>
      <c r="CO126" s="226"/>
      <c r="CP126" s="226"/>
      <c r="CQ126" s="226"/>
      <c r="CR126" s="226"/>
      <c r="CS126" s="226"/>
      <c r="CT126" s="226"/>
      <c r="CU126" s="226"/>
      <c r="CV126" s="226"/>
      <c r="CW126" s="226"/>
      <c r="CX126" s="226"/>
      <c r="CY126" s="226"/>
      <c r="CZ126" s="226"/>
      <c r="DA126" s="226"/>
      <c r="DB126" s="226"/>
      <c r="DC126" s="226"/>
      <c r="DD126" s="226"/>
      <c r="DE126" s="226"/>
      <c r="DF126" s="226"/>
      <c r="DG126" s="226"/>
      <c r="DH126" s="226"/>
      <c r="DI126" s="226"/>
      <c r="DJ126" s="226"/>
      <c r="DK126" s="226"/>
      <c r="DL126" s="226"/>
      <c r="DM126" s="226"/>
      <c r="DN126" s="226"/>
      <c r="DO126" s="226"/>
      <c r="DP126" s="226"/>
      <c r="DQ126" s="226"/>
      <c r="DR126" s="226"/>
      <c r="DS126" s="226"/>
      <c r="DT126" s="226"/>
      <c r="DU126" s="226"/>
      <c r="DV126" s="226"/>
      <c r="DW126" s="226"/>
      <c r="DX126" s="226"/>
      <c r="DY126" s="226"/>
      <c r="DZ126" s="226"/>
      <c r="EA126" s="226"/>
      <c r="EB126" s="226"/>
      <c r="EC126" s="226"/>
      <c r="ED126" s="226"/>
      <c r="EE126" s="226"/>
      <c r="EF126" s="226"/>
      <c r="EG126" s="226"/>
      <c r="EH126" s="226"/>
      <c r="EI126" s="226"/>
      <c r="EJ126" s="226"/>
      <c r="EK126" s="226"/>
      <c r="EL126" s="226"/>
      <c r="EM126" s="226"/>
      <c r="EN126" s="226"/>
      <c r="EO126" s="226"/>
      <c r="EP126" s="226"/>
      <c r="EQ126" s="226"/>
      <c r="ER126" s="226"/>
      <c r="ES126" s="226"/>
      <c r="ET126" s="226"/>
      <c r="EU126" s="226"/>
      <c r="EV126" s="226"/>
      <c r="EW126" s="226"/>
      <c r="EX126" s="226"/>
      <c r="EY126" s="226"/>
      <c r="EZ126" s="226"/>
      <c r="FA126" s="226"/>
      <c r="FB126" s="226"/>
      <c r="FC126" s="226"/>
      <c r="FD126" s="226"/>
      <c r="FE126" s="226"/>
      <c r="FF126" s="226"/>
      <c r="FG126" s="226"/>
      <c r="FH126" s="226"/>
      <c r="FI126" s="226"/>
      <c r="FJ126" s="226"/>
      <c r="FK126" s="226"/>
      <c r="FL126" s="226"/>
      <c r="FM126" s="226"/>
      <c r="FN126" s="226"/>
      <c r="FO126" s="226"/>
      <c r="FP126" s="226"/>
      <c r="FQ126" s="226"/>
      <c r="FR126" s="226"/>
      <c r="FS126" s="226"/>
      <c r="FT126" s="226"/>
      <c r="FU126" s="226"/>
      <c r="FV126" s="226"/>
      <c r="FW126" s="226"/>
      <c r="FX126" s="226"/>
      <c r="FY126" s="226"/>
      <c r="FZ126" s="226"/>
      <c r="GA126" s="226"/>
      <c r="GB126" s="226"/>
      <c r="GC126" s="226"/>
      <c r="GD126" s="226"/>
      <c r="GE126" s="226"/>
      <c r="GF126" s="226"/>
      <c r="GG126" s="226"/>
    </row>
    <row r="127" spans="1:189" s="225" customFormat="1">
      <c r="A127" s="639" t="e">
        <f>+#REF!</f>
        <v>#REF!</v>
      </c>
      <c r="B127" s="681" t="e">
        <f>+#REF!</f>
        <v>#REF!</v>
      </c>
      <c r="C127" s="1523" t="e">
        <f>#REF!</f>
        <v>#REF!</v>
      </c>
      <c r="D127" s="1521">
        <f>+J127</f>
        <v>299.20000000000005</v>
      </c>
      <c r="E127" s="1261" t="e">
        <f>+#REF!</f>
        <v>#REF!</v>
      </c>
      <c r="F127" s="1259" t="e">
        <f>+D127*E127</f>
        <v>#REF!</v>
      </c>
      <c r="G127" s="259"/>
      <c r="H127" s="225">
        <f>+(F9+F10+F11+F12)*2*0.4</f>
        <v>272</v>
      </c>
      <c r="I127" s="265">
        <v>1.1000000000000001</v>
      </c>
      <c r="J127" s="255">
        <f>H127*I127</f>
        <v>299.20000000000005</v>
      </c>
      <c r="K127" s="226"/>
      <c r="L127" s="226"/>
      <c r="M127" s="226"/>
      <c r="N127" s="226"/>
      <c r="O127" s="226"/>
      <c r="P127" s="226"/>
      <c r="Q127" s="226"/>
      <c r="R127" s="226"/>
      <c r="S127" s="226"/>
      <c r="T127" s="226"/>
      <c r="U127" s="226"/>
      <c r="V127" s="226"/>
      <c r="W127" s="226"/>
      <c r="X127" s="226"/>
      <c r="Y127" s="226"/>
      <c r="Z127" s="226"/>
      <c r="AA127" s="226"/>
      <c r="AB127" s="226"/>
      <c r="AC127" s="226"/>
      <c r="AD127" s="226"/>
      <c r="AE127" s="226"/>
      <c r="AF127" s="226"/>
      <c r="AG127" s="226"/>
      <c r="AH127" s="226"/>
      <c r="AI127" s="226"/>
      <c r="AJ127" s="226"/>
      <c r="AK127" s="226"/>
      <c r="AL127" s="226"/>
      <c r="AM127" s="226"/>
      <c r="AN127" s="226"/>
      <c r="AO127" s="226"/>
      <c r="AP127" s="226"/>
      <c r="AQ127" s="226"/>
      <c r="AR127" s="226"/>
      <c r="AS127" s="226"/>
      <c r="AT127" s="226"/>
      <c r="AU127" s="226"/>
      <c r="AV127" s="226"/>
      <c r="AW127" s="226"/>
      <c r="AX127" s="226"/>
      <c r="AY127" s="226"/>
      <c r="AZ127" s="226"/>
      <c r="BA127" s="226"/>
      <c r="BB127" s="226"/>
      <c r="BC127" s="226"/>
      <c r="BD127" s="226"/>
      <c r="BE127" s="226"/>
      <c r="BF127" s="226"/>
      <c r="BG127" s="226"/>
      <c r="BH127" s="226"/>
      <c r="BI127" s="226"/>
      <c r="BJ127" s="226"/>
      <c r="BK127" s="226"/>
      <c r="BL127" s="226"/>
      <c r="BM127" s="226"/>
      <c r="BN127" s="226"/>
      <c r="BO127" s="226"/>
      <c r="BP127" s="226"/>
      <c r="BQ127" s="226"/>
      <c r="BR127" s="226"/>
      <c r="BS127" s="226"/>
      <c r="BT127" s="226"/>
      <c r="BU127" s="226"/>
      <c r="BV127" s="226"/>
      <c r="BW127" s="226"/>
      <c r="BX127" s="226"/>
      <c r="BY127" s="226"/>
      <c r="BZ127" s="226"/>
      <c r="CA127" s="226"/>
      <c r="CB127" s="226"/>
      <c r="CC127" s="226"/>
      <c r="CD127" s="226"/>
      <c r="CE127" s="226"/>
      <c r="CF127" s="226"/>
      <c r="CG127" s="226"/>
      <c r="CH127" s="226"/>
      <c r="CI127" s="226"/>
      <c r="CJ127" s="226"/>
      <c r="CK127" s="226"/>
      <c r="CL127" s="226"/>
      <c r="CM127" s="226"/>
      <c r="CN127" s="226"/>
      <c r="CO127" s="226"/>
      <c r="CP127" s="226"/>
      <c r="CQ127" s="226"/>
      <c r="CR127" s="226"/>
      <c r="CS127" s="226"/>
      <c r="CT127" s="226"/>
      <c r="CU127" s="226"/>
      <c r="CV127" s="226"/>
      <c r="CW127" s="226"/>
      <c r="CX127" s="226"/>
      <c r="CY127" s="226"/>
      <c r="CZ127" s="226"/>
      <c r="DA127" s="226"/>
      <c r="DB127" s="226"/>
      <c r="DC127" s="226"/>
      <c r="DD127" s="226"/>
      <c r="DE127" s="226"/>
      <c r="DF127" s="226"/>
      <c r="DG127" s="226"/>
      <c r="DH127" s="226"/>
      <c r="DI127" s="226"/>
      <c r="DJ127" s="226"/>
      <c r="DK127" s="226"/>
      <c r="DL127" s="226"/>
      <c r="DM127" s="226"/>
      <c r="DN127" s="226"/>
      <c r="DO127" s="226"/>
      <c r="DP127" s="226"/>
      <c r="DQ127" s="226"/>
      <c r="DR127" s="226"/>
      <c r="DS127" s="226"/>
      <c r="DT127" s="226"/>
      <c r="DU127" s="226"/>
      <c r="DV127" s="226"/>
      <c r="DW127" s="226"/>
      <c r="DX127" s="226"/>
      <c r="DY127" s="226"/>
      <c r="DZ127" s="226"/>
      <c r="EA127" s="226"/>
      <c r="EB127" s="226"/>
      <c r="EC127" s="226"/>
      <c r="ED127" s="226"/>
      <c r="EE127" s="226"/>
      <c r="EF127" s="226"/>
      <c r="EG127" s="226"/>
      <c r="EH127" s="226"/>
      <c r="EI127" s="226"/>
      <c r="EJ127" s="226"/>
      <c r="EK127" s="226"/>
      <c r="EL127" s="226"/>
      <c r="EM127" s="226"/>
      <c r="EN127" s="226"/>
      <c r="EO127" s="226"/>
      <c r="EP127" s="226"/>
      <c r="EQ127" s="226"/>
      <c r="ER127" s="226"/>
      <c r="ES127" s="226"/>
      <c r="ET127" s="226"/>
      <c r="EU127" s="226"/>
      <c r="EV127" s="226"/>
      <c r="EW127" s="226"/>
      <c r="EX127" s="226"/>
      <c r="EY127" s="226"/>
      <c r="EZ127" s="226"/>
      <c r="FA127" s="226"/>
      <c r="FB127" s="226"/>
      <c r="FC127" s="226"/>
      <c r="FD127" s="226"/>
      <c r="FE127" s="226"/>
      <c r="FF127" s="226"/>
      <c r="FG127" s="226"/>
      <c r="FH127" s="226"/>
      <c r="FI127" s="226"/>
      <c r="FJ127" s="226"/>
      <c r="FK127" s="226"/>
      <c r="FL127" s="226"/>
      <c r="FM127" s="226"/>
      <c r="FN127" s="226"/>
      <c r="FO127" s="226"/>
      <c r="FP127" s="226"/>
      <c r="FQ127" s="226"/>
      <c r="FR127" s="226"/>
      <c r="FS127" s="226"/>
      <c r="FT127" s="226"/>
      <c r="FU127" s="226"/>
      <c r="FV127" s="226"/>
      <c r="FW127" s="226"/>
      <c r="FX127" s="226"/>
      <c r="FY127" s="226"/>
      <c r="FZ127" s="226"/>
      <c r="GA127" s="226"/>
      <c r="GB127" s="226"/>
      <c r="GC127" s="226"/>
      <c r="GD127" s="226"/>
      <c r="GE127" s="226"/>
      <c r="GF127" s="226"/>
      <c r="GG127" s="226"/>
    </row>
    <row r="128" spans="1:189" s="225" customFormat="1">
      <c r="A128" s="745" t="e">
        <f>+#REF!</f>
        <v>#REF!</v>
      </c>
      <c r="B128" s="830" t="e">
        <f>+#REF!</f>
        <v>#REF!</v>
      </c>
      <c r="C128" s="1264"/>
      <c r="D128" s="1519"/>
      <c r="E128" s="1260"/>
      <c r="F128" s="1258"/>
      <c r="G128" s="259"/>
      <c r="I128" s="265"/>
      <c r="J128" s="255"/>
      <c r="K128" s="226"/>
      <c r="L128" s="226"/>
      <c r="M128" s="226"/>
      <c r="N128" s="226"/>
      <c r="O128" s="226"/>
      <c r="P128" s="226"/>
      <c r="Q128" s="226"/>
      <c r="R128" s="226"/>
      <c r="S128" s="226"/>
      <c r="T128" s="226"/>
      <c r="U128" s="226"/>
      <c r="V128" s="226"/>
      <c r="W128" s="226"/>
      <c r="X128" s="226"/>
      <c r="Y128" s="226"/>
      <c r="Z128" s="226"/>
      <c r="AA128" s="226"/>
      <c r="AB128" s="226"/>
      <c r="AC128" s="226"/>
      <c r="AD128" s="226"/>
      <c r="AE128" s="226"/>
      <c r="AF128" s="226"/>
      <c r="AG128" s="226"/>
      <c r="AH128" s="226"/>
      <c r="AI128" s="226"/>
      <c r="AJ128" s="226"/>
      <c r="AK128" s="226"/>
      <c r="AL128" s="226"/>
      <c r="AM128" s="226"/>
      <c r="AN128" s="226"/>
      <c r="AO128" s="226"/>
      <c r="AP128" s="226"/>
      <c r="AQ128" s="226"/>
      <c r="AR128" s="226"/>
      <c r="AS128" s="226"/>
      <c r="AT128" s="226"/>
      <c r="AU128" s="226"/>
      <c r="AV128" s="226"/>
      <c r="AW128" s="226"/>
      <c r="AX128" s="226"/>
      <c r="AY128" s="226"/>
      <c r="AZ128" s="226"/>
      <c r="BA128" s="226"/>
      <c r="BB128" s="226"/>
      <c r="BC128" s="226"/>
      <c r="BD128" s="226"/>
      <c r="BE128" s="226"/>
      <c r="BF128" s="226"/>
      <c r="BG128" s="226"/>
      <c r="BH128" s="226"/>
      <c r="BI128" s="226"/>
      <c r="BJ128" s="226"/>
      <c r="BK128" s="226"/>
      <c r="BL128" s="226"/>
      <c r="BM128" s="226"/>
      <c r="BN128" s="226"/>
      <c r="BO128" s="226"/>
      <c r="BP128" s="226"/>
      <c r="BQ128" s="226"/>
      <c r="BR128" s="226"/>
      <c r="BS128" s="226"/>
      <c r="BT128" s="226"/>
      <c r="BU128" s="226"/>
      <c r="BV128" s="226"/>
      <c r="BW128" s="226"/>
      <c r="BX128" s="226"/>
      <c r="BY128" s="226"/>
      <c r="BZ128" s="226"/>
      <c r="CA128" s="226"/>
      <c r="CB128" s="226"/>
      <c r="CC128" s="226"/>
      <c r="CD128" s="226"/>
      <c r="CE128" s="226"/>
      <c r="CF128" s="226"/>
      <c r="CG128" s="226"/>
      <c r="CH128" s="226"/>
      <c r="CI128" s="226"/>
      <c r="CJ128" s="226"/>
      <c r="CK128" s="226"/>
      <c r="CL128" s="226"/>
      <c r="CM128" s="226"/>
      <c r="CN128" s="226"/>
      <c r="CO128" s="226"/>
      <c r="CP128" s="226"/>
      <c r="CQ128" s="226"/>
      <c r="CR128" s="226"/>
      <c r="CS128" s="226"/>
      <c r="CT128" s="226"/>
      <c r="CU128" s="226"/>
      <c r="CV128" s="226"/>
      <c r="CW128" s="226"/>
      <c r="CX128" s="226"/>
      <c r="CY128" s="226"/>
      <c r="CZ128" s="226"/>
      <c r="DA128" s="226"/>
      <c r="DB128" s="226"/>
      <c r="DC128" s="226"/>
      <c r="DD128" s="226"/>
      <c r="DE128" s="226"/>
      <c r="DF128" s="226"/>
      <c r="DG128" s="226"/>
      <c r="DH128" s="226"/>
      <c r="DI128" s="226"/>
      <c r="DJ128" s="226"/>
      <c r="DK128" s="226"/>
      <c r="DL128" s="226"/>
      <c r="DM128" s="226"/>
      <c r="DN128" s="226"/>
      <c r="DO128" s="226"/>
      <c r="DP128" s="226"/>
      <c r="DQ128" s="226"/>
      <c r="DR128" s="226"/>
      <c r="DS128" s="226"/>
      <c r="DT128" s="226"/>
      <c r="DU128" s="226"/>
      <c r="DV128" s="226"/>
      <c r="DW128" s="226"/>
      <c r="DX128" s="226"/>
      <c r="DY128" s="226"/>
      <c r="DZ128" s="226"/>
      <c r="EA128" s="226"/>
      <c r="EB128" s="226"/>
      <c r="EC128" s="226"/>
      <c r="ED128" s="226"/>
      <c r="EE128" s="226"/>
      <c r="EF128" s="226"/>
      <c r="EG128" s="226"/>
      <c r="EH128" s="226"/>
      <c r="EI128" s="226"/>
      <c r="EJ128" s="226"/>
      <c r="EK128" s="226"/>
      <c r="EL128" s="226"/>
      <c r="EM128" s="226"/>
      <c r="EN128" s="226"/>
      <c r="EO128" s="226"/>
      <c r="EP128" s="226"/>
      <c r="EQ128" s="226"/>
      <c r="ER128" s="226"/>
      <c r="ES128" s="226"/>
      <c r="ET128" s="226"/>
      <c r="EU128" s="226"/>
      <c r="EV128" s="226"/>
      <c r="EW128" s="226"/>
      <c r="EX128" s="226"/>
      <c r="EY128" s="226"/>
      <c r="EZ128" s="226"/>
      <c r="FA128" s="226"/>
      <c r="FB128" s="226"/>
      <c r="FC128" s="226"/>
      <c r="FD128" s="226"/>
      <c r="FE128" s="226"/>
      <c r="FF128" s="226"/>
      <c r="FG128" s="226"/>
      <c r="FH128" s="226"/>
      <c r="FI128" s="226"/>
      <c r="FJ128" s="226"/>
      <c r="FK128" s="226"/>
      <c r="FL128" s="226"/>
      <c r="FM128" s="226"/>
      <c r="FN128" s="226"/>
      <c r="FO128" s="226"/>
      <c r="FP128" s="226"/>
      <c r="FQ128" s="226"/>
      <c r="FR128" s="226"/>
      <c r="FS128" s="226"/>
      <c r="FT128" s="226"/>
      <c r="FU128" s="226"/>
      <c r="FV128" s="226"/>
      <c r="FW128" s="226"/>
      <c r="FX128" s="226"/>
      <c r="FY128" s="226"/>
      <c r="FZ128" s="226"/>
      <c r="GA128" s="226"/>
      <c r="GB128" s="226"/>
      <c r="GC128" s="226"/>
      <c r="GD128" s="226"/>
      <c r="GE128" s="226"/>
      <c r="GF128" s="226"/>
      <c r="GG128" s="226"/>
    </row>
    <row r="129" spans="1:189" s="225" customFormat="1">
      <c r="A129" s="638" t="e">
        <f>+#REF!</f>
        <v>#REF!</v>
      </c>
      <c r="B129" s="749" t="e">
        <f>+#REF!</f>
        <v>#REF!</v>
      </c>
      <c r="C129" s="1522" t="e">
        <f>#REF!</f>
        <v>#REF!</v>
      </c>
      <c r="D129" s="1520">
        <f>J129</f>
        <v>159.6</v>
      </c>
      <c r="E129" s="1265" t="e">
        <f>#REF!</f>
        <v>#REF!</v>
      </c>
      <c r="F129" s="1267" t="e">
        <f>+D129*E129</f>
        <v>#REF!</v>
      </c>
      <c r="G129" s="259"/>
      <c r="H129" s="259">
        <f>F7</f>
        <v>152</v>
      </c>
      <c r="I129" s="265">
        <v>1.05</v>
      </c>
      <c r="J129" s="259">
        <f>H129*I129</f>
        <v>159.6</v>
      </c>
      <c r="K129" s="226"/>
      <c r="L129" s="226"/>
      <c r="M129" s="226"/>
      <c r="N129" s="226"/>
      <c r="O129" s="226"/>
      <c r="P129" s="226"/>
      <c r="Q129" s="226"/>
      <c r="R129" s="226"/>
      <c r="S129" s="226"/>
      <c r="T129" s="226"/>
      <c r="U129" s="226"/>
      <c r="V129" s="226"/>
      <c r="W129" s="226"/>
      <c r="X129" s="226"/>
      <c r="Y129" s="226"/>
      <c r="Z129" s="226"/>
      <c r="AA129" s="226"/>
      <c r="AB129" s="226"/>
      <c r="AC129" s="226"/>
      <c r="AD129" s="226"/>
      <c r="AE129" s="226"/>
      <c r="AF129" s="226"/>
      <c r="AG129" s="226"/>
      <c r="AH129" s="226"/>
      <c r="AI129" s="226"/>
      <c r="AJ129" s="226"/>
      <c r="AK129" s="226"/>
      <c r="AL129" s="226"/>
      <c r="AM129" s="226"/>
      <c r="AN129" s="226"/>
      <c r="AO129" s="226"/>
      <c r="AP129" s="226"/>
      <c r="AQ129" s="226"/>
      <c r="AR129" s="226"/>
      <c r="AS129" s="226"/>
      <c r="AT129" s="226"/>
      <c r="AU129" s="226"/>
      <c r="AV129" s="226"/>
      <c r="AW129" s="226"/>
      <c r="AX129" s="226"/>
      <c r="AY129" s="226"/>
      <c r="AZ129" s="226"/>
      <c r="BA129" s="226"/>
      <c r="BB129" s="226"/>
      <c r="BC129" s="226"/>
      <c r="BD129" s="226"/>
      <c r="BE129" s="226"/>
      <c r="BF129" s="226"/>
      <c r="BG129" s="226"/>
      <c r="BH129" s="226"/>
      <c r="BI129" s="226"/>
      <c r="BJ129" s="226"/>
      <c r="BK129" s="226"/>
      <c r="BL129" s="226"/>
      <c r="BM129" s="226"/>
      <c r="BN129" s="226"/>
      <c r="BO129" s="226"/>
      <c r="BP129" s="226"/>
      <c r="BQ129" s="226"/>
      <c r="BR129" s="226"/>
      <c r="BS129" s="226"/>
      <c r="BT129" s="226"/>
      <c r="BU129" s="226"/>
      <c r="BV129" s="226"/>
      <c r="BW129" s="226"/>
      <c r="BX129" s="226"/>
      <c r="BY129" s="226"/>
      <c r="BZ129" s="226"/>
      <c r="CA129" s="226"/>
      <c r="CB129" s="226"/>
      <c r="CC129" s="226"/>
      <c r="CD129" s="226"/>
      <c r="CE129" s="226"/>
      <c r="CF129" s="226"/>
      <c r="CG129" s="226"/>
      <c r="CH129" s="226"/>
      <c r="CI129" s="226"/>
      <c r="CJ129" s="226"/>
      <c r="CK129" s="226"/>
      <c r="CL129" s="226"/>
      <c r="CM129" s="226"/>
      <c r="CN129" s="226"/>
      <c r="CO129" s="226"/>
      <c r="CP129" s="226"/>
      <c r="CQ129" s="226"/>
      <c r="CR129" s="226"/>
      <c r="CS129" s="226"/>
      <c r="CT129" s="226"/>
      <c r="CU129" s="226"/>
      <c r="CV129" s="226"/>
      <c r="CW129" s="226"/>
      <c r="CX129" s="226"/>
      <c r="CY129" s="226"/>
      <c r="CZ129" s="226"/>
      <c r="DA129" s="226"/>
      <c r="DB129" s="226"/>
      <c r="DC129" s="226"/>
      <c r="DD129" s="226"/>
      <c r="DE129" s="226"/>
      <c r="DF129" s="226"/>
      <c r="DG129" s="226"/>
      <c r="DH129" s="226"/>
      <c r="DI129" s="226"/>
      <c r="DJ129" s="226"/>
      <c r="DK129" s="226"/>
      <c r="DL129" s="226"/>
      <c r="DM129" s="226"/>
      <c r="DN129" s="226"/>
      <c r="DO129" s="226"/>
      <c r="DP129" s="226"/>
      <c r="DQ129" s="226"/>
      <c r="DR129" s="226"/>
      <c r="DS129" s="226"/>
      <c r="DT129" s="226"/>
      <c r="DU129" s="226"/>
      <c r="DV129" s="226"/>
      <c r="DW129" s="226"/>
      <c r="DX129" s="226"/>
      <c r="DY129" s="226"/>
      <c r="DZ129" s="226"/>
      <c r="EA129" s="226"/>
      <c r="EB129" s="226"/>
      <c r="EC129" s="226"/>
      <c r="ED129" s="226"/>
      <c r="EE129" s="226"/>
      <c r="EF129" s="226"/>
      <c r="EG129" s="226"/>
      <c r="EH129" s="226"/>
      <c r="EI129" s="226"/>
      <c r="EJ129" s="226"/>
      <c r="EK129" s="226"/>
      <c r="EL129" s="226"/>
      <c r="EM129" s="226"/>
      <c r="EN129" s="226"/>
      <c r="EO129" s="226"/>
      <c r="EP129" s="226"/>
      <c r="EQ129" s="226"/>
      <c r="ER129" s="226"/>
      <c r="ES129" s="226"/>
      <c r="ET129" s="226"/>
      <c r="EU129" s="226"/>
      <c r="EV129" s="226"/>
      <c r="EW129" s="226"/>
      <c r="EX129" s="226"/>
      <c r="EY129" s="226"/>
      <c r="EZ129" s="226"/>
      <c r="FA129" s="226"/>
      <c r="FB129" s="226"/>
      <c r="FC129" s="226"/>
      <c r="FD129" s="226"/>
      <c r="FE129" s="226"/>
      <c r="FF129" s="226"/>
      <c r="FG129" s="226"/>
      <c r="FH129" s="226"/>
      <c r="FI129" s="226"/>
      <c r="FJ129" s="226"/>
      <c r="FK129" s="226"/>
      <c r="FL129" s="226"/>
      <c r="FM129" s="226"/>
      <c r="FN129" s="226"/>
      <c r="FO129" s="226"/>
      <c r="FP129" s="226"/>
      <c r="FQ129" s="226"/>
      <c r="FR129" s="226"/>
      <c r="FS129" s="226"/>
      <c r="FT129" s="226"/>
      <c r="FU129" s="226"/>
      <c r="FV129" s="226"/>
      <c r="FW129" s="226"/>
      <c r="FX129" s="226"/>
      <c r="FY129" s="226"/>
      <c r="FZ129" s="226"/>
      <c r="GA129" s="226"/>
      <c r="GB129" s="226"/>
      <c r="GC129" s="226"/>
      <c r="GD129" s="226"/>
      <c r="GE129" s="226"/>
      <c r="GF129" s="226"/>
      <c r="GG129" s="226"/>
    </row>
    <row r="130" spans="1:189" s="225" customFormat="1">
      <c r="A130" s="638" t="e">
        <f>+#REF!</f>
        <v>#REF!</v>
      </c>
      <c r="B130" s="749" t="e">
        <f>+#REF!</f>
        <v>#REF!</v>
      </c>
      <c r="C130" s="1522" t="e">
        <f>#REF!</f>
        <v>#REF!</v>
      </c>
      <c r="D130" s="1520">
        <f>J130</f>
        <v>0</v>
      </c>
      <c r="E130" s="1265" t="e">
        <f>#REF!</f>
        <v>#REF!</v>
      </c>
      <c r="F130" s="1267" t="e">
        <f>+D130*E130</f>
        <v>#REF!</v>
      </c>
      <c r="G130" s="259"/>
      <c r="H130" s="259">
        <f>F6</f>
        <v>0</v>
      </c>
      <c r="I130" s="265">
        <f>+I129</f>
        <v>1.05</v>
      </c>
      <c r="J130" s="259">
        <f>H130*I130</f>
        <v>0</v>
      </c>
      <c r="K130" s="226"/>
      <c r="L130" s="226">
        <f>+H126</f>
        <v>408</v>
      </c>
      <c r="M130" s="226"/>
      <c r="N130" s="226"/>
      <c r="O130" s="226"/>
      <c r="P130" s="226"/>
      <c r="Q130" s="226"/>
      <c r="R130" s="226"/>
      <c r="S130" s="226"/>
      <c r="T130" s="226"/>
      <c r="U130" s="226"/>
      <c r="V130" s="226"/>
      <c r="W130" s="226"/>
      <c r="X130" s="226"/>
      <c r="Y130" s="226"/>
      <c r="Z130" s="226"/>
      <c r="AA130" s="226"/>
      <c r="AB130" s="226"/>
      <c r="AC130" s="226"/>
      <c r="AD130" s="226"/>
      <c r="AE130" s="226"/>
      <c r="AF130" s="226"/>
      <c r="AG130" s="226"/>
      <c r="AH130" s="226"/>
      <c r="AI130" s="226"/>
      <c r="AJ130" s="226"/>
      <c r="AK130" s="226"/>
      <c r="AL130" s="226"/>
      <c r="AM130" s="226"/>
      <c r="AN130" s="226"/>
      <c r="AO130" s="226"/>
      <c r="AP130" s="226"/>
      <c r="AQ130" s="226"/>
      <c r="AR130" s="226"/>
      <c r="AS130" s="226"/>
      <c r="AT130" s="226"/>
      <c r="AU130" s="226"/>
      <c r="AV130" s="226"/>
      <c r="AW130" s="226"/>
      <c r="AX130" s="226"/>
      <c r="AY130" s="226"/>
      <c r="AZ130" s="226"/>
      <c r="BA130" s="226"/>
      <c r="BB130" s="226"/>
      <c r="BC130" s="226"/>
      <c r="BD130" s="226"/>
      <c r="BE130" s="226"/>
      <c r="BF130" s="226"/>
      <c r="BG130" s="226"/>
      <c r="BH130" s="226"/>
      <c r="BI130" s="226"/>
      <c r="BJ130" s="226"/>
      <c r="BK130" s="226"/>
      <c r="BL130" s="226"/>
      <c r="BM130" s="226"/>
      <c r="BN130" s="226"/>
      <c r="BO130" s="226"/>
      <c r="BP130" s="226"/>
      <c r="BQ130" s="226"/>
      <c r="BR130" s="226"/>
      <c r="BS130" s="226"/>
      <c r="BT130" s="226"/>
      <c r="BU130" s="226"/>
      <c r="BV130" s="226"/>
      <c r="BW130" s="226"/>
      <c r="BX130" s="226"/>
      <c r="BY130" s="226"/>
      <c r="BZ130" s="226"/>
      <c r="CA130" s="226"/>
      <c r="CB130" s="226"/>
      <c r="CC130" s="226"/>
      <c r="CD130" s="226"/>
      <c r="CE130" s="226"/>
      <c r="CF130" s="226"/>
      <c r="CG130" s="226"/>
      <c r="CH130" s="226"/>
      <c r="CI130" s="226"/>
      <c r="CJ130" s="226"/>
      <c r="CK130" s="226"/>
      <c r="CL130" s="226"/>
      <c r="CM130" s="226"/>
      <c r="CN130" s="226"/>
      <c r="CO130" s="226"/>
      <c r="CP130" s="226"/>
      <c r="CQ130" s="226"/>
      <c r="CR130" s="226"/>
      <c r="CS130" s="226"/>
      <c r="CT130" s="226"/>
      <c r="CU130" s="226"/>
      <c r="CV130" s="226"/>
      <c r="CW130" s="226"/>
      <c r="CX130" s="226"/>
      <c r="CY130" s="226"/>
      <c r="CZ130" s="226"/>
      <c r="DA130" s="226"/>
      <c r="DB130" s="226"/>
      <c r="DC130" s="226"/>
      <c r="DD130" s="226"/>
      <c r="DE130" s="226"/>
      <c r="DF130" s="226"/>
      <c r="DG130" s="226"/>
      <c r="DH130" s="226"/>
      <c r="DI130" s="226"/>
      <c r="DJ130" s="226"/>
      <c r="DK130" s="226"/>
      <c r="DL130" s="226"/>
      <c r="DM130" s="226"/>
      <c r="DN130" s="226"/>
      <c r="DO130" s="226"/>
      <c r="DP130" s="226"/>
      <c r="DQ130" s="226"/>
      <c r="DR130" s="226"/>
      <c r="DS130" s="226"/>
      <c r="DT130" s="226"/>
      <c r="DU130" s="226"/>
      <c r="DV130" s="226"/>
      <c r="DW130" s="226"/>
      <c r="DX130" s="226"/>
      <c r="DY130" s="226"/>
      <c r="DZ130" s="226"/>
      <c r="EA130" s="226"/>
      <c r="EB130" s="226"/>
      <c r="EC130" s="226"/>
      <c r="ED130" s="226"/>
      <c r="EE130" s="226"/>
      <c r="EF130" s="226"/>
      <c r="EG130" s="226"/>
      <c r="EH130" s="226"/>
      <c r="EI130" s="226"/>
      <c r="EJ130" s="226"/>
      <c r="EK130" s="226"/>
      <c r="EL130" s="226"/>
      <c r="EM130" s="226"/>
      <c r="EN130" s="226"/>
      <c r="EO130" s="226"/>
      <c r="EP130" s="226"/>
      <c r="EQ130" s="226"/>
      <c r="ER130" s="226"/>
      <c r="ES130" s="226"/>
      <c r="ET130" s="226"/>
      <c r="EU130" s="226"/>
      <c r="EV130" s="226"/>
      <c r="EW130" s="226"/>
      <c r="EX130" s="226"/>
      <c r="EY130" s="226"/>
      <c r="EZ130" s="226"/>
      <c r="FA130" s="226"/>
      <c r="FB130" s="226"/>
      <c r="FC130" s="226"/>
      <c r="FD130" s="226"/>
      <c r="FE130" s="226"/>
      <c r="FF130" s="226"/>
      <c r="FG130" s="226"/>
      <c r="FH130" s="226"/>
      <c r="FI130" s="226"/>
      <c r="FJ130" s="226"/>
      <c r="FK130" s="226"/>
      <c r="FL130" s="226"/>
      <c r="FM130" s="226"/>
      <c r="FN130" s="226"/>
      <c r="FO130" s="226"/>
      <c r="FP130" s="226"/>
      <c r="FQ130" s="226"/>
      <c r="FR130" s="226"/>
      <c r="FS130" s="226"/>
      <c r="FT130" s="226"/>
      <c r="FU130" s="226"/>
      <c r="FV130" s="226"/>
      <c r="FW130" s="226"/>
      <c r="FX130" s="226"/>
      <c r="FY130" s="226"/>
      <c r="FZ130" s="226"/>
      <c r="GA130" s="226"/>
      <c r="GB130" s="226"/>
      <c r="GC130" s="226"/>
      <c r="GD130" s="226"/>
      <c r="GE130" s="226"/>
      <c r="GF130" s="226"/>
      <c r="GG130" s="226"/>
    </row>
    <row r="131" spans="1:189" s="225" customFormat="1">
      <c r="A131" s="638" t="e">
        <f>+#REF!</f>
        <v>#REF!</v>
      </c>
      <c r="B131" s="749" t="e">
        <f>+#REF!</f>
        <v>#REF!</v>
      </c>
      <c r="C131" s="1522" t="e">
        <f>#REF!</f>
        <v>#REF!</v>
      </c>
      <c r="D131" s="1520">
        <f>J131</f>
        <v>0</v>
      </c>
      <c r="E131" s="1265" t="e">
        <f>#REF!</f>
        <v>#REF!</v>
      </c>
      <c r="F131" s="1267" t="e">
        <f>+D131*E131</f>
        <v>#REF!</v>
      </c>
      <c r="G131" s="259"/>
      <c r="H131" s="259">
        <f>+F3</f>
        <v>0</v>
      </c>
      <c r="I131" s="265">
        <f t="shared" ref="I131:I133" si="9">+I130</f>
        <v>1.05</v>
      </c>
      <c r="J131" s="259">
        <f>H131*I131</f>
        <v>0</v>
      </c>
      <c r="K131" s="226"/>
      <c r="L131" s="226">
        <f>+H127</f>
        <v>272</v>
      </c>
      <c r="M131" s="226"/>
      <c r="N131" s="226"/>
      <c r="O131" s="226"/>
      <c r="P131" s="226"/>
      <c r="Q131" s="226"/>
      <c r="R131" s="226"/>
      <c r="S131" s="226"/>
      <c r="T131" s="226"/>
      <c r="U131" s="226"/>
      <c r="V131" s="226"/>
      <c r="W131" s="226"/>
      <c r="X131" s="226"/>
      <c r="Y131" s="226"/>
      <c r="Z131" s="226"/>
      <c r="AA131" s="226"/>
      <c r="AB131" s="226"/>
      <c r="AC131" s="226"/>
      <c r="AD131" s="226"/>
      <c r="AE131" s="226"/>
      <c r="AF131" s="226"/>
      <c r="AG131" s="226"/>
      <c r="AH131" s="226"/>
      <c r="AI131" s="226"/>
      <c r="AJ131" s="226"/>
      <c r="AK131" s="226"/>
      <c r="AL131" s="226"/>
      <c r="AM131" s="199"/>
      <c r="AN131" s="199"/>
      <c r="AO131" s="199"/>
      <c r="AP131" s="199"/>
      <c r="AQ131" s="226"/>
      <c r="AR131" s="226"/>
      <c r="AS131" s="226"/>
      <c r="AT131" s="226"/>
      <c r="AU131" s="226"/>
      <c r="AV131" s="226"/>
      <c r="AW131" s="226"/>
      <c r="AX131" s="226"/>
      <c r="AY131" s="226"/>
      <c r="AZ131" s="226"/>
      <c r="BA131" s="226"/>
      <c r="BB131" s="226"/>
      <c r="BC131" s="226"/>
      <c r="BD131" s="226"/>
      <c r="BE131" s="226"/>
      <c r="BF131" s="226"/>
      <c r="BG131" s="226"/>
      <c r="BH131" s="226"/>
      <c r="BI131" s="226"/>
      <c r="BJ131" s="226"/>
      <c r="BK131" s="226"/>
      <c r="BL131" s="226"/>
      <c r="BM131" s="226"/>
      <c r="BN131" s="226"/>
      <c r="BO131" s="226"/>
      <c r="BP131" s="226"/>
      <c r="BQ131" s="226"/>
      <c r="BR131" s="226"/>
      <c r="BS131" s="226"/>
      <c r="BT131" s="226"/>
      <c r="BU131" s="226"/>
      <c r="BV131" s="226"/>
      <c r="BW131" s="226"/>
      <c r="BX131" s="226"/>
      <c r="BY131" s="226"/>
      <c r="BZ131" s="226"/>
      <c r="CA131" s="226"/>
      <c r="CB131" s="226"/>
      <c r="CC131" s="226"/>
      <c r="CD131" s="226"/>
      <c r="CE131" s="226"/>
      <c r="CF131" s="226"/>
      <c r="CG131" s="226"/>
      <c r="CH131" s="226"/>
      <c r="CI131" s="226"/>
      <c r="CJ131" s="226"/>
      <c r="CK131" s="226"/>
      <c r="CL131" s="226"/>
      <c r="CM131" s="226"/>
      <c r="CN131" s="226"/>
      <c r="CO131" s="226"/>
      <c r="CP131" s="226"/>
      <c r="CQ131" s="226"/>
      <c r="CR131" s="226"/>
      <c r="CS131" s="226"/>
      <c r="CT131" s="226"/>
      <c r="CU131" s="226"/>
      <c r="CV131" s="226"/>
      <c r="CW131" s="226"/>
      <c r="CX131" s="226"/>
      <c r="CY131" s="226"/>
      <c r="CZ131" s="226"/>
      <c r="DA131" s="226"/>
      <c r="DB131" s="226"/>
      <c r="DC131" s="226"/>
      <c r="DD131" s="226"/>
      <c r="DE131" s="226"/>
      <c r="DF131" s="226"/>
      <c r="DG131" s="226"/>
      <c r="DH131" s="226"/>
      <c r="DI131" s="226"/>
      <c r="DJ131" s="226"/>
      <c r="DK131" s="226"/>
      <c r="DL131" s="226"/>
      <c r="DM131" s="226"/>
      <c r="DN131" s="226"/>
      <c r="DO131" s="226"/>
      <c r="DP131" s="226"/>
      <c r="DQ131" s="226"/>
      <c r="DR131" s="226"/>
      <c r="DS131" s="226"/>
      <c r="DT131" s="226"/>
      <c r="DU131" s="226"/>
      <c r="DV131" s="226"/>
      <c r="DW131" s="226"/>
      <c r="DX131" s="226"/>
      <c r="DY131" s="226"/>
      <c r="DZ131" s="226"/>
      <c r="EA131" s="226"/>
      <c r="EB131" s="226"/>
      <c r="EC131" s="226"/>
      <c r="ED131" s="226"/>
      <c r="EE131" s="226"/>
      <c r="EF131" s="226"/>
      <c r="EG131" s="226"/>
      <c r="EH131" s="226"/>
      <c r="EI131" s="226"/>
      <c r="EJ131" s="226"/>
      <c r="EK131" s="226"/>
      <c r="EL131" s="226"/>
      <c r="EM131" s="226"/>
      <c r="EN131" s="226"/>
      <c r="EO131" s="226"/>
      <c r="EP131" s="226"/>
      <c r="EQ131" s="226"/>
      <c r="ER131" s="226"/>
      <c r="ES131" s="226"/>
      <c r="ET131" s="226"/>
      <c r="EU131" s="226"/>
      <c r="EV131" s="226"/>
      <c r="EW131" s="226"/>
      <c r="EX131" s="226"/>
      <c r="EY131" s="226"/>
      <c r="EZ131" s="226"/>
      <c r="FA131" s="226"/>
      <c r="FB131" s="226"/>
      <c r="FC131" s="226"/>
      <c r="FD131" s="226"/>
      <c r="FE131" s="226"/>
      <c r="FF131" s="226"/>
      <c r="FG131" s="226"/>
      <c r="FH131" s="226"/>
      <c r="FI131" s="226"/>
      <c r="FJ131" s="226"/>
      <c r="FK131" s="226"/>
      <c r="FL131" s="226"/>
      <c r="FM131" s="226"/>
      <c r="FN131" s="226"/>
      <c r="FO131" s="226"/>
      <c r="FP131" s="226"/>
      <c r="FQ131" s="226"/>
      <c r="FR131" s="226"/>
      <c r="FS131" s="226"/>
      <c r="FT131" s="226"/>
      <c r="FU131" s="226"/>
      <c r="FV131" s="226"/>
      <c r="FW131" s="226"/>
      <c r="FX131" s="226"/>
      <c r="FY131" s="226"/>
      <c r="FZ131" s="226"/>
      <c r="GA131" s="226"/>
      <c r="GB131" s="226"/>
      <c r="GC131" s="226"/>
      <c r="GD131" s="226"/>
      <c r="GE131" s="226"/>
      <c r="GF131" s="226"/>
      <c r="GG131" s="226"/>
    </row>
    <row r="132" spans="1:189" s="198" customFormat="1">
      <c r="A132" s="638" t="e">
        <f>+#REF!</f>
        <v>#REF!</v>
      </c>
      <c r="B132" s="749" t="e">
        <f>+#REF!</f>
        <v>#REF!</v>
      </c>
      <c r="C132" s="1522" t="e">
        <f>#REF!</f>
        <v>#REF!</v>
      </c>
      <c r="D132" s="1520">
        <f>J132</f>
        <v>0</v>
      </c>
      <c r="E132" s="1265" t="e">
        <f>#REF!</f>
        <v>#REF!</v>
      </c>
      <c r="F132" s="1267" t="e">
        <f>+D132*E132</f>
        <v>#REF!</v>
      </c>
      <c r="G132" s="259"/>
      <c r="H132" s="259">
        <f t="shared" ref="H132:H133" si="10">+F4</f>
        <v>0</v>
      </c>
      <c r="I132" s="265">
        <f t="shared" si="9"/>
        <v>1.05</v>
      </c>
      <c r="J132" s="259">
        <f>H132*I132</f>
        <v>0</v>
      </c>
      <c r="K132" s="226"/>
      <c r="L132" s="226">
        <f>+H128</f>
        <v>0</v>
      </c>
      <c r="M132" s="226"/>
      <c r="N132" s="226"/>
      <c r="O132" s="226"/>
      <c r="P132" s="226"/>
      <c r="Q132" s="226"/>
      <c r="R132" s="226"/>
      <c r="S132" s="226"/>
      <c r="T132" s="226"/>
      <c r="U132" s="226"/>
      <c r="V132" s="226"/>
      <c r="W132" s="226"/>
      <c r="X132" s="226"/>
      <c r="Y132" s="226"/>
      <c r="Z132" s="226"/>
      <c r="AA132" s="226"/>
      <c r="AB132" s="226"/>
      <c r="AC132" s="226"/>
      <c r="AD132" s="226"/>
      <c r="AE132" s="226"/>
      <c r="AF132" s="226"/>
      <c r="AG132" s="226"/>
      <c r="AH132" s="226"/>
      <c r="AI132" s="226"/>
      <c r="AJ132" s="226"/>
      <c r="AK132" s="226"/>
      <c r="AL132" s="199"/>
      <c r="AM132" s="226"/>
      <c r="AN132" s="226"/>
      <c r="AO132" s="226"/>
      <c r="AP132" s="226"/>
      <c r="AQ132" s="199"/>
      <c r="AR132" s="199"/>
      <c r="AS132" s="199"/>
      <c r="AT132" s="199"/>
      <c r="AU132" s="199"/>
      <c r="AV132" s="199"/>
      <c r="AW132" s="199"/>
      <c r="AX132" s="199"/>
      <c r="AY132" s="199"/>
      <c r="AZ132" s="199"/>
      <c r="BA132" s="199"/>
      <c r="BB132" s="199"/>
      <c r="BC132" s="199"/>
      <c r="BD132" s="199"/>
      <c r="BE132" s="199"/>
      <c r="BF132" s="199"/>
      <c r="BG132" s="199"/>
      <c r="BH132" s="199"/>
      <c r="BI132" s="199"/>
      <c r="BJ132" s="199"/>
      <c r="BK132" s="199"/>
      <c r="BL132" s="199"/>
      <c r="BM132" s="199"/>
      <c r="BN132" s="199"/>
      <c r="BO132" s="199"/>
      <c r="BP132" s="199"/>
      <c r="BQ132" s="199"/>
      <c r="BR132" s="199"/>
      <c r="BS132" s="199"/>
      <c r="BT132" s="199"/>
      <c r="BU132" s="199"/>
      <c r="BV132" s="199"/>
      <c r="BW132" s="199"/>
      <c r="BX132" s="199"/>
      <c r="BY132" s="199"/>
      <c r="BZ132" s="199"/>
      <c r="CA132" s="199"/>
      <c r="CB132" s="199"/>
      <c r="CC132" s="199"/>
      <c r="CD132" s="199"/>
      <c r="CE132" s="199"/>
      <c r="CF132" s="199"/>
      <c r="CG132" s="199"/>
      <c r="CH132" s="199"/>
      <c r="CI132" s="199"/>
      <c r="CJ132" s="199"/>
      <c r="CK132" s="199"/>
      <c r="CL132" s="199"/>
      <c r="CM132" s="199"/>
      <c r="CN132" s="199"/>
      <c r="CO132" s="199"/>
      <c r="CP132" s="199"/>
      <c r="CQ132" s="199"/>
      <c r="CR132" s="199"/>
      <c r="CS132" s="199"/>
      <c r="CT132" s="199"/>
      <c r="CU132" s="199"/>
      <c r="CV132" s="199"/>
      <c r="CW132" s="199"/>
      <c r="CX132" s="199"/>
      <c r="CY132" s="199"/>
      <c r="CZ132" s="199"/>
      <c r="DA132" s="199"/>
      <c r="DB132" s="199"/>
      <c r="DC132" s="199"/>
      <c r="DD132" s="199"/>
      <c r="DE132" s="199"/>
      <c r="DF132" s="199"/>
      <c r="DG132" s="199"/>
      <c r="DH132" s="199"/>
      <c r="DI132" s="199"/>
      <c r="DJ132" s="199"/>
      <c r="DK132" s="199"/>
      <c r="DL132" s="199"/>
      <c r="DM132" s="199"/>
      <c r="DN132" s="199"/>
      <c r="DO132" s="199"/>
      <c r="DP132" s="199"/>
      <c r="DQ132" s="199"/>
      <c r="DR132" s="199"/>
      <c r="DS132" s="199"/>
      <c r="DT132" s="199"/>
      <c r="DU132" s="199"/>
      <c r="DV132" s="199"/>
      <c r="DW132" s="199"/>
      <c r="DX132" s="199"/>
      <c r="DY132" s="199"/>
      <c r="DZ132" s="199"/>
      <c r="EA132" s="199"/>
      <c r="EB132" s="199"/>
      <c r="EC132" s="199"/>
      <c r="ED132" s="199"/>
      <c r="EE132" s="199"/>
      <c r="EF132" s="199"/>
      <c r="EG132" s="199"/>
      <c r="EH132" s="199"/>
      <c r="EI132" s="199"/>
      <c r="EJ132" s="199"/>
      <c r="EK132" s="199"/>
      <c r="EL132" s="199"/>
      <c r="EM132" s="199"/>
      <c r="EN132" s="199"/>
      <c r="EO132" s="199"/>
      <c r="EP132" s="199"/>
      <c r="EQ132" s="199"/>
      <c r="ER132" s="199"/>
      <c r="ES132" s="199"/>
      <c r="ET132" s="199"/>
      <c r="EU132" s="199"/>
      <c r="EV132" s="199"/>
      <c r="EW132" s="199"/>
      <c r="EX132" s="199"/>
      <c r="EY132" s="199"/>
      <c r="EZ132" s="199"/>
      <c r="FA132" s="199"/>
      <c r="FB132" s="199"/>
      <c r="FC132" s="199"/>
      <c r="FD132" s="199"/>
      <c r="FE132" s="199"/>
      <c r="FF132" s="199"/>
      <c r="FG132" s="199"/>
      <c r="FH132" s="199"/>
      <c r="FI132" s="199"/>
      <c r="FJ132" s="199"/>
      <c r="FK132" s="199"/>
      <c r="FL132" s="199"/>
      <c r="FM132" s="199"/>
      <c r="FN132" s="199"/>
      <c r="FO132" s="199"/>
      <c r="FP132" s="199"/>
      <c r="FQ132" s="199"/>
      <c r="FR132" s="199"/>
      <c r="FS132" s="199"/>
      <c r="FT132" s="199"/>
      <c r="FU132" s="199"/>
      <c r="FV132" s="199"/>
      <c r="FW132" s="199"/>
      <c r="FX132" s="199"/>
      <c r="FY132" s="199"/>
      <c r="FZ132" s="199"/>
      <c r="GA132" s="199"/>
      <c r="GB132" s="199"/>
      <c r="GC132" s="199"/>
      <c r="GD132" s="199"/>
      <c r="GE132" s="199"/>
      <c r="GF132" s="199"/>
      <c r="GG132" s="199"/>
    </row>
    <row r="133" spans="1:189" s="225" customFormat="1">
      <c r="A133" s="638" t="e">
        <f>+#REF!</f>
        <v>#REF!</v>
      </c>
      <c r="B133" s="749" t="e">
        <f>+#REF!</f>
        <v>#REF!</v>
      </c>
      <c r="C133" s="1523" t="e">
        <f>#REF!</f>
        <v>#REF!</v>
      </c>
      <c r="D133" s="1521">
        <f>J133</f>
        <v>540.75</v>
      </c>
      <c r="E133" s="1261" t="e">
        <f>#REF!</f>
        <v>#REF!</v>
      </c>
      <c r="F133" s="1259" t="e">
        <f>+D133*E133</f>
        <v>#REF!</v>
      </c>
      <c r="G133" s="259"/>
      <c r="H133" s="259">
        <f t="shared" si="10"/>
        <v>515</v>
      </c>
      <c r="I133" s="265">
        <f t="shared" si="9"/>
        <v>1.05</v>
      </c>
      <c r="J133" s="259">
        <f>H133*I133</f>
        <v>540.75</v>
      </c>
      <c r="K133" s="226"/>
      <c r="L133" s="226"/>
      <c r="M133" s="226"/>
      <c r="N133" s="226"/>
      <c r="O133" s="226"/>
      <c r="P133" s="226"/>
      <c r="Q133" s="199"/>
      <c r="R133" s="199"/>
      <c r="S133" s="199"/>
      <c r="T133" s="199"/>
      <c r="U133" s="199"/>
      <c r="V133" s="199"/>
      <c r="W133" s="199"/>
      <c r="X133" s="199"/>
      <c r="Y133" s="199"/>
      <c r="Z133" s="199"/>
      <c r="AA133" s="199"/>
      <c r="AB133" s="199"/>
      <c r="AC133" s="199"/>
      <c r="AD133" s="199"/>
      <c r="AE133" s="199"/>
      <c r="AF133" s="199"/>
      <c r="AG133" s="199"/>
      <c r="AH133" s="199"/>
      <c r="AI133" s="199"/>
      <c r="AJ133" s="226"/>
      <c r="AK133" s="226"/>
      <c r="AL133" s="226"/>
      <c r="AM133" s="226"/>
      <c r="AN133" s="226"/>
      <c r="AO133" s="226"/>
      <c r="AP133" s="226"/>
      <c r="AQ133" s="226"/>
      <c r="AR133" s="226"/>
      <c r="AS133" s="226"/>
      <c r="AT133" s="226"/>
      <c r="AU133" s="226"/>
      <c r="AV133" s="226"/>
      <c r="AW133" s="226"/>
      <c r="AX133" s="226"/>
      <c r="AY133" s="226"/>
      <c r="AZ133" s="226"/>
      <c r="BA133" s="226"/>
      <c r="BB133" s="226"/>
      <c r="BC133" s="226"/>
      <c r="BD133" s="226"/>
      <c r="BE133" s="226"/>
      <c r="BF133" s="226"/>
      <c r="BG133" s="226"/>
      <c r="BH133" s="226"/>
      <c r="BI133" s="226"/>
      <c r="BJ133" s="226"/>
      <c r="BK133" s="226"/>
      <c r="BL133" s="226"/>
      <c r="BM133" s="226"/>
      <c r="BN133" s="226"/>
      <c r="BO133" s="226"/>
      <c r="BP133" s="226"/>
      <c r="BQ133" s="226"/>
      <c r="BR133" s="226"/>
      <c r="BS133" s="226"/>
      <c r="BT133" s="226"/>
      <c r="BU133" s="226"/>
      <c r="BV133" s="226"/>
      <c r="BW133" s="226"/>
      <c r="BX133" s="226"/>
      <c r="BY133" s="226"/>
      <c r="BZ133" s="226"/>
      <c r="CA133" s="226"/>
      <c r="CB133" s="226"/>
      <c r="CC133" s="226"/>
      <c r="CD133" s="226"/>
      <c r="CE133" s="226"/>
      <c r="CF133" s="226"/>
      <c r="CG133" s="226"/>
      <c r="CH133" s="226"/>
      <c r="CI133" s="226"/>
      <c r="CJ133" s="226"/>
      <c r="CK133" s="226"/>
      <c r="CL133" s="226"/>
      <c r="CM133" s="226"/>
      <c r="CN133" s="226"/>
      <c r="CO133" s="226"/>
      <c r="CP133" s="226"/>
      <c r="CQ133" s="226"/>
      <c r="CR133" s="226"/>
      <c r="CS133" s="226"/>
      <c r="CT133" s="226"/>
      <c r="CU133" s="226"/>
      <c r="CV133" s="226"/>
      <c r="CW133" s="226"/>
      <c r="CX133" s="226"/>
      <c r="CY133" s="226"/>
      <c r="CZ133" s="226"/>
      <c r="DA133" s="226"/>
      <c r="DB133" s="226"/>
      <c r="DC133" s="226"/>
      <c r="DD133" s="226"/>
      <c r="DE133" s="226"/>
      <c r="DF133" s="226"/>
      <c r="DG133" s="226"/>
      <c r="DH133" s="226"/>
      <c r="DI133" s="226"/>
      <c r="DJ133" s="226"/>
      <c r="DK133" s="226"/>
      <c r="DL133" s="226"/>
      <c r="DM133" s="226"/>
      <c r="DN133" s="226"/>
      <c r="DO133" s="226"/>
      <c r="DP133" s="226"/>
      <c r="DQ133" s="226"/>
      <c r="DR133" s="226"/>
      <c r="DS133" s="226"/>
      <c r="DT133" s="226"/>
      <c r="DU133" s="226"/>
      <c r="DV133" s="226"/>
      <c r="DW133" s="226"/>
      <c r="DX133" s="226"/>
      <c r="DY133" s="226"/>
      <c r="DZ133" s="226"/>
      <c r="EA133" s="226"/>
      <c r="EB133" s="226"/>
      <c r="EC133" s="226"/>
      <c r="ED133" s="226"/>
      <c r="EE133" s="226"/>
      <c r="EF133" s="226"/>
      <c r="EG133" s="226"/>
      <c r="EH133" s="226"/>
      <c r="EI133" s="226"/>
      <c r="EJ133" s="226"/>
      <c r="EK133" s="226"/>
      <c r="EL133" s="226"/>
      <c r="EM133" s="226"/>
      <c r="EN133" s="226"/>
      <c r="EO133" s="226"/>
      <c r="EP133" s="226"/>
      <c r="EQ133" s="226"/>
      <c r="ER133" s="226"/>
      <c r="ES133" s="226"/>
      <c r="ET133" s="226"/>
      <c r="EU133" s="226"/>
      <c r="EV133" s="226"/>
      <c r="EW133" s="226"/>
      <c r="EX133" s="226"/>
      <c r="EY133" s="226"/>
      <c r="EZ133" s="226"/>
      <c r="FA133" s="226"/>
      <c r="FB133" s="226"/>
      <c r="FC133" s="226"/>
      <c r="FD133" s="226"/>
      <c r="FE133" s="226"/>
      <c r="FF133" s="226"/>
      <c r="FG133" s="226"/>
      <c r="FH133" s="226"/>
      <c r="FI133" s="226"/>
      <c r="FJ133" s="226"/>
      <c r="FK133" s="226"/>
      <c r="FL133" s="226"/>
      <c r="FM133" s="226"/>
      <c r="FN133" s="226"/>
      <c r="FO133" s="226"/>
      <c r="FP133" s="226"/>
      <c r="FQ133" s="226"/>
      <c r="FR133" s="226"/>
      <c r="FS133" s="226"/>
      <c r="FT133" s="226"/>
      <c r="FU133" s="226"/>
      <c r="FV133" s="226"/>
      <c r="FW133" s="226"/>
      <c r="FX133" s="226"/>
      <c r="FY133" s="226"/>
      <c r="FZ133" s="226"/>
      <c r="GA133" s="226"/>
      <c r="GB133" s="226"/>
      <c r="GC133" s="226"/>
      <c r="GD133" s="226"/>
      <c r="GE133" s="226"/>
      <c r="GF133" s="226"/>
      <c r="GG133" s="226"/>
    </row>
    <row r="134" spans="1:189" s="225" customFormat="1">
      <c r="A134" s="745" t="e">
        <f>+#REF!</f>
        <v>#REF!</v>
      </c>
      <c r="B134" s="830" t="e">
        <f>+#REF!</f>
        <v>#REF!</v>
      </c>
      <c r="C134" s="1264"/>
      <c r="D134" s="1519"/>
      <c r="E134" s="1260"/>
      <c r="F134" s="1258"/>
      <c r="G134" s="259"/>
      <c r="H134" s="259"/>
      <c r="I134" s="265"/>
      <c r="J134" s="259"/>
      <c r="K134" s="199"/>
      <c r="L134" s="199"/>
      <c r="M134" s="199"/>
      <c r="N134" s="199"/>
      <c r="O134" s="199"/>
      <c r="P134" s="199"/>
      <c r="Q134" s="226"/>
      <c r="R134" s="226"/>
      <c r="S134" s="226"/>
      <c r="T134" s="226"/>
      <c r="U134" s="226"/>
      <c r="V134" s="226"/>
      <c r="W134" s="226"/>
      <c r="X134" s="226"/>
      <c r="Y134" s="226"/>
      <c r="Z134" s="226"/>
      <c r="AA134" s="226"/>
      <c r="AB134" s="226"/>
      <c r="AC134" s="226"/>
      <c r="AD134" s="226"/>
      <c r="AE134" s="226"/>
      <c r="AF134" s="226"/>
      <c r="AG134" s="226"/>
      <c r="AH134" s="226"/>
      <c r="AI134" s="226"/>
      <c r="AJ134" s="226"/>
      <c r="AK134" s="226"/>
      <c r="AL134" s="226"/>
      <c r="AM134" s="226"/>
      <c r="AN134" s="226"/>
      <c r="AO134" s="226"/>
      <c r="AP134" s="226"/>
      <c r="AQ134" s="226"/>
      <c r="AR134" s="226"/>
      <c r="AS134" s="226"/>
      <c r="AT134" s="226"/>
      <c r="AU134" s="226"/>
      <c r="AV134" s="226"/>
      <c r="AW134" s="226"/>
      <c r="AX134" s="226"/>
      <c r="AY134" s="226"/>
      <c r="AZ134" s="226"/>
      <c r="BA134" s="226"/>
      <c r="BB134" s="226"/>
      <c r="BC134" s="226"/>
      <c r="BD134" s="226"/>
      <c r="BE134" s="226"/>
      <c r="BF134" s="226"/>
      <c r="BG134" s="226"/>
      <c r="BH134" s="226"/>
      <c r="BI134" s="226"/>
      <c r="BJ134" s="226"/>
      <c r="BK134" s="226"/>
      <c r="BL134" s="226"/>
      <c r="BM134" s="226"/>
      <c r="BN134" s="226"/>
      <c r="BO134" s="226"/>
      <c r="BP134" s="226"/>
      <c r="BQ134" s="226"/>
      <c r="BR134" s="226"/>
      <c r="BS134" s="226"/>
      <c r="BT134" s="226"/>
      <c r="BU134" s="226"/>
      <c r="BV134" s="226"/>
      <c r="BW134" s="226"/>
      <c r="BX134" s="226"/>
      <c r="BY134" s="226"/>
      <c r="BZ134" s="226"/>
      <c r="CA134" s="226"/>
      <c r="CB134" s="226"/>
      <c r="CC134" s="226"/>
      <c r="CD134" s="226"/>
      <c r="CE134" s="226"/>
      <c r="CF134" s="226"/>
      <c r="CG134" s="226"/>
      <c r="CH134" s="226"/>
      <c r="CI134" s="226"/>
      <c r="CJ134" s="226"/>
      <c r="CK134" s="226"/>
      <c r="CL134" s="226"/>
      <c r="CM134" s="226"/>
      <c r="CN134" s="226"/>
      <c r="CO134" s="226"/>
      <c r="CP134" s="226"/>
      <c r="CQ134" s="226"/>
      <c r="CR134" s="226"/>
      <c r="CS134" s="226"/>
      <c r="CT134" s="226"/>
      <c r="CU134" s="226"/>
      <c r="CV134" s="226"/>
      <c r="CW134" s="226"/>
      <c r="CX134" s="226"/>
      <c r="CY134" s="226"/>
      <c r="CZ134" s="226"/>
      <c r="DA134" s="226"/>
      <c r="DB134" s="226"/>
      <c r="DC134" s="226"/>
      <c r="DD134" s="226"/>
      <c r="DE134" s="226"/>
      <c r="DF134" s="226"/>
      <c r="DG134" s="226"/>
      <c r="DH134" s="226"/>
      <c r="DI134" s="226"/>
      <c r="DJ134" s="226"/>
      <c r="DK134" s="226"/>
      <c r="DL134" s="226"/>
      <c r="DM134" s="226"/>
      <c r="DN134" s="226"/>
      <c r="DO134" s="226"/>
      <c r="DP134" s="226"/>
      <c r="DQ134" s="226"/>
      <c r="DR134" s="226"/>
      <c r="DS134" s="226"/>
      <c r="DT134" s="226"/>
      <c r="DU134" s="226"/>
      <c r="DV134" s="226"/>
      <c r="DW134" s="226"/>
      <c r="DX134" s="226"/>
      <c r="DY134" s="226"/>
      <c r="DZ134" s="226"/>
      <c r="EA134" s="226"/>
      <c r="EB134" s="226"/>
      <c r="EC134" s="226"/>
      <c r="ED134" s="226"/>
      <c r="EE134" s="226"/>
      <c r="EF134" s="226"/>
      <c r="EG134" s="226"/>
      <c r="EH134" s="226"/>
      <c r="EI134" s="226"/>
      <c r="EJ134" s="226"/>
      <c r="EK134" s="226"/>
      <c r="EL134" s="226"/>
      <c r="EM134" s="226"/>
      <c r="EN134" s="226"/>
      <c r="EO134" s="226"/>
      <c r="EP134" s="226"/>
      <c r="EQ134" s="226"/>
      <c r="ER134" s="226"/>
      <c r="ES134" s="226"/>
      <c r="ET134" s="226"/>
      <c r="EU134" s="226"/>
      <c r="EV134" s="226"/>
      <c r="EW134" s="226"/>
      <c r="EX134" s="226"/>
      <c r="EY134" s="226"/>
      <c r="EZ134" s="226"/>
      <c r="FA134" s="226"/>
      <c r="FB134" s="226"/>
      <c r="FC134" s="226"/>
      <c r="FD134" s="226"/>
      <c r="FE134" s="226"/>
      <c r="FF134" s="226"/>
      <c r="FG134" s="226"/>
      <c r="FH134" s="226"/>
      <c r="FI134" s="226"/>
      <c r="FJ134" s="226"/>
      <c r="FK134" s="226"/>
      <c r="FL134" s="226"/>
      <c r="FM134" s="226"/>
      <c r="FN134" s="226"/>
      <c r="FO134" s="226"/>
      <c r="FP134" s="226"/>
      <c r="FQ134" s="226"/>
      <c r="FR134" s="226"/>
      <c r="FS134" s="226"/>
      <c r="FT134" s="226"/>
      <c r="FU134" s="226"/>
      <c r="FV134" s="226"/>
      <c r="FW134" s="226"/>
      <c r="FX134" s="226"/>
      <c r="FY134" s="226"/>
      <c r="FZ134" s="226"/>
      <c r="GA134" s="226"/>
      <c r="GB134" s="226"/>
      <c r="GC134" s="226"/>
      <c r="GD134" s="226"/>
      <c r="GE134" s="226"/>
      <c r="GF134" s="226"/>
      <c r="GG134" s="226"/>
    </row>
    <row r="135" spans="1:189" s="225" customFormat="1">
      <c r="A135" s="639"/>
      <c r="B135" s="681"/>
      <c r="C135" s="1523" t="e">
        <f>#REF!</f>
        <v>#REF!</v>
      </c>
      <c r="D135" s="1521">
        <v>1</v>
      </c>
      <c r="E135" s="1261" t="e">
        <f>#REF!</f>
        <v>#REF!</v>
      </c>
      <c r="F135" s="1259" t="e">
        <f>+D135*E135</f>
        <v>#REF!</v>
      </c>
      <c r="G135" s="259"/>
      <c r="H135" s="259"/>
      <c r="I135" s="265"/>
      <c r="J135" s="259"/>
      <c r="K135" s="226"/>
      <c r="L135" s="226"/>
      <c r="M135" s="226"/>
      <c r="N135" s="226"/>
      <c r="O135" s="226"/>
      <c r="P135" s="226"/>
      <c r="Q135" s="226"/>
      <c r="R135" s="226"/>
      <c r="S135" s="226"/>
      <c r="T135" s="226"/>
      <c r="U135" s="226"/>
      <c r="V135" s="226"/>
      <c r="W135" s="226"/>
      <c r="X135" s="226"/>
      <c r="Y135" s="226"/>
      <c r="Z135" s="226"/>
      <c r="AA135" s="226"/>
      <c r="AB135" s="226"/>
      <c r="AC135" s="226"/>
      <c r="AD135" s="226"/>
      <c r="AE135" s="226"/>
      <c r="AF135" s="226"/>
      <c r="AG135" s="226"/>
      <c r="AH135" s="226"/>
      <c r="AI135" s="226"/>
      <c r="AJ135" s="226"/>
      <c r="AK135" s="226"/>
      <c r="AL135" s="226"/>
      <c r="AM135" s="226"/>
      <c r="AN135" s="226"/>
      <c r="AO135" s="226"/>
      <c r="AP135" s="226"/>
      <c r="AQ135" s="226"/>
      <c r="AR135" s="226"/>
      <c r="AS135" s="226"/>
      <c r="AT135" s="226"/>
      <c r="AU135" s="226"/>
      <c r="AV135" s="226"/>
      <c r="AW135" s="226"/>
      <c r="AX135" s="226"/>
      <c r="AY135" s="226"/>
      <c r="AZ135" s="226"/>
      <c r="BA135" s="226"/>
      <c r="BB135" s="226"/>
      <c r="BC135" s="226"/>
      <c r="BD135" s="226"/>
      <c r="BE135" s="226"/>
      <c r="BF135" s="226"/>
      <c r="BG135" s="226"/>
      <c r="BH135" s="226"/>
      <c r="BI135" s="226"/>
      <c r="BJ135" s="226"/>
      <c r="BK135" s="226"/>
      <c r="BL135" s="226"/>
      <c r="BM135" s="226"/>
      <c r="BN135" s="226"/>
      <c r="BO135" s="226"/>
      <c r="BP135" s="226"/>
      <c r="BQ135" s="226"/>
      <c r="BR135" s="226"/>
      <c r="BS135" s="226"/>
      <c r="BT135" s="226"/>
      <c r="BU135" s="226"/>
      <c r="BV135" s="226"/>
      <c r="BW135" s="226"/>
      <c r="BX135" s="226"/>
      <c r="BY135" s="226"/>
      <c r="BZ135" s="226"/>
      <c r="CA135" s="226"/>
      <c r="CB135" s="226"/>
      <c r="CC135" s="226"/>
      <c r="CD135" s="226"/>
      <c r="CE135" s="226"/>
      <c r="CF135" s="226"/>
      <c r="CG135" s="226"/>
      <c r="CH135" s="226"/>
      <c r="CI135" s="226"/>
      <c r="CJ135" s="226"/>
      <c r="CK135" s="226"/>
      <c r="CL135" s="226"/>
      <c r="CM135" s="226"/>
      <c r="CN135" s="226"/>
      <c r="CO135" s="226"/>
      <c r="CP135" s="226"/>
      <c r="CQ135" s="226"/>
      <c r="CR135" s="226"/>
      <c r="CS135" s="226"/>
      <c r="CT135" s="226"/>
      <c r="CU135" s="226"/>
      <c r="CV135" s="226"/>
      <c r="CW135" s="226"/>
      <c r="CX135" s="226"/>
      <c r="CY135" s="226"/>
      <c r="CZ135" s="226"/>
      <c r="DA135" s="226"/>
      <c r="DB135" s="226"/>
      <c r="DC135" s="226"/>
      <c r="DD135" s="226"/>
      <c r="DE135" s="226"/>
      <c r="DF135" s="226"/>
      <c r="DG135" s="226"/>
      <c r="DH135" s="226"/>
      <c r="DI135" s="226"/>
      <c r="DJ135" s="226"/>
      <c r="DK135" s="226"/>
      <c r="DL135" s="226"/>
      <c r="DM135" s="226"/>
      <c r="DN135" s="226"/>
      <c r="DO135" s="226"/>
      <c r="DP135" s="226"/>
      <c r="DQ135" s="226"/>
      <c r="DR135" s="226"/>
      <c r="DS135" s="226"/>
      <c r="DT135" s="226"/>
      <c r="DU135" s="226"/>
      <c r="DV135" s="226"/>
      <c r="DW135" s="226"/>
      <c r="DX135" s="226"/>
      <c r="DY135" s="226"/>
      <c r="DZ135" s="226"/>
      <c r="EA135" s="226"/>
      <c r="EB135" s="226"/>
      <c r="EC135" s="226"/>
      <c r="ED135" s="226"/>
      <c r="EE135" s="226"/>
      <c r="EF135" s="226"/>
      <c r="EG135" s="226"/>
      <c r="EH135" s="226"/>
      <c r="EI135" s="226"/>
      <c r="EJ135" s="226"/>
      <c r="EK135" s="226"/>
      <c r="EL135" s="226"/>
      <c r="EM135" s="226"/>
      <c r="EN135" s="226"/>
      <c r="EO135" s="226"/>
      <c r="EP135" s="226"/>
      <c r="EQ135" s="226"/>
      <c r="ER135" s="226"/>
      <c r="ES135" s="226"/>
      <c r="ET135" s="226"/>
      <c r="EU135" s="226"/>
      <c r="EV135" s="226"/>
      <c r="EW135" s="226"/>
      <c r="EX135" s="226"/>
      <c r="EY135" s="226"/>
      <c r="EZ135" s="226"/>
      <c r="FA135" s="226"/>
      <c r="FB135" s="226"/>
      <c r="FC135" s="226"/>
      <c r="FD135" s="226"/>
      <c r="FE135" s="226"/>
      <c r="FF135" s="226"/>
      <c r="FG135" s="226"/>
      <c r="FH135" s="226"/>
      <c r="FI135" s="226"/>
      <c r="FJ135" s="226"/>
      <c r="FK135" s="226"/>
      <c r="FL135" s="226"/>
      <c r="FM135" s="226"/>
      <c r="FN135" s="226"/>
      <c r="FO135" s="226"/>
      <c r="FP135" s="226"/>
      <c r="FQ135" s="226"/>
      <c r="FR135" s="226"/>
      <c r="FS135" s="226"/>
      <c r="FT135" s="226"/>
      <c r="FU135" s="226"/>
      <c r="FV135" s="226"/>
      <c r="FW135" s="226"/>
      <c r="FX135" s="226"/>
      <c r="FY135" s="226"/>
      <c r="FZ135" s="226"/>
      <c r="GA135" s="226"/>
      <c r="GB135" s="226"/>
      <c r="GC135" s="226"/>
      <c r="GD135" s="226"/>
      <c r="GE135" s="226"/>
      <c r="GF135" s="226"/>
      <c r="GG135" s="226"/>
    </row>
    <row r="136" spans="1:189" s="225" customFormat="1">
      <c r="A136" s="745" t="e">
        <f>+#REF!</f>
        <v>#REF!</v>
      </c>
      <c r="B136" s="830" t="e">
        <f>+#REF!</f>
        <v>#REF!</v>
      </c>
      <c r="C136" s="1264"/>
      <c r="D136" s="1519"/>
      <c r="E136" s="1260"/>
      <c r="F136" s="1258"/>
      <c r="G136" s="259"/>
      <c r="K136" s="226"/>
      <c r="L136" s="226"/>
      <c r="M136" s="226"/>
      <c r="N136" s="226"/>
      <c r="O136" s="226"/>
      <c r="P136" s="226"/>
      <c r="Q136" s="226"/>
      <c r="R136" s="226"/>
      <c r="S136" s="226"/>
      <c r="T136" s="226"/>
      <c r="U136" s="226"/>
      <c r="V136" s="226"/>
      <c r="W136" s="226"/>
      <c r="X136" s="226"/>
      <c r="Y136" s="226"/>
      <c r="Z136" s="226"/>
      <c r="AA136" s="226"/>
      <c r="AB136" s="226"/>
      <c r="AC136" s="226"/>
      <c r="AD136" s="226"/>
      <c r="AE136" s="226"/>
      <c r="AF136" s="226"/>
      <c r="AG136" s="226"/>
      <c r="AH136" s="226"/>
      <c r="AI136" s="226"/>
      <c r="AJ136" s="226"/>
      <c r="AK136" s="226"/>
      <c r="AL136" s="226"/>
      <c r="AM136" s="226"/>
      <c r="AN136" s="226"/>
      <c r="AO136" s="226"/>
      <c r="AP136" s="226"/>
      <c r="AQ136" s="226"/>
      <c r="AR136" s="226"/>
      <c r="AS136" s="226"/>
      <c r="AT136" s="226"/>
      <c r="AU136" s="226"/>
      <c r="AV136" s="226"/>
      <c r="AW136" s="226"/>
      <c r="AX136" s="226"/>
      <c r="AY136" s="226"/>
      <c r="AZ136" s="226"/>
      <c r="BA136" s="226"/>
      <c r="BB136" s="226"/>
      <c r="BC136" s="226"/>
      <c r="BD136" s="226"/>
      <c r="BE136" s="226"/>
      <c r="BF136" s="226"/>
      <c r="BG136" s="226"/>
      <c r="BH136" s="226"/>
      <c r="BI136" s="226"/>
      <c r="BJ136" s="226"/>
      <c r="BK136" s="226"/>
      <c r="BL136" s="226"/>
      <c r="BM136" s="226"/>
      <c r="BN136" s="226"/>
      <c r="BO136" s="226"/>
      <c r="BP136" s="226"/>
      <c r="BQ136" s="226"/>
      <c r="BR136" s="226"/>
      <c r="BS136" s="226"/>
      <c r="BT136" s="226"/>
      <c r="BU136" s="226"/>
      <c r="BV136" s="226"/>
      <c r="BW136" s="226"/>
      <c r="BX136" s="226"/>
      <c r="BY136" s="226"/>
      <c r="BZ136" s="226"/>
      <c r="CA136" s="226"/>
      <c r="CB136" s="226"/>
      <c r="CC136" s="226"/>
      <c r="CD136" s="226"/>
      <c r="CE136" s="226"/>
      <c r="CF136" s="226"/>
      <c r="CG136" s="226"/>
      <c r="CH136" s="226"/>
      <c r="CI136" s="226"/>
      <c r="CJ136" s="226"/>
      <c r="CK136" s="226"/>
      <c r="CL136" s="226"/>
      <c r="CM136" s="226"/>
      <c r="CN136" s="226"/>
      <c r="CO136" s="226"/>
      <c r="CP136" s="226"/>
      <c r="CQ136" s="226"/>
      <c r="CR136" s="226"/>
      <c r="CS136" s="226"/>
      <c r="CT136" s="226"/>
      <c r="CU136" s="226"/>
      <c r="CV136" s="226"/>
      <c r="CW136" s="226"/>
      <c r="CX136" s="226"/>
      <c r="CY136" s="226"/>
      <c r="CZ136" s="226"/>
      <c r="DA136" s="226"/>
      <c r="DB136" s="226"/>
      <c r="DC136" s="226"/>
      <c r="DD136" s="226"/>
      <c r="DE136" s="226"/>
      <c r="DF136" s="226"/>
      <c r="DG136" s="226"/>
      <c r="DH136" s="226"/>
      <c r="DI136" s="226"/>
      <c r="DJ136" s="226"/>
      <c r="DK136" s="226"/>
      <c r="DL136" s="226"/>
      <c r="DM136" s="226"/>
      <c r="DN136" s="226"/>
      <c r="DO136" s="226"/>
      <c r="DP136" s="226"/>
      <c r="DQ136" s="226"/>
      <c r="DR136" s="226"/>
      <c r="DS136" s="226"/>
      <c r="DT136" s="226"/>
      <c r="DU136" s="226"/>
      <c r="DV136" s="226"/>
      <c r="DW136" s="226"/>
      <c r="DX136" s="226"/>
      <c r="DY136" s="226"/>
      <c r="DZ136" s="226"/>
      <c r="EA136" s="226"/>
      <c r="EB136" s="226"/>
      <c r="EC136" s="226"/>
      <c r="ED136" s="226"/>
      <c r="EE136" s="226"/>
      <c r="EF136" s="226"/>
      <c r="EG136" s="226"/>
      <c r="EH136" s="226"/>
      <c r="EI136" s="226"/>
      <c r="EJ136" s="226"/>
      <c r="EK136" s="226"/>
      <c r="EL136" s="226"/>
      <c r="EM136" s="226"/>
      <c r="EN136" s="226"/>
      <c r="EO136" s="226"/>
      <c r="EP136" s="226"/>
      <c r="EQ136" s="226"/>
      <c r="ER136" s="226"/>
      <c r="ES136" s="226"/>
      <c r="ET136" s="226"/>
      <c r="EU136" s="226"/>
      <c r="EV136" s="226"/>
      <c r="EW136" s="226"/>
      <c r="EX136" s="226"/>
      <c r="EY136" s="226"/>
      <c r="EZ136" s="226"/>
      <c r="FA136" s="226"/>
      <c r="FB136" s="226"/>
      <c r="FC136" s="226"/>
      <c r="FD136" s="226"/>
      <c r="FE136" s="226"/>
      <c r="FF136" s="226"/>
      <c r="FG136" s="226"/>
      <c r="FH136" s="226"/>
      <c r="FI136" s="226"/>
      <c r="FJ136" s="226"/>
      <c r="FK136" s="226"/>
      <c r="FL136" s="226"/>
      <c r="FM136" s="226"/>
      <c r="FN136" s="226"/>
      <c r="FO136" s="226"/>
      <c r="FP136" s="226"/>
      <c r="FQ136" s="226"/>
      <c r="FR136" s="226"/>
      <c r="FS136" s="226"/>
      <c r="FT136" s="226"/>
      <c r="FU136" s="226"/>
      <c r="FV136" s="226"/>
      <c r="FW136" s="226"/>
      <c r="FX136" s="226"/>
      <c r="FY136" s="226"/>
      <c r="FZ136" s="226"/>
      <c r="GA136" s="226"/>
      <c r="GB136" s="226"/>
      <c r="GC136" s="226"/>
      <c r="GD136" s="226"/>
      <c r="GE136" s="226"/>
      <c r="GF136" s="226"/>
      <c r="GG136" s="226"/>
    </row>
    <row r="137" spans="1:189" s="225" customFormat="1" ht="30" customHeight="1">
      <c r="A137" s="785" t="e">
        <f>+#REF!</f>
        <v>#REF!</v>
      </c>
      <c r="B137" s="764" t="e">
        <f>+#REF!</f>
        <v>#REF!</v>
      </c>
      <c r="C137" s="1522" t="e">
        <f>#REF!</f>
        <v>#REF!</v>
      </c>
      <c r="D137" s="1520">
        <f>J137</f>
        <v>20.174000000000003</v>
      </c>
      <c r="E137" s="1265" t="e">
        <f>#REF!</f>
        <v>#REF!</v>
      </c>
      <c r="F137" s="1267" t="e">
        <f>+D137*E137</f>
        <v>#REF!</v>
      </c>
      <c r="G137" s="259"/>
      <c r="H137" s="259">
        <f>SUM(H129:H133)/50+5</f>
        <v>18.34</v>
      </c>
      <c r="I137" s="265">
        <v>1.1000000000000001</v>
      </c>
      <c r="J137" s="259">
        <f>H137*I137</f>
        <v>20.174000000000003</v>
      </c>
      <c r="K137" s="226"/>
      <c r="L137" s="226"/>
      <c r="M137" s="226"/>
      <c r="N137" s="226"/>
      <c r="O137" s="226"/>
      <c r="P137" s="226"/>
      <c r="Q137" s="226"/>
      <c r="R137" s="226"/>
      <c r="S137" s="226"/>
      <c r="T137" s="226"/>
      <c r="U137" s="226"/>
      <c r="V137" s="226"/>
      <c r="W137" s="226"/>
      <c r="X137" s="226"/>
      <c r="Y137" s="226"/>
      <c r="Z137" s="226"/>
      <c r="AA137" s="226"/>
      <c r="AB137" s="226"/>
      <c r="AC137" s="226"/>
      <c r="AD137" s="226"/>
      <c r="AE137" s="226"/>
      <c r="AF137" s="226"/>
      <c r="AG137" s="226"/>
      <c r="AH137" s="226"/>
      <c r="AI137" s="226"/>
      <c r="AJ137" s="226"/>
      <c r="AK137" s="226"/>
      <c r="AL137" s="226"/>
      <c r="AM137" s="226"/>
      <c r="AN137" s="226"/>
      <c r="AO137" s="226"/>
      <c r="AP137" s="226"/>
      <c r="AQ137" s="226"/>
      <c r="AR137" s="226"/>
      <c r="AS137" s="226"/>
      <c r="AT137" s="226"/>
      <c r="AU137" s="226"/>
      <c r="AV137" s="226"/>
      <c r="AW137" s="226"/>
      <c r="AX137" s="226"/>
      <c r="AY137" s="226"/>
      <c r="AZ137" s="226"/>
      <c r="BA137" s="226"/>
      <c r="BB137" s="226"/>
      <c r="BC137" s="226"/>
      <c r="BD137" s="226"/>
      <c r="BE137" s="226"/>
      <c r="BF137" s="226"/>
      <c r="BG137" s="226"/>
      <c r="BH137" s="226"/>
      <c r="BI137" s="226"/>
      <c r="BJ137" s="226"/>
      <c r="BK137" s="226"/>
      <c r="BL137" s="226"/>
      <c r="BM137" s="226"/>
      <c r="BN137" s="226"/>
      <c r="BO137" s="226"/>
      <c r="BP137" s="226"/>
      <c r="BQ137" s="226"/>
      <c r="BR137" s="226"/>
      <c r="BS137" s="226"/>
      <c r="BT137" s="226"/>
      <c r="BU137" s="226"/>
      <c r="BV137" s="226"/>
      <c r="BW137" s="226"/>
      <c r="BX137" s="226"/>
      <c r="BY137" s="226"/>
      <c r="BZ137" s="226"/>
      <c r="CA137" s="226"/>
      <c r="CB137" s="226"/>
      <c r="CC137" s="226"/>
      <c r="CD137" s="226"/>
      <c r="CE137" s="226"/>
      <c r="CF137" s="226"/>
      <c r="CG137" s="226"/>
      <c r="CH137" s="226"/>
      <c r="CI137" s="226"/>
      <c r="CJ137" s="226"/>
      <c r="CK137" s="226"/>
      <c r="CL137" s="226"/>
      <c r="CM137" s="226"/>
      <c r="CN137" s="226"/>
      <c r="CO137" s="226"/>
      <c r="CP137" s="226"/>
      <c r="CQ137" s="226"/>
      <c r="CR137" s="226"/>
      <c r="CS137" s="226"/>
      <c r="CT137" s="226"/>
      <c r="CU137" s="226"/>
      <c r="CV137" s="226"/>
      <c r="CW137" s="226"/>
      <c r="CX137" s="226"/>
      <c r="CY137" s="226"/>
      <c r="CZ137" s="226"/>
      <c r="DA137" s="226"/>
      <c r="DB137" s="226"/>
      <c r="DC137" s="226"/>
      <c r="DD137" s="226"/>
      <c r="DE137" s="226"/>
      <c r="DF137" s="226"/>
      <c r="DG137" s="226"/>
      <c r="DH137" s="226"/>
      <c r="DI137" s="226"/>
      <c r="DJ137" s="226"/>
      <c r="DK137" s="226"/>
      <c r="DL137" s="226"/>
      <c r="DM137" s="226"/>
      <c r="DN137" s="226"/>
      <c r="DO137" s="226"/>
      <c r="DP137" s="226"/>
      <c r="DQ137" s="226"/>
      <c r="DR137" s="226"/>
      <c r="DS137" s="226"/>
      <c r="DT137" s="226"/>
      <c r="DU137" s="226"/>
      <c r="DV137" s="226"/>
      <c r="DW137" s="226"/>
      <c r="DX137" s="226"/>
      <c r="DY137" s="226"/>
      <c r="DZ137" s="226"/>
      <c r="EA137" s="226"/>
      <c r="EB137" s="226"/>
      <c r="EC137" s="226"/>
      <c r="ED137" s="226"/>
      <c r="EE137" s="226"/>
      <c r="EF137" s="226"/>
      <c r="EG137" s="226"/>
      <c r="EH137" s="226"/>
      <c r="EI137" s="226"/>
      <c r="EJ137" s="226"/>
      <c r="EK137" s="226"/>
      <c r="EL137" s="226"/>
      <c r="EM137" s="226"/>
      <c r="EN137" s="226"/>
      <c r="EO137" s="226"/>
      <c r="EP137" s="226"/>
      <c r="EQ137" s="226"/>
      <c r="ER137" s="226"/>
      <c r="ES137" s="226"/>
      <c r="ET137" s="226"/>
      <c r="EU137" s="226"/>
      <c r="EV137" s="226"/>
      <c r="EW137" s="226"/>
      <c r="EX137" s="226"/>
      <c r="EY137" s="226"/>
      <c r="EZ137" s="226"/>
      <c r="FA137" s="226"/>
      <c r="FB137" s="226"/>
      <c r="FC137" s="226"/>
      <c r="FD137" s="226"/>
      <c r="FE137" s="226"/>
      <c r="FF137" s="226"/>
      <c r="FG137" s="226"/>
      <c r="FH137" s="226"/>
      <c r="FI137" s="226"/>
      <c r="FJ137" s="226"/>
      <c r="FK137" s="226"/>
      <c r="FL137" s="226"/>
      <c r="FM137" s="226"/>
      <c r="FN137" s="226"/>
      <c r="FO137" s="226"/>
      <c r="FP137" s="226"/>
      <c r="FQ137" s="226"/>
      <c r="FR137" s="226"/>
      <c r="FS137" s="226"/>
      <c r="FT137" s="226"/>
      <c r="FU137" s="226"/>
      <c r="FV137" s="226"/>
      <c r="FW137" s="226"/>
      <c r="FX137" s="226"/>
      <c r="FY137" s="226"/>
      <c r="FZ137" s="226"/>
      <c r="GA137" s="226"/>
      <c r="GB137" s="226"/>
      <c r="GC137" s="226"/>
      <c r="GD137" s="226"/>
      <c r="GE137" s="226"/>
      <c r="GF137" s="226"/>
      <c r="GG137" s="226"/>
    </row>
    <row r="138" spans="1:189" s="225" customFormat="1">
      <c r="A138" s="765" t="e">
        <f>+#REF!</f>
        <v>#REF!</v>
      </c>
      <c r="B138" s="1429" t="e">
        <f>+#REF!</f>
        <v>#REF!</v>
      </c>
      <c r="C138" s="1523" t="e">
        <f>#REF!</f>
        <v>#REF!</v>
      </c>
      <c r="D138" s="1521">
        <f>J138</f>
        <v>62.333333333333336</v>
      </c>
      <c r="E138" s="1261" t="e">
        <f>#REF!</f>
        <v>#REF!</v>
      </c>
      <c r="F138" s="1259" t="e">
        <f>+D138*E138</f>
        <v>#REF!</v>
      </c>
      <c r="G138" s="259"/>
      <c r="H138" s="259">
        <f>SUM(H126:H127)/12</f>
        <v>56.666666666666664</v>
      </c>
      <c r="I138" s="265">
        <v>1.1000000000000001</v>
      </c>
      <c r="J138" s="259">
        <f>H138*I138</f>
        <v>62.333333333333336</v>
      </c>
      <c r="K138" s="226"/>
      <c r="L138" s="226"/>
      <c r="M138" s="226"/>
      <c r="N138" s="226"/>
      <c r="O138" s="226"/>
      <c r="P138" s="226"/>
      <c r="Q138" s="226"/>
      <c r="R138" s="226"/>
      <c r="S138" s="226"/>
      <c r="T138" s="226"/>
      <c r="U138" s="226"/>
      <c r="V138" s="226"/>
      <c r="W138" s="226"/>
      <c r="X138" s="226"/>
      <c r="Y138" s="226"/>
      <c r="Z138" s="226"/>
      <c r="AA138" s="226"/>
      <c r="AB138" s="226"/>
      <c r="AC138" s="226"/>
      <c r="AD138" s="226"/>
      <c r="AE138" s="226"/>
      <c r="AF138" s="226"/>
      <c r="AG138" s="226"/>
      <c r="AH138" s="226"/>
      <c r="AI138" s="226"/>
      <c r="AJ138" s="226"/>
      <c r="AK138" s="226"/>
      <c r="AL138" s="226"/>
      <c r="AM138" s="226"/>
      <c r="AN138" s="226"/>
      <c r="AO138" s="226"/>
      <c r="AP138" s="226"/>
      <c r="AQ138" s="226"/>
      <c r="AR138" s="226"/>
      <c r="AS138" s="226"/>
      <c r="AT138" s="226"/>
      <c r="AU138" s="226"/>
      <c r="AV138" s="226"/>
      <c r="AW138" s="226"/>
      <c r="AX138" s="226"/>
      <c r="AY138" s="226"/>
      <c r="AZ138" s="226"/>
      <c r="BA138" s="226"/>
      <c r="BB138" s="226"/>
      <c r="BC138" s="226"/>
      <c r="BD138" s="226"/>
      <c r="BE138" s="226"/>
      <c r="BF138" s="226"/>
      <c r="BG138" s="226"/>
      <c r="BH138" s="226"/>
      <c r="BI138" s="226"/>
      <c r="BJ138" s="226"/>
      <c r="BK138" s="226"/>
      <c r="BL138" s="226"/>
      <c r="BM138" s="226"/>
      <c r="BN138" s="226"/>
      <c r="BO138" s="226"/>
      <c r="BP138" s="226"/>
      <c r="BQ138" s="226"/>
      <c r="BR138" s="226"/>
      <c r="BS138" s="226"/>
      <c r="BT138" s="226"/>
      <c r="BU138" s="226"/>
      <c r="BV138" s="226"/>
      <c r="BW138" s="226"/>
      <c r="BX138" s="226"/>
      <c r="BY138" s="226"/>
      <c r="BZ138" s="226"/>
      <c r="CA138" s="226"/>
      <c r="CB138" s="226"/>
      <c r="CC138" s="226"/>
      <c r="CD138" s="226"/>
      <c r="CE138" s="226"/>
      <c r="CF138" s="226"/>
      <c r="CG138" s="226"/>
      <c r="CH138" s="226"/>
      <c r="CI138" s="226"/>
      <c r="CJ138" s="226"/>
      <c r="CK138" s="226"/>
      <c r="CL138" s="226"/>
      <c r="CM138" s="226"/>
      <c r="CN138" s="226"/>
      <c r="CO138" s="226"/>
      <c r="CP138" s="226"/>
      <c r="CQ138" s="226"/>
      <c r="CR138" s="226"/>
      <c r="CS138" s="226"/>
      <c r="CT138" s="226"/>
      <c r="CU138" s="226"/>
      <c r="CV138" s="226"/>
      <c r="CW138" s="226"/>
      <c r="CX138" s="226"/>
      <c r="CY138" s="226"/>
      <c r="CZ138" s="226"/>
      <c r="DA138" s="226"/>
      <c r="DB138" s="226"/>
      <c r="DC138" s="226"/>
      <c r="DD138" s="226"/>
      <c r="DE138" s="226"/>
      <c r="DF138" s="226"/>
      <c r="DG138" s="226"/>
      <c r="DH138" s="226"/>
      <c r="DI138" s="226"/>
      <c r="DJ138" s="226"/>
      <c r="DK138" s="226"/>
      <c r="DL138" s="226"/>
      <c r="DM138" s="226"/>
      <c r="DN138" s="226"/>
      <c r="DO138" s="226"/>
      <c r="DP138" s="226"/>
      <c r="DQ138" s="226"/>
      <c r="DR138" s="226"/>
      <c r="DS138" s="226"/>
      <c r="DT138" s="226"/>
      <c r="DU138" s="226"/>
      <c r="DV138" s="226"/>
      <c r="DW138" s="226"/>
      <c r="DX138" s="226"/>
      <c r="DY138" s="226"/>
      <c r="DZ138" s="226"/>
      <c r="EA138" s="226"/>
      <c r="EB138" s="226"/>
      <c r="EC138" s="226"/>
      <c r="ED138" s="226"/>
      <c r="EE138" s="226"/>
      <c r="EF138" s="226"/>
      <c r="EG138" s="226"/>
      <c r="EH138" s="226"/>
      <c r="EI138" s="226"/>
      <c r="EJ138" s="226"/>
      <c r="EK138" s="226"/>
      <c r="EL138" s="226"/>
      <c r="EM138" s="226"/>
      <c r="EN138" s="226"/>
      <c r="EO138" s="226"/>
      <c r="EP138" s="226"/>
      <c r="EQ138" s="226"/>
      <c r="ER138" s="226"/>
      <c r="ES138" s="226"/>
      <c r="ET138" s="226"/>
      <c r="EU138" s="226"/>
      <c r="EV138" s="226"/>
      <c r="EW138" s="226"/>
      <c r="EX138" s="226"/>
      <c r="EY138" s="226"/>
      <c r="EZ138" s="226"/>
      <c r="FA138" s="226"/>
      <c r="FB138" s="226"/>
      <c r="FC138" s="226"/>
      <c r="FD138" s="226"/>
      <c r="FE138" s="226"/>
      <c r="FF138" s="226"/>
      <c r="FG138" s="226"/>
      <c r="FH138" s="226"/>
      <c r="FI138" s="226"/>
      <c r="FJ138" s="226"/>
      <c r="FK138" s="226"/>
      <c r="FL138" s="226"/>
      <c r="FM138" s="226"/>
      <c r="FN138" s="226"/>
      <c r="FO138" s="226"/>
      <c r="FP138" s="226"/>
      <c r="FQ138" s="226"/>
      <c r="FR138" s="226"/>
      <c r="FS138" s="226"/>
      <c r="FT138" s="226"/>
      <c r="FU138" s="226"/>
      <c r="FV138" s="226"/>
      <c r="FW138" s="226"/>
      <c r="FX138" s="226"/>
      <c r="FY138" s="226"/>
      <c r="FZ138" s="226"/>
      <c r="GA138" s="226"/>
      <c r="GB138" s="226"/>
      <c r="GC138" s="226"/>
      <c r="GD138" s="226"/>
      <c r="GE138" s="226"/>
      <c r="GF138" s="226"/>
      <c r="GG138" s="226"/>
    </row>
    <row r="139" spans="1:189" s="129" customFormat="1" ht="18.75">
      <c r="A139" s="1512"/>
      <c r="B139" s="749"/>
      <c r="C139" s="1605"/>
      <c r="D139" s="1606"/>
      <c r="E139" s="1404" t="s">
        <v>113</v>
      </c>
      <c r="F139" s="1406" t="e">
        <f>SUM(F105:F138)</f>
        <v>#REF!</v>
      </c>
      <c r="G139" s="255"/>
      <c r="H139" s="255"/>
      <c r="I139" s="262"/>
      <c r="J139" s="255"/>
    </row>
    <row r="140" spans="1:189" s="115" customFormat="1">
      <c r="A140" s="1512"/>
      <c r="B140" s="749"/>
      <c r="C140" s="1602"/>
      <c r="D140" s="1268"/>
      <c r="E140" s="1603"/>
      <c r="F140" s="1604"/>
      <c r="G140" s="948"/>
      <c r="H140" s="948"/>
      <c r="I140" s="1269"/>
      <c r="J140" s="948"/>
    </row>
    <row r="141" spans="1:189" s="495" customFormat="1" ht="24.95" customHeight="1">
      <c r="A141" s="1919" t="e">
        <f>+#REF!</f>
        <v>#REF!</v>
      </c>
      <c r="B141" s="1920"/>
      <c r="C141" s="1920"/>
      <c r="D141" s="1920"/>
      <c r="E141" s="1920"/>
      <c r="F141" s="1921"/>
      <c r="G141" s="493"/>
    </row>
    <row r="142" spans="1:189" s="495" customFormat="1">
      <c r="A142" s="745" t="e">
        <f>+#REF!</f>
        <v>#REF!</v>
      </c>
      <c r="B142" s="830" t="e">
        <f>+#REF!</f>
        <v>#REF!</v>
      </c>
      <c r="C142" s="1478"/>
      <c r="D142" s="543"/>
      <c r="E142" s="1260"/>
      <c r="F142" s="1258"/>
      <c r="G142" s="493"/>
    </row>
    <row r="143" spans="1:189" s="495" customFormat="1">
      <c r="A143" s="639" t="e">
        <f>+#REF!</f>
        <v>#REF!</v>
      </c>
      <c r="B143" s="681" t="e">
        <f>+#REF!</f>
        <v>#REF!</v>
      </c>
      <c r="C143" s="1526" t="e">
        <f>#REF!</f>
        <v>#REF!</v>
      </c>
      <c r="D143" s="1526">
        <f>J143</f>
        <v>0</v>
      </c>
      <c r="E143" s="1261" t="e">
        <f>#REF!</f>
        <v>#REF!</v>
      </c>
      <c r="F143" s="1259" t="e">
        <f>+D143*E143</f>
        <v>#REF!</v>
      </c>
      <c r="G143" s="493"/>
      <c r="H143" s="493">
        <f>2*F13/25*0</f>
        <v>0</v>
      </c>
      <c r="I143" s="494">
        <v>1.05</v>
      </c>
      <c r="J143" s="493">
        <f>ROUND(H143*I143,0)</f>
        <v>0</v>
      </c>
    </row>
    <row r="144" spans="1:189" s="495" customFormat="1">
      <c r="A144" s="745" t="e">
        <f>+#REF!</f>
        <v>#REF!</v>
      </c>
      <c r="B144" s="830" t="e">
        <f>+#REF!</f>
        <v>#REF!</v>
      </c>
      <c r="C144" s="1524"/>
      <c r="D144" s="1524"/>
      <c r="E144" s="1260"/>
      <c r="F144" s="1258"/>
      <c r="G144" s="493"/>
      <c r="H144" s="493"/>
      <c r="I144" s="494">
        <v>1.05</v>
      </c>
      <c r="J144" s="493">
        <f t="shared" ref="J144:J147" si="11">H144*I144</f>
        <v>0</v>
      </c>
    </row>
    <row r="145" spans="1:189" s="495" customFormat="1">
      <c r="A145" s="638" t="e">
        <f>+#REF!</f>
        <v>#REF!</v>
      </c>
      <c r="B145" s="749" t="e">
        <f>+#REF!</f>
        <v>#REF!</v>
      </c>
      <c r="C145" s="1525" t="e">
        <f>#REF!</f>
        <v>#REF!</v>
      </c>
      <c r="D145" s="1525">
        <f>+J145</f>
        <v>4</v>
      </c>
      <c r="E145" s="1265" t="e">
        <f>#REF!</f>
        <v>#REF!</v>
      </c>
      <c r="F145" s="1267" t="e">
        <f>+D145*E145</f>
        <v>#REF!</v>
      </c>
      <c r="G145" s="493"/>
      <c r="H145" s="493">
        <f>20*0.2</f>
        <v>4</v>
      </c>
      <c r="I145" s="494">
        <v>1</v>
      </c>
      <c r="J145" s="493">
        <f t="shared" si="11"/>
        <v>4</v>
      </c>
    </row>
    <row r="146" spans="1:189" s="495" customFormat="1">
      <c r="A146" s="639" t="e">
        <f>+#REF!</f>
        <v>#REF!</v>
      </c>
      <c r="B146" s="681" t="e">
        <f>+#REF!</f>
        <v>#REF!</v>
      </c>
      <c r="C146" s="1526" t="e">
        <f>#REF!</f>
        <v>#REF!</v>
      </c>
      <c r="D146" s="1526">
        <f>+J146</f>
        <v>0</v>
      </c>
      <c r="E146" s="1261" t="e">
        <f>#REF!</f>
        <v>#REF!</v>
      </c>
      <c r="F146" s="1259" t="e">
        <f>+D146*E146</f>
        <v>#REF!</v>
      </c>
      <c r="G146" s="493"/>
      <c r="H146" s="493">
        <f>4*0</f>
        <v>0</v>
      </c>
      <c r="I146" s="494">
        <v>1</v>
      </c>
      <c r="J146" s="493">
        <f t="shared" si="11"/>
        <v>0</v>
      </c>
    </row>
    <row r="147" spans="1:189" s="495" customFormat="1">
      <c r="A147" s="745" t="e">
        <f>+#REF!</f>
        <v>#REF!</v>
      </c>
      <c r="B147" s="830" t="e">
        <f>+#REF!</f>
        <v>#REF!</v>
      </c>
      <c r="C147" s="1524"/>
      <c r="D147" s="1524"/>
      <c r="E147" s="1260"/>
      <c r="F147" s="1258"/>
      <c r="G147" s="493"/>
      <c r="H147" s="493"/>
      <c r="I147" s="494"/>
      <c r="J147" s="493">
        <f t="shared" si="11"/>
        <v>0</v>
      </c>
    </row>
    <row r="148" spans="1:189" s="495" customFormat="1">
      <c r="A148" s="639"/>
      <c r="B148" s="681"/>
      <c r="C148" s="1523" t="e">
        <f>#REF!</f>
        <v>#REF!</v>
      </c>
      <c r="D148" s="1526">
        <f>J148</f>
        <v>315</v>
      </c>
      <c r="E148" s="1261" t="e">
        <f>#REF!</f>
        <v>#REF!</v>
      </c>
      <c r="F148" s="1259" t="e">
        <f>+D148*E148</f>
        <v>#REF!</v>
      </c>
      <c r="G148" s="493"/>
      <c r="H148" s="493">
        <f>300</f>
        <v>300</v>
      </c>
      <c r="I148" s="494">
        <v>1.05</v>
      </c>
      <c r="J148" s="493">
        <f>H148*I148</f>
        <v>315</v>
      </c>
    </row>
    <row r="149" spans="1:189" s="456" customFormat="1" ht="18.75">
      <c r="A149" s="1123"/>
      <c r="B149" s="1124"/>
      <c r="C149" s="1605"/>
      <c r="D149" s="1606"/>
      <c r="E149" s="1404" t="s">
        <v>112</v>
      </c>
      <c r="F149" s="1406" t="e">
        <f>SUM(F142:F148)</f>
        <v>#REF!</v>
      </c>
      <c r="G149" s="493"/>
      <c r="H149" s="493"/>
      <c r="I149" s="494"/>
      <c r="J149" s="493"/>
      <c r="K149" s="495"/>
      <c r="L149" s="495"/>
      <c r="M149" s="495"/>
      <c r="N149" s="495"/>
      <c r="O149" s="495"/>
      <c r="P149" s="495"/>
      <c r="Q149" s="495"/>
      <c r="R149" s="495"/>
      <c r="S149" s="495"/>
      <c r="T149" s="495"/>
      <c r="U149" s="495"/>
      <c r="V149" s="495"/>
      <c r="W149" s="495"/>
      <c r="X149" s="495"/>
      <c r="Y149" s="495"/>
      <c r="Z149" s="495"/>
      <c r="AA149" s="495"/>
      <c r="AB149" s="495"/>
      <c r="AC149" s="495"/>
      <c r="AD149" s="495"/>
      <c r="AE149" s="495"/>
      <c r="AF149" s="495"/>
      <c r="AG149" s="495"/>
      <c r="AH149" s="495"/>
      <c r="AI149" s="495"/>
      <c r="AJ149" s="495"/>
      <c r="AK149" s="495"/>
      <c r="AL149" s="495"/>
      <c r="AM149" s="495"/>
      <c r="AN149" s="495"/>
      <c r="AO149" s="495"/>
      <c r="AP149" s="495"/>
      <c r="AQ149" s="495"/>
      <c r="AR149" s="495"/>
      <c r="AS149" s="495"/>
      <c r="AT149" s="495"/>
      <c r="AU149" s="495"/>
      <c r="AV149" s="495"/>
      <c r="AW149" s="495"/>
      <c r="AX149" s="495"/>
      <c r="AY149" s="495"/>
      <c r="AZ149" s="495"/>
      <c r="BA149" s="495"/>
      <c r="BB149" s="495"/>
      <c r="BC149" s="495"/>
      <c r="BD149" s="495"/>
      <c r="BE149" s="495"/>
      <c r="BF149" s="495"/>
      <c r="BG149" s="495"/>
      <c r="BH149" s="495"/>
      <c r="BI149" s="495"/>
      <c r="BJ149" s="495"/>
      <c r="BK149" s="495"/>
      <c r="BL149" s="495"/>
      <c r="BM149" s="495"/>
      <c r="BN149" s="495"/>
      <c r="BO149" s="495"/>
      <c r="BP149" s="495"/>
      <c r="BQ149" s="495"/>
      <c r="BR149" s="495"/>
      <c r="BS149" s="495"/>
      <c r="BT149" s="495"/>
      <c r="BU149" s="495"/>
      <c r="BV149" s="495"/>
      <c r="BW149" s="495"/>
      <c r="BX149" s="495"/>
      <c r="BY149" s="495"/>
      <c r="BZ149" s="495"/>
      <c r="CA149" s="495"/>
      <c r="CB149" s="495"/>
      <c r="CC149" s="495"/>
      <c r="CD149" s="495"/>
      <c r="CE149" s="495"/>
      <c r="CF149" s="495"/>
      <c r="CG149" s="495"/>
      <c r="CH149" s="495"/>
      <c r="CI149" s="495"/>
      <c r="CJ149" s="495"/>
      <c r="CK149" s="495"/>
      <c r="CL149" s="495"/>
      <c r="CM149" s="495"/>
      <c r="CN149" s="495"/>
      <c r="CO149" s="495"/>
      <c r="CP149" s="495"/>
      <c r="CQ149" s="495"/>
      <c r="CR149" s="495"/>
      <c r="CS149" s="495"/>
      <c r="CT149" s="495"/>
      <c r="CU149" s="495"/>
      <c r="CV149" s="495"/>
      <c r="CW149" s="495"/>
      <c r="CX149" s="495"/>
      <c r="CY149" s="495"/>
      <c r="CZ149" s="495"/>
      <c r="DA149" s="495"/>
      <c r="DB149" s="495"/>
      <c r="DC149" s="495"/>
      <c r="DD149" s="495"/>
      <c r="DE149" s="495"/>
      <c r="DF149" s="495"/>
      <c r="DG149" s="495"/>
      <c r="DH149" s="495"/>
      <c r="DI149" s="495"/>
      <c r="DJ149" s="495"/>
      <c r="DK149" s="495"/>
      <c r="DL149" s="495"/>
      <c r="DM149" s="495"/>
      <c r="DN149" s="495"/>
      <c r="DO149" s="495"/>
      <c r="DP149" s="495"/>
      <c r="DQ149" s="495"/>
      <c r="DR149" s="495"/>
      <c r="DS149" s="495"/>
      <c r="DT149" s="495"/>
      <c r="DU149" s="495"/>
      <c r="DV149" s="495"/>
      <c r="DW149" s="495"/>
      <c r="DX149" s="495"/>
      <c r="DY149" s="495"/>
      <c r="DZ149" s="495"/>
      <c r="EA149" s="495"/>
      <c r="EB149" s="495"/>
      <c r="EC149" s="495"/>
      <c r="ED149" s="495"/>
      <c r="EE149" s="495"/>
      <c r="EF149" s="495"/>
      <c r="EG149" s="495"/>
      <c r="EH149" s="495"/>
      <c r="EI149" s="495"/>
      <c r="EJ149" s="495"/>
      <c r="EK149" s="495"/>
      <c r="EL149" s="495"/>
      <c r="EM149" s="495"/>
      <c r="EN149" s="495"/>
      <c r="EO149" s="495"/>
      <c r="EP149" s="495"/>
      <c r="EQ149" s="495"/>
      <c r="ER149" s="495"/>
      <c r="ES149" s="495"/>
      <c r="ET149" s="495"/>
      <c r="EU149" s="495"/>
      <c r="EV149" s="495"/>
      <c r="EW149" s="495"/>
      <c r="EX149" s="495"/>
      <c r="EY149" s="495"/>
      <c r="EZ149" s="495"/>
      <c r="FA149" s="495"/>
      <c r="FB149" s="495"/>
      <c r="FC149" s="495"/>
      <c r="FD149" s="495"/>
      <c r="FE149" s="495"/>
      <c r="FF149" s="495"/>
      <c r="FG149" s="495"/>
      <c r="FH149" s="495"/>
      <c r="FI149" s="495"/>
      <c r="FJ149" s="495"/>
      <c r="FK149" s="495"/>
      <c r="FL149" s="495"/>
      <c r="FM149" s="495"/>
      <c r="FN149" s="495"/>
      <c r="FO149" s="495"/>
      <c r="FP149" s="495"/>
      <c r="FQ149" s="495"/>
      <c r="FR149" s="495"/>
      <c r="FS149" s="495"/>
      <c r="FT149" s="495"/>
      <c r="FU149" s="495"/>
      <c r="FV149" s="495"/>
      <c r="FW149" s="495"/>
      <c r="FX149" s="495"/>
      <c r="FY149" s="495"/>
      <c r="FZ149" s="495"/>
      <c r="GA149" s="495"/>
      <c r="GB149" s="495"/>
      <c r="GC149" s="495"/>
      <c r="GD149" s="495"/>
      <c r="GE149" s="495"/>
      <c r="GF149" s="495"/>
      <c r="GG149" s="495"/>
    </row>
    <row r="150" spans="1:189" s="129" customFormat="1" ht="15" customHeight="1">
      <c r="A150" s="1113"/>
      <c r="B150" s="926"/>
      <c r="C150" s="1595"/>
      <c r="D150" s="1114"/>
      <c r="E150" s="1594"/>
      <c r="F150" s="1594"/>
      <c r="G150" s="255"/>
      <c r="H150" s="255"/>
      <c r="I150" s="262"/>
      <c r="J150" s="255"/>
    </row>
    <row r="151" spans="1:189" s="129" customFormat="1" ht="24.95" customHeight="1">
      <c r="A151" s="1113"/>
      <c r="B151" s="926"/>
      <c r="C151" s="1605"/>
      <c r="D151" s="1606"/>
      <c r="E151" s="1404" t="s">
        <v>330</v>
      </c>
      <c r="F151" s="1406" t="e">
        <f>+F61+F70+F102+F139+F149</f>
        <v>#REF!</v>
      </c>
      <c r="G151" s="255"/>
      <c r="H151" s="255"/>
      <c r="I151" s="262"/>
      <c r="J151" s="255"/>
    </row>
    <row r="152" spans="1:189" ht="15" customHeight="1">
      <c r="A152" s="1113"/>
      <c r="B152" s="926"/>
      <c r="C152" s="1595"/>
      <c r="D152" s="1595"/>
      <c r="E152" s="1601"/>
      <c r="F152" s="1601"/>
    </row>
    <row r="153" spans="1:189" ht="24.95" customHeight="1">
      <c r="A153" s="1113"/>
      <c r="B153" s="926"/>
      <c r="C153" s="1605"/>
      <c r="D153" s="1606"/>
      <c r="E153" s="1404" t="s">
        <v>331</v>
      </c>
      <c r="F153" s="1406" t="e">
        <f>+F151+F37</f>
        <v>#REF!</v>
      </c>
    </row>
    <row r="156" spans="1:189" s="129" customFormat="1">
      <c r="A156" s="1108"/>
      <c r="B156" s="114"/>
      <c r="C156" s="1057"/>
      <c r="D156" s="940"/>
      <c r="E156" s="257"/>
      <c r="F156" s="257"/>
      <c r="G156" s="255">
        <v>6297720903.5422144</v>
      </c>
      <c r="H156" s="255"/>
      <c r="I156" s="262"/>
      <c r="J156" s="255"/>
    </row>
    <row r="157" spans="1:189">
      <c r="J157" s="255">
        <f>18500*17</f>
        <v>314500</v>
      </c>
    </row>
    <row r="160" spans="1:189" s="129" customFormat="1">
      <c r="A160" s="1108"/>
      <c r="B160" s="114"/>
      <c r="C160" s="1057"/>
      <c r="D160" s="940"/>
      <c r="E160" s="257"/>
      <c r="F160" s="257"/>
      <c r="G160" s="255"/>
      <c r="H160" s="255"/>
      <c r="I160" s="262"/>
      <c r="J160" s="255"/>
      <c r="AV160" s="129">
        <v>46200</v>
      </c>
    </row>
    <row r="161" spans="1:10" s="129" customFormat="1">
      <c r="A161" s="1108"/>
      <c r="B161" s="114"/>
      <c r="C161" s="1057"/>
      <c r="D161" s="940"/>
      <c r="E161" s="257"/>
      <c r="F161" s="257"/>
      <c r="G161" s="255"/>
      <c r="H161" s="255"/>
      <c r="I161" s="262"/>
      <c r="J161" s="255"/>
    </row>
    <row r="162" spans="1:10" s="129" customFormat="1">
      <c r="A162" s="1108"/>
      <c r="B162" s="114"/>
      <c r="C162" s="1057"/>
      <c r="D162" s="940"/>
      <c r="E162" s="257"/>
      <c r="F162" s="257"/>
      <c r="G162" s="255"/>
      <c r="H162" s="255"/>
      <c r="I162" s="262"/>
      <c r="J162" s="255"/>
    </row>
    <row r="164" spans="1:10" ht="15.75">
      <c r="A164" s="1109"/>
      <c r="E164" s="947"/>
      <c r="F164" s="1059"/>
    </row>
    <row r="165" spans="1:10" ht="26.25">
      <c r="B165" s="1915"/>
      <c r="C165" s="1915"/>
      <c r="D165" s="1915"/>
      <c r="E165" s="1915"/>
      <c r="F165" s="1915"/>
    </row>
    <row r="178" spans="5:5">
      <c r="E178" s="257">
        <f>18500*17</f>
        <v>314500</v>
      </c>
    </row>
  </sheetData>
  <mergeCells count="13">
    <mergeCell ref="A1:F1"/>
    <mergeCell ref="A2:F2"/>
    <mergeCell ref="B165:F165"/>
    <mergeCell ref="E23:E32"/>
    <mergeCell ref="F23:F32"/>
    <mergeCell ref="A15:F15"/>
    <mergeCell ref="A22:F22"/>
    <mergeCell ref="D23:D32"/>
    <mergeCell ref="A39:F39"/>
    <mergeCell ref="A63:F63"/>
    <mergeCell ref="A72:F72"/>
    <mergeCell ref="A104:F104"/>
    <mergeCell ref="A141:F141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  <rowBreaks count="2" manualBreakCount="2">
    <brk id="36" max="6" man="1"/>
    <brk id="69" max="6" man="1"/>
  </rowBreaks>
  <colBreaks count="1" manualBreakCount="1">
    <brk id="6" max="1048575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O54"/>
  <sheetViews>
    <sheetView workbookViewId="0">
      <selection activeCell="I5" sqref="I5"/>
    </sheetView>
  </sheetViews>
  <sheetFormatPr baseColWidth="10" defaultColWidth="11.42578125" defaultRowHeight="12.75"/>
  <cols>
    <col min="1" max="1" width="23.42578125" style="1291" customWidth="1"/>
    <col min="2" max="2" width="10.5703125" style="1291" customWidth="1"/>
    <col min="3" max="3" width="5.85546875" style="1291" customWidth="1"/>
    <col min="4" max="4" width="7.28515625" style="1291" customWidth="1"/>
    <col min="5" max="5" width="8.42578125" style="1291" customWidth="1"/>
    <col min="6" max="6" width="11.28515625" style="1291" customWidth="1"/>
    <col min="7" max="7" width="11.42578125" style="1291"/>
    <col min="8" max="9" width="13.42578125" style="1291" customWidth="1"/>
    <col min="10" max="10" width="11.42578125" style="1291"/>
    <col min="11" max="11" width="12.5703125" style="1292" customWidth="1"/>
    <col min="12" max="12" width="12.42578125" style="1291" bestFit="1" customWidth="1"/>
    <col min="13" max="14" width="11.42578125" style="1291"/>
    <col min="15" max="15" width="12.42578125" style="1292" bestFit="1" customWidth="1"/>
    <col min="16" max="16384" width="11.42578125" style="1291"/>
  </cols>
  <sheetData>
    <row r="1" spans="1:15">
      <c r="A1" s="1290" t="s">
        <v>685</v>
      </c>
      <c r="L1" s="1291">
        <v>120</v>
      </c>
    </row>
    <row r="2" spans="1:15">
      <c r="I2" s="1293" t="s">
        <v>686</v>
      </c>
      <c r="L2" s="1291" t="s">
        <v>687</v>
      </c>
      <c r="M2" s="1291">
        <f>+L1*F8</f>
        <v>1051.2</v>
      </c>
      <c r="N2" s="1292">
        <v>850</v>
      </c>
      <c r="O2" s="1292">
        <f>+M2*N2</f>
        <v>893520</v>
      </c>
    </row>
    <row r="3" spans="1:15">
      <c r="A3" s="1294"/>
      <c r="F3" s="1294" t="s">
        <v>555</v>
      </c>
      <c r="G3" s="1294">
        <v>0.3</v>
      </c>
      <c r="H3" s="1294"/>
      <c r="I3" s="1291">
        <v>0.1</v>
      </c>
      <c r="L3" s="1291" t="s">
        <v>688</v>
      </c>
      <c r="M3" s="1291">
        <f>+F8</f>
        <v>8.76</v>
      </c>
      <c r="N3" s="1292">
        <v>130000</v>
      </c>
      <c r="O3" s="1292">
        <f t="shared" ref="O3:O4" si="0">+M3*N3</f>
        <v>1138800</v>
      </c>
    </row>
    <row r="4" spans="1:15">
      <c r="F4" s="1294" t="s">
        <v>689</v>
      </c>
      <c r="G4" s="1295">
        <v>275000</v>
      </c>
      <c r="H4" s="1295"/>
      <c r="I4" s="1291">
        <v>110000</v>
      </c>
      <c r="L4" s="1296" t="s">
        <v>690</v>
      </c>
      <c r="M4" s="1291">
        <f>+F8/0.3*2</f>
        <v>58.4</v>
      </c>
      <c r="N4" s="1292">
        <v>6000</v>
      </c>
      <c r="O4" s="1292">
        <f t="shared" si="0"/>
        <v>350400</v>
      </c>
    </row>
    <row r="5" spans="1:15">
      <c r="A5" s="1294"/>
      <c r="B5" s="1297"/>
      <c r="C5" s="1298" t="s">
        <v>691</v>
      </c>
      <c r="D5" s="1298"/>
      <c r="E5" s="1299"/>
      <c r="L5" s="1296" t="s">
        <v>692</v>
      </c>
      <c r="N5" s="1292"/>
      <c r="O5" s="1292">
        <f>+H8</f>
        <v>172480.00000000003</v>
      </c>
    </row>
    <row r="6" spans="1:15" ht="20.25" customHeight="1">
      <c r="A6" s="1300" t="s">
        <v>693</v>
      </c>
      <c r="B6" s="1301" t="s">
        <v>694</v>
      </c>
      <c r="C6" s="1301" t="s">
        <v>695</v>
      </c>
      <c r="D6" s="1301" t="s">
        <v>696</v>
      </c>
      <c r="E6" s="1301" t="s">
        <v>697</v>
      </c>
      <c r="F6" s="1301" t="s">
        <v>698</v>
      </c>
      <c r="G6" s="1301" t="s">
        <v>538</v>
      </c>
      <c r="H6" s="1301"/>
      <c r="I6" s="1301" t="s">
        <v>699</v>
      </c>
      <c r="O6" s="1292">
        <f>SUM(O2:O4)</f>
        <v>2382720</v>
      </c>
    </row>
    <row r="7" spans="1:15">
      <c r="A7" s="1302"/>
      <c r="B7" s="1302"/>
      <c r="C7" s="1302"/>
      <c r="D7" s="1302"/>
      <c r="E7" s="1302"/>
      <c r="F7" s="1302"/>
      <c r="G7" s="1302"/>
      <c r="H7" s="1302"/>
      <c r="I7" s="1302"/>
    </row>
    <row r="8" spans="1:15" ht="15">
      <c r="A8" s="1303" t="s">
        <v>623</v>
      </c>
      <c r="B8" s="1302">
        <v>1</v>
      </c>
      <c r="C8" s="1304">
        <v>5</v>
      </c>
      <c r="D8" s="1305">
        <v>1.6</v>
      </c>
      <c r="E8" s="1305">
        <v>1.6</v>
      </c>
      <c r="F8" s="1304">
        <f>(2*(C8*D8+epais*(C8+1))+(C8+1)*E8)*epais</f>
        <v>8.76</v>
      </c>
      <c r="G8" s="1306">
        <f>F8*PUbeton</f>
        <v>2409000</v>
      </c>
      <c r="H8" s="1304">
        <f t="shared" ref="H8:H21" si="1">+($C8*$D8+epais*($C8+1))*$I$3*D8*$I$4</f>
        <v>172480.00000000003</v>
      </c>
      <c r="I8" s="1306">
        <f>ROUND(H8+G8,0)</f>
        <v>2581480</v>
      </c>
      <c r="J8" s="1291">
        <v>50</v>
      </c>
      <c r="K8" s="1292">
        <f>+I8*J8</f>
        <v>129074000</v>
      </c>
    </row>
    <row r="9" spans="1:15" ht="15">
      <c r="A9" s="1303"/>
      <c r="B9" s="1302"/>
      <c r="C9" s="1304">
        <v>4</v>
      </c>
      <c r="D9" s="1305">
        <v>1.6</v>
      </c>
      <c r="E9" s="1305">
        <v>1.6</v>
      </c>
      <c r="F9" s="1304">
        <f>(2*(C9*D9+epais*(C9+1))+(C9+1)*E9)*epais</f>
        <v>7.14</v>
      </c>
      <c r="G9" s="1306">
        <f>F9*PUbeton</f>
        <v>1963500</v>
      </c>
      <c r="H9" s="1304">
        <f t="shared" si="1"/>
        <v>139040.00000000003</v>
      </c>
      <c r="I9" s="1306">
        <f t="shared" ref="I9:I11" si="2">ROUND(H9+G9,0)</f>
        <v>2102540</v>
      </c>
    </row>
    <row r="10" spans="1:15" ht="15">
      <c r="A10" s="1303"/>
      <c r="B10" s="1302"/>
      <c r="C10" s="1304">
        <v>3</v>
      </c>
      <c r="D10" s="1305">
        <v>1.6</v>
      </c>
      <c r="E10" s="1305">
        <v>1.6</v>
      </c>
      <c r="F10" s="1304">
        <f>(2*(C10*D10+epais*(C10+1))+(C10+1)*E10)*epais</f>
        <v>5.5200000000000005</v>
      </c>
      <c r="G10" s="1306">
        <f>F10*PUbeton</f>
        <v>1518000.0000000002</v>
      </c>
      <c r="H10" s="1304">
        <f t="shared" si="1"/>
        <v>105600.00000000001</v>
      </c>
      <c r="I10" s="1306">
        <f t="shared" si="2"/>
        <v>1623600</v>
      </c>
    </row>
    <row r="11" spans="1:15" ht="15">
      <c r="A11" s="1303"/>
      <c r="B11" s="1302"/>
      <c r="C11" s="1304">
        <v>2</v>
      </c>
      <c r="D11" s="1305">
        <v>1.5</v>
      </c>
      <c r="E11" s="1305">
        <v>1.5</v>
      </c>
      <c r="F11" s="1304">
        <f>(2*(C11*D11+epais*(C11+1))+(C11+1)*E11)*epais</f>
        <v>3.69</v>
      </c>
      <c r="G11" s="1306">
        <f>F11*PUbeton</f>
        <v>1014750</v>
      </c>
      <c r="H11" s="1304">
        <f t="shared" si="1"/>
        <v>64349.999999999993</v>
      </c>
      <c r="I11" s="1306">
        <f t="shared" si="2"/>
        <v>1079100</v>
      </c>
    </row>
    <row r="12" spans="1:15" ht="15">
      <c r="A12" s="1303"/>
      <c r="B12" s="1302"/>
      <c r="C12" s="1304"/>
      <c r="D12" s="1305"/>
      <c r="E12" s="1305"/>
      <c r="F12" s="1304"/>
      <c r="G12" s="1306"/>
      <c r="H12" s="1304"/>
      <c r="I12" s="1306"/>
    </row>
    <row r="13" spans="1:15" ht="15">
      <c r="A13" s="1303"/>
      <c r="B13" s="1302">
        <v>1</v>
      </c>
      <c r="C13" s="1304">
        <v>1</v>
      </c>
      <c r="D13" s="1305">
        <v>1</v>
      </c>
      <c r="E13" s="1305">
        <v>1</v>
      </c>
      <c r="F13" s="1304">
        <f t="shared" ref="F13:F27" si="3">(2*(C13*D13+epais*(C13+1))+(C13+1)*E13)*epais</f>
        <v>1.56</v>
      </c>
      <c r="G13" s="1306">
        <f t="shared" ref="G13:G21" si="4">F13*PUbeton</f>
        <v>429000</v>
      </c>
      <c r="H13" s="1304">
        <f t="shared" si="1"/>
        <v>17600.000000000004</v>
      </c>
      <c r="I13" s="1306">
        <f t="shared" ref="I13:I21" si="5">ROUND(H13+G13,0)</f>
        <v>446600</v>
      </c>
      <c r="J13" s="1291">
        <v>70</v>
      </c>
      <c r="K13" s="1292">
        <f>+I13*J13</f>
        <v>31262000</v>
      </c>
    </row>
    <row r="14" spans="1:15" ht="15">
      <c r="A14" s="1303"/>
      <c r="B14" s="1302">
        <v>1</v>
      </c>
      <c r="C14" s="1304">
        <v>1</v>
      </c>
      <c r="D14" s="1305">
        <v>1</v>
      </c>
      <c r="E14" s="1305">
        <v>1.5</v>
      </c>
      <c r="F14" s="1304">
        <f t="shared" si="3"/>
        <v>1.8599999999999999</v>
      </c>
      <c r="G14" s="1306">
        <f t="shared" si="4"/>
        <v>511499.99999999994</v>
      </c>
      <c r="H14" s="1304">
        <f t="shared" si="1"/>
        <v>17600.000000000004</v>
      </c>
      <c r="I14" s="1306">
        <f t="shared" si="5"/>
        <v>529100</v>
      </c>
    </row>
    <row r="15" spans="1:15" ht="15">
      <c r="A15" s="1303"/>
      <c r="B15" s="1302">
        <v>1</v>
      </c>
      <c r="C15" s="1304">
        <v>2</v>
      </c>
      <c r="D15" s="1305">
        <v>1.6</v>
      </c>
      <c r="E15" s="1305">
        <v>1.8</v>
      </c>
      <c r="F15" s="1304">
        <f t="shared" si="3"/>
        <v>4.08</v>
      </c>
      <c r="G15" s="1306">
        <f t="shared" si="4"/>
        <v>1122000</v>
      </c>
      <c r="H15" s="1304">
        <f t="shared" si="1"/>
        <v>72160</v>
      </c>
      <c r="I15" s="1306">
        <f t="shared" si="5"/>
        <v>1194160</v>
      </c>
    </row>
    <row r="16" spans="1:15" ht="15">
      <c r="A16" s="1303"/>
      <c r="B16" s="1302">
        <v>1</v>
      </c>
      <c r="C16" s="1304">
        <v>3</v>
      </c>
      <c r="D16" s="1305">
        <v>1.7</v>
      </c>
      <c r="E16" s="1305">
        <v>2</v>
      </c>
      <c r="F16" s="1304">
        <f t="shared" si="3"/>
        <v>6.1800000000000006</v>
      </c>
      <c r="G16" s="1306">
        <f t="shared" si="4"/>
        <v>1699500.0000000002</v>
      </c>
      <c r="H16" s="1304">
        <f t="shared" si="1"/>
        <v>117810</v>
      </c>
      <c r="I16" s="1306">
        <f t="shared" si="5"/>
        <v>1817310</v>
      </c>
    </row>
    <row r="17" spans="1:11" ht="15">
      <c r="A17" s="1303"/>
      <c r="B17" s="1302">
        <v>1</v>
      </c>
      <c r="C17" s="1304">
        <v>4</v>
      </c>
      <c r="D17" s="1305">
        <v>1.6</v>
      </c>
      <c r="E17" s="1305">
        <v>1.6</v>
      </c>
      <c r="F17" s="1304">
        <f t="shared" si="3"/>
        <v>7.14</v>
      </c>
      <c r="G17" s="1306">
        <f t="shared" si="4"/>
        <v>1963500</v>
      </c>
      <c r="H17" s="1304">
        <f t="shared" si="1"/>
        <v>139040.00000000003</v>
      </c>
      <c r="I17" s="1306">
        <f t="shared" si="5"/>
        <v>2102540</v>
      </c>
    </row>
    <row r="18" spans="1:11" ht="15">
      <c r="A18" s="1303"/>
      <c r="B18" s="1302">
        <v>1</v>
      </c>
      <c r="C18" s="1304">
        <v>1</v>
      </c>
      <c r="D18" s="1305">
        <v>2.5</v>
      </c>
      <c r="E18" s="1305">
        <v>2</v>
      </c>
      <c r="F18" s="1304">
        <f t="shared" si="3"/>
        <v>3.0599999999999996</v>
      </c>
      <c r="G18" s="1306">
        <f t="shared" si="4"/>
        <v>841499.99999999988</v>
      </c>
      <c r="H18" s="1304">
        <f t="shared" si="1"/>
        <v>85250.000000000015</v>
      </c>
      <c r="I18" s="1306">
        <f t="shared" si="5"/>
        <v>926750</v>
      </c>
    </row>
    <row r="19" spans="1:11" ht="15">
      <c r="A19" s="1303"/>
      <c r="B19" s="1302">
        <v>1</v>
      </c>
      <c r="C19" s="1304">
        <v>1</v>
      </c>
      <c r="D19" s="1305">
        <v>3</v>
      </c>
      <c r="E19" s="1305">
        <v>2</v>
      </c>
      <c r="F19" s="1304">
        <f t="shared" si="3"/>
        <v>3.36</v>
      </c>
      <c r="G19" s="1306">
        <f t="shared" si="4"/>
        <v>924000</v>
      </c>
      <c r="H19" s="1304">
        <f t="shared" si="1"/>
        <v>118800.00000000001</v>
      </c>
      <c r="I19" s="1306">
        <f t="shared" si="5"/>
        <v>1042800</v>
      </c>
    </row>
    <row r="20" spans="1:11" ht="15">
      <c r="A20" s="1303"/>
      <c r="B20" s="1302">
        <v>1</v>
      </c>
      <c r="C20" s="1304">
        <v>2</v>
      </c>
      <c r="D20" s="1305">
        <v>3</v>
      </c>
      <c r="E20" s="1305">
        <v>2</v>
      </c>
      <c r="F20" s="1304">
        <f t="shared" si="3"/>
        <v>5.94</v>
      </c>
      <c r="G20" s="1306">
        <f t="shared" si="4"/>
        <v>1633500</v>
      </c>
      <c r="H20" s="1304">
        <f t="shared" si="1"/>
        <v>227700.00000000003</v>
      </c>
      <c r="I20" s="1306">
        <f t="shared" si="5"/>
        <v>1861200</v>
      </c>
    </row>
    <row r="21" spans="1:11" ht="15">
      <c r="A21" s="1303"/>
      <c r="B21" s="1302">
        <v>1</v>
      </c>
      <c r="C21" s="1304">
        <v>2</v>
      </c>
      <c r="D21" s="1305">
        <v>2.5</v>
      </c>
      <c r="E21" s="1305">
        <v>2.5</v>
      </c>
      <c r="F21" s="1304">
        <f t="shared" si="3"/>
        <v>5.79</v>
      </c>
      <c r="G21" s="1306">
        <f t="shared" si="4"/>
        <v>1592250</v>
      </c>
      <c r="H21" s="1304">
        <f t="shared" si="1"/>
        <v>162250</v>
      </c>
      <c r="I21" s="1306">
        <f t="shared" si="5"/>
        <v>1754500</v>
      </c>
    </row>
    <row r="22" spans="1:11">
      <c r="A22" s="1303"/>
      <c r="B22" s="1302">
        <v>1</v>
      </c>
      <c r="C22" s="1302">
        <v>1</v>
      </c>
      <c r="D22" s="1302">
        <v>2</v>
      </c>
      <c r="E22" s="1302">
        <v>1.5</v>
      </c>
      <c r="F22" s="1302">
        <f t="shared" si="3"/>
        <v>2.4599999999999995</v>
      </c>
      <c r="G22" s="1307"/>
      <c r="H22" s="1302"/>
      <c r="I22" s="1307"/>
    </row>
    <row r="23" spans="1:11">
      <c r="A23" s="1303"/>
      <c r="B23" s="1302">
        <v>1</v>
      </c>
      <c r="C23" s="1302">
        <v>1</v>
      </c>
      <c r="D23" s="1302"/>
      <c r="E23" s="1302"/>
      <c r="F23" s="1302">
        <f t="shared" si="3"/>
        <v>0.36</v>
      </c>
      <c r="G23" s="1307"/>
      <c r="H23" s="1302"/>
      <c r="I23" s="1307"/>
    </row>
    <row r="24" spans="1:11">
      <c r="A24" s="1303" t="s">
        <v>623</v>
      </c>
      <c r="B24" s="1302">
        <v>1</v>
      </c>
      <c r="C24" s="1302">
        <v>1</v>
      </c>
      <c r="D24" s="1302">
        <v>1.5</v>
      </c>
      <c r="E24" s="1302">
        <v>1</v>
      </c>
      <c r="F24" s="1302">
        <f t="shared" si="3"/>
        <v>1.8599999999999999</v>
      </c>
      <c r="G24" s="1307">
        <f>F24*PUbeton</f>
        <v>511499.99999999994</v>
      </c>
      <c r="H24" s="1302">
        <f>+($C24*$D24+epais*($C24+1))*$I$3*D24*$I$4</f>
        <v>34650.000000000007</v>
      </c>
      <c r="I24" s="1307">
        <f>H24+G24</f>
        <v>546150</v>
      </c>
    </row>
    <row r="25" spans="1:11">
      <c r="A25" s="1303" t="s">
        <v>623</v>
      </c>
      <c r="B25" s="1302">
        <v>1</v>
      </c>
      <c r="C25" s="1302">
        <v>1</v>
      </c>
      <c r="D25" s="1302">
        <v>2.5</v>
      </c>
      <c r="E25" s="1302">
        <v>1.6</v>
      </c>
      <c r="F25" s="1302">
        <f t="shared" si="3"/>
        <v>2.82</v>
      </c>
      <c r="G25" s="1307">
        <f>F25*PUbeton</f>
        <v>775500</v>
      </c>
      <c r="H25" s="1302">
        <f>+($C25*$D25+epais*($C25+1))*$I$3*D25*$I$4</f>
        <v>85250.000000000015</v>
      </c>
      <c r="I25" s="1307">
        <f>H25+G25</f>
        <v>860750</v>
      </c>
    </row>
    <row r="26" spans="1:11">
      <c r="A26" s="1308"/>
      <c r="B26" s="1302">
        <v>1</v>
      </c>
      <c r="C26" s="1302">
        <v>1</v>
      </c>
      <c r="D26" s="1302">
        <v>3</v>
      </c>
      <c r="E26" s="1302">
        <v>2.2000000000000002</v>
      </c>
      <c r="F26" s="1302">
        <f t="shared" si="3"/>
        <v>3.4800000000000004</v>
      </c>
      <c r="G26" s="1307">
        <f>F26*PUbeton</f>
        <v>957000.00000000012</v>
      </c>
      <c r="H26" s="1302">
        <f>+($C26*$D26+epais*($C26+1))*$I$3*D26*$I$4</f>
        <v>118800.00000000001</v>
      </c>
      <c r="I26" s="1307">
        <f>H26+G26</f>
        <v>1075800.0000000002</v>
      </c>
    </row>
    <row r="27" spans="1:11">
      <c r="A27" s="1308"/>
      <c r="B27" s="1302">
        <v>1</v>
      </c>
      <c r="C27" s="1302">
        <v>1</v>
      </c>
      <c r="D27" s="1302">
        <v>2</v>
      </c>
      <c r="E27" s="1302">
        <v>1.5</v>
      </c>
      <c r="F27" s="1302">
        <f t="shared" si="3"/>
        <v>2.4599999999999995</v>
      </c>
      <c r="G27" s="1307">
        <f>F27*PUbeton</f>
        <v>676499.99999999988</v>
      </c>
      <c r="H27" s="1302">
        <f>+($C27*$D27+epais*($C27+1))*$I$3*D27*$I$4</f>
        <v>57200</v>
      </c>
      <c r="I27" s="1307">
        <f>H27+G27</f>
        <v>733699.99999999988</v>
      </c>
    </row>
    <row r="28" spans="1:11">
      <c r="A28" s="1309"/>
      <c r="B28" s="1302"/>
      <c r="C28" s="1302"/>
      <c r="D28" s="1302"/>
      <c r="E28" s="1302"/>
      <c r="F28" s="1302"/>
      <c r="G28" s="1307"/>
      <c r="H28" s="1307"/>
      <c r="I28" s="1307"/>
    </row>
    <row r="29" spans="1:11" hidden="1">
      <c r="A29" s="1303" t="s">
        <v>700</v>
      </c>
      <c r="B29" s="1302">
        <v>1</v>
      </c>
      <c r="C29" s="1302">
        <v>1</v>
      </c>
      <c r="D29" s="1302">
        <v>0.8</v>
      </c>
      <c r="E29" s="1302">
        <v>0.5</v>
      </c>
      <c r="F29" s="1302">
        <f>+($C29*$D29+epais*($C29+1)+(E29+epais)*(C29+1))*epais*B29</f>
        <v>0.89999999999999991</v>
      </c>
      <c r="G29" s="1307">
        <f>F29*PUbeton</f>
        <v>247499.99999999997</v>
      </c>
      <c r="H29" s="1302">
        <f t="shared" ref="H29:H44" si="6">+($C29*$D29+epais*($C29+1))*$I$3*D29*$I$4</f>
        <v>12319.999999999998</v>
      </c>
      <c r="I29" s="1307">
        <f>H29+G29</f>
        <v>259819.99999999997</v>
      </c>
      <c r="J29" s="1291">
        <v>39105</v>
      </c>
      <c r="K29" s="1292">
        <f t="shared" ref="K29:K40" si="7">+J29/F29</f>
        <v>43450.000000000007</v>
      </c>
    </row>
    <row r="30" spans="1:11" hidden="1">
      <c r="A30" s="1303"/>
      <c r="B30" s="1302">
        <v>1</v>
      </c>
      <c r="C30" s="1302">
        <v>1</v>
      </c>
      <c r="D30" s="1302">
        <v>0.9</v>
      </c>
      <c r="E30" s="1302">
        <v>0.5</v>
      </c>
      <c r="F30" s="1302">
        <f>+($C30*$D30+epais*($C30+1)+(E30+epais)*(C30+1))*epais*B30</f>
        <v>0.92999999999999994</v>
      </c>
      <c r="G30" s="1307">
        <f>F30*PUbeton</f>
        <v>255749.99999999997</v>
      </c>
      <c r="H30" s="1302">
        <f>+($C30*$D30+epais*($C30+1))*$I$3*D30*$I$4</f>
        <v>14850.000000000004</v>
      </c>
      <c r="I30" s="1307">
        <f>H30+G30</f>
        <v>270600</v>
      </c>
    </row>
    <row r="31" spans="1:11" hidden="1">
      <c r="A31" s="1303"/>
      <c r="B31" s="1302">
        <v>1</v>
      </c>
      <c r="C31" s="1302">
        <v>1</v>
      </c>
      <c r="D31" s="1302">
        <v>1.1000000000000001</v>
      </c>
      <c r="E31" s="1302">
        <v>0.5</v>
      </c>
      <c r="F31" s="1302">
        <f>+($C31*$D31+epais*($C31+1)+(E31+epais)*(C31+1))*epais*B31</f>
        <v>0.99</v>
      </c>
      <c r="G31" s="1307">
        <f>F31*PUbeton</f>
        <v>272250</v>
      </c>
      <c r="H31" s="1302">
        <f>+($C31*$D31+epais*($C31+1))*$I$3*D31*$I$4</f>
        <v>20570.000000000007</v>
      </c>
      <c r="I31" s="1307">
        <f>H31+G31</f>
        <v>292820</v>
      </c>
    </row>
    <row r="32" spans="1:11" hidden="1">
      <c r="A32" s="1303"/>
      <c r="B32" s="1302">
        <v>1</v>
      </c>
      <c r="C32" s="1302">
        <v>1</v>
      </c>
      <c r="D32" s="1302">
        <v>1.2</v>
      </c>
      <c r="E32" s="1302">
        <v>0.65</v>
      </c>
      <c r="F32" s="1302">
        <f>+($C32*$D32+epais*($C32+1)+(E32+epais)*(C32+1))*epais*B32</f>
        <v>1.1099999999999999</v>
      </c>
      <c r="G32" s="1307">
        <f>F32*PUbeton</f>
        <v>305249.99999999994</v>
      </c>
      <c r="H32" s="1302">
        <f>+($C32*$D32+epais*($C32+1))*$I$3*D32*$I$4</f>
        <v>23760</v>
      </c>
      <c r="I32" s="1307">
        <f>H32+G32</f>
        <v>329009.99999999994</v>
      </c>
    </row>
    <row r="33" spans="1:14" hidden="1">
      <c r="A33" s="1303"/>
      <c r="B33" s="1302">
        <v>1</v>
      </c>
      <c r="C33" s="1302">
        <v>1</v>
      </c>
      <c r="D33" s="1302">
        <v>1.3</v>
      </c>
      <c r="E33" s="1302">
        <v>0.65</v>
      </c>
      <c r="F33" s="1302">
        <f>+($C33*$D33+epais*($C33+1)+(E33+epais)*(C33+1))*epais*B33</f>
        <v>1.1399999999999999</v>
      </c>
      <c r="G33" s="1307">
        <f>F33*PUbeton</f>
        <v>313500</v>
      </c>
      <c r="H33" s="1302">
        <f>+($C33*$D33+epais*($C33+1))*$I$3*D33*$I$4</f>
        <v>27170.000000000004</v>
      </c>
      <c r="I33" s="1307">
        <f>H33+G33</f>
        <v>340670</v>
      </c>
    </row>
    <row r="34" spans="1:14" hidden="1">
      <c r="A34" s="1310"/>
      <c r="B34" s="1302">
        <v>1</v>
      </c>
      <c r="C34" s="1302">
        <v>1</v>
      </c>
      <c r="D34" s="1302">
        <v>0.7</v>
      </c>
      <c r="E34" s="1302">
        <v>0.65</v>
      </c>
      <c r="F34" s="1302">
        <f t="shared" ref="F34:F44" si="8">+(C34*D34+epais*(C34+1)+(E34+epais)*(C34+1))*epais*B34</f>
        <v>0.95999999999999985</v>
      </c>
      <c r="G34" s="1307">
        <f t="shared" ref="G34:G44" si="9">F34*PUbeton</f>
        <v>263999.99999999994</v>
      </c>
      <c r="H34" s="1302">
        <f t="shared" si="6"/>
        <v>10009.999999999998</v>
      </c>
      <c r="I34" s="1307">
        <f t="shared" ref="I34:I44" si="10">H34+G34</f>
        <v>274009.99999999994</v>
      </c>
      <c r="J34" s="1291">
        <v>39105</v>
      </c>
      <c r="K34" s="1292">
        <f t="shared" si="7"/>
        <v>40734.375000000007</v>
      </c>
    </row>
    <row r="35" spans="1:14" hidden="1">
      <c r="A35" s="1310"/>
      <c r="B35" s="1302">
        <v>1</v>
      </c>
      <c r="C35" s="1302">
        <v>1</v>
      </c>
      <c r="D35" s="1302">
        <v>0.7</v>
      </c>
      <c r="E35" s="1302">
        <v>0.75</v>
      </c>
      <c r="F35" s="1302">
        <f t="shared" si="8"/>
        <v>1.02</v>
      </c>
      <c r="G35" s="1307">
        <f t="shared" si="9"/>
        <v>280500</v>
      </c>
      <c r="H35" s="1302">
        <f t="shared" si="6"/>
        <v>10009.999999999998</v>
      </c>
      <c r="I35" s="1307">
        <f t="shared" si="10"/>
        <v>290510</v>
      </c>
      <c r="J35" s="1291">
        <v>46820</v>
      </c>
      <c r="K35" s="1292">
        <f t="shared" si="7"/>
        <v>45901.960784313727</v>
      </c>
    </row>
    <row r="36" spans="1:14" hidden="1">
      <c r="A36" s="1310"/>
      <c r="B36" s="1302">
        <v>1</v>
      </c>
      <c r="C36" s="1302">
        <v>1</v>
      </c>
      <c r="D36" s="1302">
        <v>0.7</v>
      </c>
      <c r="E36" s="1302">
        <v>0.85</v>
      </c>
      <c r="F36" s="1302">
        <f>+(C36*D36+epais*(C36+1)+(E36+epais)*(C36+1))*epais*B36</f>
        <v>1.0799999999999998</v>
      </c>
      <c r="G36" s="1307">
        <f>F36*PUbeton</f>
        <v>296999.99999999994</v>
      </c>
      <c r="H36" s="1302">
        <f>+($C36*$D36+epais*($C36+1))*$I$3*D36*$I$4</f>
        <v>10009.999999999998</v>
      </c>
      <c r="I36" s="1307">
        <f>H36+G36</f>
        <v>307009.99999999994</v>
      </c>
      <c r="J36" s="1291">
        <v>46820</v>
      </c>
      <c r="K36" s="1292">
        <f>+J36/F36</f>
        <v>43351.851851851861</v>
      </c>
    </row>
    <row r="37" spans="1:14" s="1292" customFormat="1" hidden="1">
      <c r="A37" s="1310"/>
      <c r="B37" s="1302">
        <v>1</v>
      </c>
      <c r="C37" s="1302">
        <v>1</v>
      </c>
      <c r="D37" s="1302">
        <v>0.8</v>
      </c>
      <c r="E37" s="1302">
        <v>0.65</v>
      </c>
      <c r="F37" s="1302">
        <f>+(C37*D37+epais*(C37+1)+(E37+epais)*(C37+1))*epais*B37</f>
        <v>0.98999999999999988</v>
      </c>
      <c r="G37" s="1307">
        <f>F37*PUbeton</f>
        <v>272249.99999999994</v>
      </c>
      <c r="H37" s="1302">
        <f>+($C37*$D37+epais*($C37+1))*$I$3*D37*$I$4</f>
        <v>12319.999999999998</v>
      </c>
      <c r="I37" s="1307">
        <f>H37+G37</f>
        <v>284569.99999999994</v>
      </c>
      <c r="J37" s="1291">
        <v>70590</v>
      </c>
      <c r="K37" s="1292">
        <f>+J37/F37</f>
        <v>71303.030303030318</v>
      </c>
      <c r="L37" s="1291"/>
      <c r="M37" s="1291"/>
      <c r="N37" s="1291"/>
    </row>
    <row r="38" spans="1:14" s="1292" customFormat="1" hidden="1">
      <c r="A38" s="1310"/>
      <c r="B38" s="1302">
        <v>1</v>
      </c>
      <c r="C38" s="1302">
        <v>1</v>
      </c>
      <c r="D38" s="1302">
        <v>0.8</v>
      </c>
      <c r="E38" s="1302">
        <v>1.1000000000000001</v>
      </c>
      <c r="F38" s="1302">
        <f t="shared" si="8"/>
        <v>1.26</v>
      </c>
      <c r="G38" s="1307">
        <f t="shared" si="9"/>
        <v>346500</v>
      </c>
      <c r="H38" s="1302">
        <f t="shared" si="6"/>
        <v>12319.999999999998</v>
      </c>
      <c r="I38" s="1307">
        <f t="shared" si="10"/>
        <v>358820</v>
      </c>
      <c r="J38" s="1291">
        <v>70590</v>
      </c>
      <c r="K38" s="1292">
        <f t="shared" si="7"/>
        <v>56023.809523809527</v>
      </c>
      <c r="L38" s="1291"/>
      <c r="M38" s="1291"/>
      <c r="N38" s="1291"/>
    </row>
    <row r="39" spans="1:14" s="1292" customFormat="1" hidden="1">
      <c r="A39" s="1310"/>
      <c r="B39" s="1302">
        <v>1</v>
      </c>
      <c r="C39" s="1302">
        <v>1</v>
      </c>
      <c r="D39" s="1302">
        <v>1</v>
      </c>
      <c r="E39" s="1302">
        <v>0.6</v>
      </c>
      <c r="F39" s="1302">
        <f t="shared" si="8"/>
        <v>1.02</v>
      </c>
      <c r="G39" s="1307">
        <f t="shared" si="9"/>
        <v>280500</v>
      </c>
      <c r="H39" s="1302">
        <f t="shared" si="6"/>
        <v>17600.000000000004</v>
      </c>
      <c r="I39" s="1307">
        <f t="shared" si="10"/>
        <v>298100</v>
      </c>
      <c r="J39" s="1291">
        <v>77590</v>
      </c>
      <c r="K39" s="1292">
        <f t="shared" si="7"/>
        <v>76068.627450980392</v>
      </c>
      <c r="L39" s="1291"/>
      <c r="M39" s="1291"/>
      <c r="N39" s="1291"/>
    </row>
    <row r="40" spans="1:14" s="1292" customFormat="1" hidden="1">
      <c r="A40" s="1310"/>
      <c r="B40" s="1302">
        <v>1</v>
      </c>
      <c r="C40" s="1302">
        <v>1</v>
      </c>
      <c r="D40" s="1302">
        <v>1</v>
      </c>
      <c r="E40" s="1302">
        <v>0.85</v>
      </c>
      <c r="F40" s="1302">
        <f t="shared" si="8"/>
        <v>1.17</v>
      </c>
      <c r="G40" s="1307">
        <f t="shared" si="9"/>
        <v>321750</v>
      </c>
      <c r="H40" s="1302">
        <f t="shared" si="6"/>
        <v>17600.000000000004</v>
      </c>
      <c r="I40" s="1307">
        <f t="shared" si="10"/>
        <v>339350</v>
      </c>
      <c r="J40" s="1291">
        <v>82220</v>
      </c>
      <c r="K40" s="1292">
        <f t="shared" si="7"/>
        <v>70273.504273504281</v>
      </c>
      <c r="L40" s="1291"/>
      <c r="M40" s="1291"/>
      <c r="N40" s="1291"/>
    </row>
    <row r="41" spans="1:14" s="1292" customFormat="1" hidden="1">
      <c r="A41" s="1309"/>
      <c r="B41" s="1302">
        <v>1</v>
      </c>
      <c r="C41" s="1302">
        <v>1</v>
      </c>
      <c r="D41" s="1302">
        <v>1</v>
      </c>
      <c r="E41" s="1302">
        <v>1.1000000000000001</v>
      </c>
      <c r="F41" s="1302">
        <f t="shared" si="8"/>
        <v>1.32</v>
      </c>
      <c r="G41" s="1307">
        <f t="shared" si="9"/>
        <v>363000</v>
      </c>
      <c r="H41" s="1302">
        <f t="shared" si="6"/>
        <v>17600.000000000004</v>
      </c>
      <c r="I41" s="1307">
        <f t="shared" si="10"/>
        <v>380600</v>
      </c>
      <c r="J41" s="1291"/>
      <c r="L41" s="1291"/>
      <c r="M41" s="1291"/>
      <c r="N41" s="1291"/>
    </row>
    <row r="42" spans="1:14" s="1292" customFormat="1" hidden="1">
      <c r="A42" s="1309"/>
      <c r="B42" s="1302">
        <v>1</v>
      </c>
      <c r="C42" s="1302">
        <v>1</v>
      </c>
      <c r="D42" s="1302">
        <v>1</v>
      </c>
      <c r="E42" s="1302">
        <v>0.65</v>
      </c>
      <c r="F42" s="1302">
        <f t="shared" si="8"/>
        <v>1.05</v>
      </c>
      <c r="G42" s="1307">
        <f t="shared" si="9"/>
        <v>288750</v>
      </c>
      <c r="H42" s="1302">
        <f t="shared" si="6"/>
        <v>17600.000000000004</v>
      </c>
      <c r="I42" s="1307">
        <f t="shared" si="10"/>
        <v>306350</v>
      </c>
      <c r="J42" s="1291"/>
      <c r="L42" s="1291"/>
      <c r="M42" s="1291"/>
      <c r="N42" s="1291"/>
    </row>
    <row r="43" spans="1:14" s="1292" customFormat="1" hidden="1">
      <c r="A43" s="1309"/>
      <c r="B43" s="1302">
        <v>1</v>
      </c>
      <c r="C43" s="1302">
        <v>1</v>
      </c>
      <c r="D43" s="1302">
        <v>0.8</v>
      </c>
      <c r="E43" s="1302">
        <v>0.8</v>
      </c>
      <c r="F43" s="1302">
        <f t="shared" si="8"/>
        <v>1.08</v>
      </c>
      <c r="G43" s="1307">
        <f t="shared" si="9"/>
        <v>297000</v>
      </c>
      <c r="H43" s="1302">
        <f t="shared" si="6"/>
        <v>12319.999999999998</v>
      </c>
      <c r="I43" s="1307">
        <f t="shared" si="10"/>
        <v>309320</v>
      </c>
      <c r="J43" s="1291"/>
      <c r="L43" s="1291"/>
      <c r="M43" s="1291"/>
      <c r="N43" s="1291"/>
    </row>
    <row r="44" spans="1:14" s="1292" customFormat="1" hidden="1">
      <c r="A44" s="1302"/>
      <c r="B44" s="1302">
        <v>1</v>
      </c>
      <c r="C44" s="1302">
        <v>1</v>
      </c>
      <c r="D44" s="1302">
        <v>1</v>
      </c>
      <c r="E44" s="1302">
        <v>1</v>
      </c>
      <c r="F44" s="1302">
        <f t="shared" si="8"/>
        <v>1.26</v>
      </c>
      <c r="G44" s="1307">
        <f t="shared" si="9"/>
        <v>346500</v>
      </c>
      <c r="H44" s="1302">
        <f t="shared" si="6"/>
        <v>17600.000000000004</v>
      </c>
      <c r="I44" s="1307">
        <f t="shared" si="10"/>
        <v>364100</v>
      </c>
      <c r="J44" s="1291"/>
      <c r="L44" s="1291">
        <v>0.8</v>
      </c>
      <c r="M44" s="1291">
        <v>19000</v>
      </c>
      <c r="N44" s="1291">
        <f>M44*L44</f>
        <v>15200</v>
      </c>
    </row>
    <row r="45" spans="1:14" s="1292" customFormat="1" hidden="1">
      <c r="A45" s="1311" t="s">
        <v>188</v>
      </c>
      <c r="B45" s="1302">
        <f>SUM(B8:B44)</f>
        <v>32</v>
      </c>
      <c r="C45" s="1302"/>
      <c r="D45" s="1302"/>
      <c r="E45" s="1302"/>
      <c r="F45" s="1302"/>
      <c r="G45" s="1307"/>
      <c r="H45" s="1307"/>
      <c r="I45" s="1307"/>
      <c r="J45" s="1291"/>
      <c r="L45" s="1291">
        <v>0.4</v>
      </c>
      <c r="M45" s="1291">
        <v>7500</v>
      </c>
      <c r="N45" s="1291">
        <f>M45*L45</f>
        <v>3000</v>
      </c>
    </row>
    <row r="46" spans="1:14" s="1292" customFormat="1" hidden="1">
      <c r="A46" s="1302"/>
      <c r="B46" s="1302"/>
      <c r="C46" s="1302"/>
      <c r="D46" s="1302"/>
      <c r="E46" s="1302"/>
      <c r="F46" s="1302" t="s">
        <v>701</v>
      </c>
      <c r="G46" s="1307"/>
      <c r="H46" s="1307"/>
      <c r="I46" s="1307">
        <f>SUM(I8:I45)</f>
        <v>27283740</v>
      </c>
      <c r="J46" s="1291"/>
      <c r="L46" s="1291">
        <v>0.35</v>
      </c>
      <c r="M46" s="1291">
        <v>93000</v>
      </c>
      <c r="N46" s="1291">
        <f>M46*L46</f>
        <v>32549.999999999996</v>
      </c>
    </row>
    <row r="47" spans="1:14" s="1292" customFormat="1" hidden="1">
      <c r="A47" s="1302"/>
      <c r="B47" s="1302"/>
      <c r="C47" s="1302"/>
      <c r="D47" s="1302"/>
      <c r="E47" s="1302"/>
      <c r="F47" s="1312" t="s">
        <v>702</v>
      </c>
      <c r="G47" s="1313"/>
      <c r="H47" s="1313"/>
      <c r="I47" s="1313">
        <f>I46/B45</f>
        <v>852616.875</v>
      </c>
      <c r="J47" s="1291"/>
      <c r="L47" s="1291">
        <v>45</v>
      </c>
      <c r="M47" s="1291">
        <v>750</v>
      </c>
      <c r="N47" s="1291">
        <f>M47*L47</f>
        <v>33750</v>
      </c>
    </row>
    <row r="48" spans="1:14" s="1292" customFormat="1">
      <c r="A48" s="1314"/>
      <c r="B48" s="1314"/>
      <c r="C48" s="1314"/>
      <c r="D48" s="1314"/>
      <c r="E48" s="1314"/>
      <c r="F48" s="1314"/>
      <c r="G48" s="1314"/>
      <c r="H48" s="1314"/>
      <c r="I48" s="1314"/>
      <c r="J48" s="1291"/>
      <c r="L48" s="1291"/>
      <c r="M48" s="1291"/>
      <c r="N48" s="1291">
        <f>SUM(N44:N47)</f>
        <v>84500</v>
      </c>
    </row>
    <row r="49" spans="1:14" s="1292" customFormat="1">
      <c r="A49" s="1291"/>
      <c r="B49" s="1291"/>
      <c r="C49" s="1291"/>
      <c r="D49" s="1291"/>
      <c r="E49" s="1291"/>
      <c r="F49" s="1291"/>
      <c r="G49" s="1291"/>
      <c r="H49" s="1291"/>
      <c r="I49" s="1291"/>
      <c r="J49" s="1291"/>
      <c r="L49" s="1291"/>
      <c r="M49" s="1291"/>
      <c r="N49" s="1291">
        <f>N48*1.2</f>
        <v>101400</v>
      </c>
    </row>
    <row r="50" spans="1:14" s="1292" customFormat="1">
      <c r="A50" s="1291"/>
      <c r="B50" s="1291"/>
      <c r="C50" s="1291"/>
      <c r="D50" s="1291"/>
      <c r="E50" s="1291"/>
      <c r="F50" s="1291"/>
      <c r="G50" s="1291"/>
      <c r="H50" s="1291"/>
      <c r="I50" s="1291"/>
      <c r="J50" s="1291"/>
      <c r="L50" s="1291"/>
      <c r="M50" s="1291"/>
      <c r="N50" s="1291">
        <f>N49*1.2</f>
        <v>121680</v>
      </c>
    </row>
    <row r="51" spans="1:14" s="1292" customFormat="1" ht="15">
      <c r="A51" s="1291"/>
      <c r="B51" s="37" t="s">
        <v>703</v>
      </c>
      <c r="C51" s="37" t="s">
        <v>704</v>
      </c>
      <c r="D51" s="37" t="s">
        <v>705</v>
      </c>
      <c r="E51" s="37" t="s">
        <v>706</v>
      </c>
      <c r="F51" s="142"/>
      <c r="G51" s="142"/>
      <c r="H51" s="142"/>
      <c r="I51" s="1291"/>
      <c r="J51" s="1291"/>
      <c r="L51" s="1291"/>
      <c r="M51" s="1291"/>
      <c r="N51" s="1291"/>
    </row>
    <row r="52" spans="1:14" s="1292" customFormat="1" ht="15">
      <c r="A52" s="1291"/>
      <c r="B52" s="142">
        <v>2</v>
      </c>
      <c r="C52" s="142">
        <v>8</v>
      </c>
      <c r="D52" s="142">
        <v>2.5</v>
      </c>
      <c r="E52" s="142">
        <v>1</v>
      </c>
      <c r="F52" s="1315">
        <f>+(B52+2*D52*(1+E52^2)^0.5)*epais*PUbeton</f>
        <v>748363.09447890171</v>
      </c>
      <c r="G52" s="1316">
        <f>+(B52+'[1]Prix moyen collec F'!$I$3*2)*'[1]Prix moyen collec F'!$I$3*'[1]Prix moyen collec F'!$I$4</f>
        <v>6825.0000000000009</v>
      </c>
      <c r="H52" s="375">
        <f>+ROUND(F52+G52,0)</f>
        <v>755188</v>
      </c>
      <c r="I52" s="1291"/>
      <c r="J52" s="1291"/>
      <c r="L52" s="1291"/>
      <c r="M52" s="1291"/>
      <c r="N52" s="1291"/>
    </row>
    <row r="53" spans="1:14" ht="15">
      <c r="B53" s="142">
        <v>3</v>
      </c>
      <c r="C53" s="142">
        <v>7</v>
      </c>
      <c r="D53" s="142">
        <v>2</v>
      </c>
      <c r="E53" s="142">
        <v>1</v>
      </c>
      <c r="F53" s="1315">
        <f>+(B53+2*D53*(1+E53^2)^0.5)*epais*PUbeton</f>
        <v>714190.4755831213</v>
      </c>
      <c r="G53" s="1316">
        <f>+(B53+'[1]Prix moyen collec F'!$I$3*2)*'[1]Prix moyen collec F'!$I$3*'[1]Prix moyen collec F'!$I$4</f>
        <v>10075.000000000002</v>
      </c>
      <c r="H53" s="375">
        <f>+F53+G53</f>
        <v>724265.4755831213</v>
      </c>
      <c r="L53" s="1291">
        <f>2+2*2.5*2^0.5</f>
        <v>9.0710678118654755</v>
      </c>
      <c r="M53" s="1291">
        <f>+L53*0.2</f>
        <v>1.8142135623730953</v>
      </c>
    </row>
    <row r="54" spans="1:14">
      <c r="L54" s="1291">
        <f>+L53*200000</f>
        <v>1814213.5623730952</v>
      </c>
      <c r="M54" s="1291">
        <f>+M53*200000</f>
        <v>362842.71247461904</v>
      </c>
    </row>
  </sheetData>
  <pageMargins left="1.3385826771653544" right="0.78740157480314965" top="0.98425196850393704" bottom="0.98425196850393704" header="0.51181102362204722" footer="0.51181102362204722"/>
  <pageSetup paperSize="9" scale="80" orientation="landscape" horizontalDpi="360" verticalDpi="360" r:id="rId1"/>
  <headerFooter alignWithMargins="0">
    <oddHeader>&amp;A</oddHeader>
    <oddFooter>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7030A0"/>
  </sheetPr>
  <dimension ref="A1:GH191"/>
  <sheetViews>
    <sheetView topLeftCell="B112" workbookViewId="0">
      <selection sqref="A1:E1"/>
    </sheetView>
  </sheetViews>
  <sheetFormatPr baseColWidth="10" defaultColWidth="9.140625" defaultRowHeight="15"/>
  <cols>
    <col min="1" max="1" width="14.7109375" style="421" customWidth="1"/>
    <col min="2" max="2" width="79.140625" style="142" customWidth="1"/>
    <col min="3" max="3" width="11" style="142" customWidth="1"/>
    <col min="4" max="4" width="14.85546875" style="142" customWidth="1"/>
    <col min="5" max="5" width="20" style="142" customWidth="1"/>
    <col min="6" max="6" width="32.85546875" style="142" customWidth="1"/>
    <col min="7" max="7" width="9.140625" style="142"/>
    <col min="8" max="8" width="16" style="255" bestFit="1" customWidth="1"/>
    <col min="9" max="9" width="10.7109375" style="262" customWidth="1"/>
    <col min="10" max="10" width="16" style="255" bestFit="1" customWidth="1"/>
    <col min="11" max="11" width="9.140625" style="129"/>
    <col min="12" max="12" width="9.28515625" style="129" bestFit="1" customWidth="1"/>
    <col min="13" max="189" width="9.140625" style="129"/>
    <col min="190" max="16384" width="9.140625" style="142"/>
  </cols>
  <sheetData>
    <row r="1" spans="1:189" ht="20.25" thickBot="1">
      <c r="A1" s="434" t="s">
        <v>184</v>
      </c>
      <c r="D1" s="62"/>
      <c r="E1" s="62"/>
      <c r="F1" s="99"/>
    </row>
    <row r="2" spans="1:189" ht="25.5" thickBot="1">
      <c r="A2" s="1856" t="s">
        <v>288</v>
      </c>
      <c r="B2" s="1857"/>
      <c r="C2" s="1857"/>
      <c r="D2" s="1857"/>
      <c r="E2" s="1857"/>
      <c r="F2" s="1858"/>
      <c r="G2" s="119"/>
    </row>
    <row r="3" spans="1:189" s="198" customFormat="1" ht="24.75">
      <c r="A3" s="446"/>
      <c r="B3" s="381"/>
      <c r="C3" s="381"/>
      <c r="D3" s="381"/>
      <c r="E3" s="535" t="s">
        <v>509</v>
      </c>
      <c r="F3" s="340">
        <v>450</v>
      </c>
      <c r="G3" s="119"/>
      <c r="H3" s="256"/>
      <c r="I3" s="330"/>
      <c r="J3" s="256"/>
      <c r="K3" s="199"/>
      <c r="L3" s="199"/>
      <c r="M3" s="199"/>
      <c r="N3" s="199"/>
      <c r="O3" s="199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199"/>
      <c r="AC3" s="199"/>
      <c r="AD3" s="199"/>
      <c r="AE3" s="199"/>
      <c r="AF3" s="199"/>
      <c r="AG3" s="199"/>
      <c r="AH3" s="199"/>
      <c r="AI3" s="199"/>
      <c r="AJ3" s="199"/>
      <c r="AK3" s="199"/>
      <c r="AL3" s="199"/>
      <c r="AM3" s="199"/>
      <c r="AN3" s="199"/>
      <c r="AO3" s="199"/>
      <c r="AP3" s="199"/>
      <c r="AQ3" s="199"/>
      <c r="AR3" s="199"/>
      <c r="AS3" s="199"/>
      <c r="AT3" s="199"/>
      <c r="AU3" s="199"/>
      <c r="AV3" s="199"/>
      <c r="AW3" s="199"/>
      <c r="AX3" s="199"/>
      <c r="AY3" s="199"/>
      <c r="AZ3" s="199"/>
      <c r="BA3" s="199"/>
      <c r="BB3" s="199"/>
      <c r="BC3" s="199"/>
      <c r="BD3" s="199"/>
      <c r="BE3" s="199"/>
      <c r="BF3" s="199"/>
      <c r="BG3" s="199"/>
      <c r="BH3" s="199"/>
      <c r="BI3" s="199"/>
      <c r="BJ3" s="199"/>
      <c r="BK3" s="199"/>
      <c r="BL3" s="199"/>
      <c r="BM3" s="199"/>
      <c r="BN3" s="199"/>
      <c r="BO3" s="199"/>
      <c r="BP3" s="199"/>
      <c r="BQ3" s="199"/>
      <c r="BR3" s="199"/>
      <c r="BS3" s="199"/>
      <c r="BT3" s="199"/>
      <c r="BU3" s="199"/>
      <c r="BV3" s="199"/>
      <c r="BW3" s="199"/>
      <c r="BX3" s="199"/>
      <c r="BY3" s="199"/>
      <c r="BZ3" s="199"/>
      <c r="CA3" s="199"/>
      <c r="CB3" s="199"/>
      <c r="CC3" s="199"/>
      <c r="CD3" s="199"/>
      <c r="CE3" s="199"/>
      <c r="CF3" s="199"/>
      <c r="CG3" s="199"/>
      <c r="CH3" s="199"/>
      <c r="CI3" s="199"/>
      <c r="CJ3" s="199"/>
      <c r="CK3" s="199"/>
      <c r="CL3" s="199"/>
      <c r="CM3" s="199"/>
      <c r="CN3" s="199"/>
      <c r="CO3" s="199"/>
      <c r="CP3" s="199"/>
      <c r="CQ3" s="199"/>
      <c r="CR3" s="199"/>
      <c r="CS3" s="199"/>
      <c r="CT3" s="199"/>
      <c r="CU3" s="199"/>
      <c r="CV3" s="199"/>
      <c r="CW3" s="199"/>
      <c r="CX3" s="199"/>
      <c r="CY3" s="199"/>
      <c r="CZ3" s="199"/>
      <c r="DA3" s="199"/>
      <c r="DB3" s="199"/>
      <c r="DC3" s="199"/>
      <c r="DD3" s="199"/>
      <c r="DE3" s="199"/>
      <c r="DF3" s="199"/>
      <c r="DG3" s="199"/>
      <c r="DH3" s="199"/>
      <c r="DI3" s="199"/>
      <c r="DJ3" s="199"/>
      <c r="DK3" s="199"/>
      <c r="DL3" s="199"/>
      <c r="DM3" s="199"/>
      <c r="DN3" s="199"/>
      <c r="DO3" s="199"/>
      <c r="DP3" s="199"/>
      <c r="DQ3" s="199"/>
      <c r="DR3" s="199"/>
      <c r="DS3" s="199"/>
      <c r="DT3" s="199"/>
      <c r="DU3" s="199"/>
      <c r="DV3" s="199"/>
      <c r="DW3" s="199"/>
      <c r="DX3" s="199"/>
      <c r="DY3" s="199"/>
      <c r="DZ3" s="199"/>
      <c r="EA3" s="199"/>
      <c r="EB3" s="199"/>
      <c r="EC3" s="199"/>
      <c r="ED3" s="199"/>
      <c r="EE3" s="199"/>
      <c r="EF3" s="199"/>
      <c r="EG3" s="199"/>
      <c r="EH3" s="199"/>
      <c r="EI3" s="199"/>
      <c r="EJ3" s="199"/>
      <c r="EK3" s="199"/>
      <c r="EL3" s="199"/>
      <c r="EM3" s="199"/>
      <c r="EN3" s="199"/>
      <c r="EO3" s="199"/>
      <c r="EP3" s="199"/>
      <c r="EQ3" s="199"/>
      <c r="ER3" s="199"/>
      <c r="ES3" s="199"/>
      <c r="ET3" s="199"/>
      <c r="EU3" s="199"/>
      <c r="EV3" s="199"/>
      <c r="EW3" s="199"/>
      <c r="EX3" s="199"/>
      <c r="EY3" s="199"/>
      <c r="EZ3" s="199"/>
      <c r="FA3" s="199"/>
      <c r="FB3" s="199"/>
      <c r="FC3" s="199"/>
      <c r="FD3" s="199"/>
      <c r="FE3" s="199"/>
      <c r="FF3" s="199"/>
      <c r="FG3" s="199"/>
      <c r="FH3" s="199"/>
      <c r="FI3" s="199"/>
      <c r="FJ3" s="199"/>
      <c r="FK3" s="199"/>
      <c r="FL3" s="199"/>
      <c r="FM3" s="199"/>
      <c r="FN3" s="199"/>
      <c r="FO3" s="199"/>
      <c r="FP3" s="199"/>
      <c r="FQ3" s="199"/>
      <c r="FR3" s="199"/>
      <c r="FS3" s="199"/>
      <c r="FT3" s="199"/>
      <c r="FU3" s="199"/>
      <c r="FV3" s="199"/>
      <c r="FW3" s="199"/>
      <c r="FX3" s="199"/>
      <c r="FY3" s="199"/>
      <c r="FZ3" s="199"/>
      <c r="GA3" s="199"/>
      <c r="GB3" s="199"/>
      <c r="GC3" s="199"/>
      <c r="GD3" s="199"/>
      <c r="GE3" s="199"/>
      <c r="GF3" s="199"/>
      <c r="GG3" s="199"/>
    </row>
    <row r="4" spans="1:189" s="198" customFormat="1" ht="24.75">
      <c r="A4" s="446"/>
      <c r="B4" s="381"/>
      <c r="C4" s="381"/>
      <c r="D4" s="381"/>
      <c r="E4" s="535" t="s">
        <v>503</v>
      </c>
      <c r="F4" s="340">
        <f>F6-F3</f>
        <v>596</v>
      </c>
      <c r="G4" s="119"/>
      <c r="H4" s="256"/>
      <c r="I4" s="330"/>
      <c r="J4" s="256"/>
      <c r="K4" s="199"/>
      <c r="L4" s="199"/>
      <c r="M4" s="199"/>
      <c r="N4" s="199"/>
      <c r="O4" s="199"/>
      <c r="P4" s="199"/>
      <c r="Q4" s="199"/>
      <c r="R4" s="199"/>
      <c r="S4" s="199"/>
      <c r="T4" s="199"/>
      <c r="U4" s="199"/>
      <c r="V4" s="199"/>
      <c r="W4" s="199"/>
      <c r="X4" s="199"/>
      <c r="Y4" s="199"/>
      <c r="Z4" s="199"/>
      <c r="AA4" s="199"/>
      <c r="AB4" s="199"/>
      <c r="AC4" s="199"/>
      <c r="AD4" s="199"/>
      <c r="AE4" s="199"/>
      <c r="AF4" s="199"/>
      <c r="AG4" s="199"/>
      <c r="AH4" s="199"/>
      <c r="AI4" s="199"/>
      <c r="AJ4" s="199"/>
      <c r="AK4" s="199"/>
      <c r="AL4" s="199"/>
      <c r="AM4" s="199"/>
      <c r="AN4" s="199"/>
      <c r="AO4" s="199"/>
      <c r="AP4" s="199"/>
      <c r="AQ4" s="199"/>
      <c r="AR4" s="199"/>
      <c r="AS4" s="199"/>
      <c r="AT4" s="199"/>
      <c r="AU4" s="199"/>
      <c r="AV4" s="199"/>
      <c r="AW4" s="199"/>
      <c r="AX4" s="199"/>
      <c r="AY4" s="199"/>
      <c r="AZ4" s="199"/>
      <c r="BA4" s="199"/>
      <c r="BB4" s="199"/>
      <c r="BC4" s="199"/>
      <c r="BD4" s="199"/>
      <c r="BE4" s="199"/>
      <c r="BF4" s="199"/>
      <c r="BG4" s="199"/>
      <c r="BH4" s="199"/>
      <c r="BI4" s="199"/>
      <c r="BJ4" s="199"/>
      <c r="BK4" s="199"/>
      <c r="BL4" s="199"/>
      <c r="BM4" s="199"/>
      <c r="BN4" s="199"/>
      <c r="BO4" s="199"/>
      <c r="BP4" s="199"/>
      <c r="BQ4" s="199"/>
      <c r="BR4" s="199"/>
      <c r="BS4" s="199"/>
      <c r="BT4" s="199"/>
      <c r="BU4" s="199"/>
      <c r="BV4" s="199"/>
      <c r="BW4" s="199"/>
      <c r="BX4" s="199"/>
      <c r="BY4" s="199"/>
      <c r="BZ4" s="199"/>
      <c r="CA4" s="199"/>
      <c r="CB4" s="199"/>
      <c r="CC4" s="199"/>
      <c r="CD4" s="199"/>
      <c r="CE4" s="199"/>
      <c r="CF4" s="199"/>
      <c r="CG4" s="199"/>
      <c r="CH4" s="199"/>
      <c r="CI4" s="199"/>
      <c r="CJ4" s="199"/>
      <c r="CK4" s="199"/>
      <c r="CL4" s="199"/>
      <c r="CM4" s="199"/>
      <c r="CN4" s="199"/>
      <c r="CO4" s="199"/>
      <c r="CP4" s="199"/>
      <c r="CQ4" s="199"/>
      <c r="CR4" s="199"/>
      <c r="CS4" s="199"/>
      <c r="CT4" s="199"/>
      <c r="CU4" s="199"/>
      <c r="CV4" s="199"/>
      <c r="CW4" s="199"/>
      <c r="CX4" s="199"/>
      <c r="CY4" s="199"/>
      <c r="CZ4" s="199"/>
      <c r="DA4" s="199"/>
      <c r="DB4" s="199"/>
      <c r="DC4" s="199"/>
      <c r="DD4" s="199"/>
      <c r="DE4" s="199"/>
      <c r="DF4" s="199"/>
      <c r="DG4" s="199"/>
      <c r="DH4" s="199"/>
      <c r="DI4" s="199"/>
      <c r="DJ4" s="199"/>
      <c r="DK4" s="199"/>
      <c r="DL4" s="199"/>
      <c r="DM4" s="199"/>
      <c r="DN4" s="199"/>
      <c r="DO4" s="199"/>
      <c r="DP4" s="199"/>
      <c r="DQ4" s="199"/>
      <c r="DR4" s="199"/>
      <c r="DS4" s="199"/>
      <c r="DT4" s="199"/>
      <c r="DU4" s="199"/>
      <c r="DV4" s="199"/>
      <c r="DW4" s="199"/>
      <c r="DX4" s="199"/>
      <c r="DY4" s="199"/>
      <c r="DZ4" s="199"/>
      <c r="EA4" s="199"/>
      <c r="EB4" s="199"/>
      <c r="EC4" s="199"/>
      <c r="ED4" s="199"/>
      <c r="EE4" s="199"/>
      <c r="EF4" s="199"/>
      <c r="EG4" s="199"/>
      <c r="EH4" s="199"/>
      <c r="EI4" s="199"/>
      <c r="EJ4" s="199"/>
      <c r="EK4" s="199"/>
      <c r="EL4" s="199"/>
      <c r="EM4" s="199"/>
      <c r="EN4" s="199"/>
      <c r="EO4" s="199"/>
      <c r="EP4" s="199"/>
      <c r="EQ4" s="199"/>
      <c r="ER4" s="199"/>
      <c r="ES4" s="199"/>
      <c r="ET4" s="199"/>
      <c r="EU4" s="199"/>
      <c r="EV4" s="199"/>
      <c r="EW4" s="199"/>
      <c r="EX4" s="199"/>
      <c r="EY4" s="199"/>
      <c r="EZ4" s="199"/>
      <c r="FA4" s="199"/>
      <c r="FB4" s="199"/>
      <c r="FC4" s="199"/>
      <c r="FD4" s="199"/>
      <c r="FE4" s="199"/>
      <c r="FF4" s="199"/>
      <c r="FG4" s="199"/>
      <c r="FH4" s="199"/>
      <c r="FI4" s="199"/>
      <c r="FJ4" s="199"/>
      <c r="FK4" s="199"/>
      <c r="FL4" s="199"/>
      <c r="FM4" s="199"/>
      <c r="FN4" s="199"/>
      <c r="FO4" s="199"/>
      <c r="FP4" s="199"/>
      <c r="FQ4" s="199"/>
      <c r="FR4" s="199"/>
      <c r="FS4" s="199"/>
      <c r="FT4" s="199"/>
      <c r="FU4" s="199"/>
      <c r="FV4" s="199"/>
      <c r="FW4" s="199"/>
      <c r="FX4" s="199"/>
      <c r="FY4" s="199"/>
      <c r="FZ4" s="199"/>
      <c r="GA4" s="199"/>
      <c r="GB4" s="199"/>
      <c r="GC4" s="199"/>
      <c r="GD4" s="199"/>
      <c r="GE4" s="199"/>
      <c r="GF4" s="199"/>
      <c r="GG4" s="199"/>
    </row>
    <row r="5" spans="1:189" s="198" customFormat="1" ht="24.75">
      <c r="A5" s="446"/>
      <c r="B5" s="381"/>
      <c r="C5" s="381"/>
      <c r="D5" s="381"/>
      <c r="E5" s="535" t="s">
        <v>510</v>
      </c>
      <c r="F5" s="340">
        <f>36*20*2</f>
        <v>1440</v>
      </c>
      <c r="G5" s="119"/>
      <c r="H5" s="256"/>
      <c r="I5" s="330"/>
      <c r="J5" s="256"/>
      <c r="K5" s="199"/>
      <c r="L5" s="199"/>
      <c r="M5" s="199"/>
      <c r="N5" s="199"/>
      <c r="O5" s="199"/>
      <c r="P5" s="199"/>
      <c r="Q5" s="199"/>
      <c r="R5" s="199"/>
      <c r="S5" s="199"/>
      <c r="T5" s="199"/>
      <c r="U5" s="199"/>
      <c r="V5" s="199"/>
      <c r="W5" s="199"/>
      <c r="X5" s="199"/>
      <c r="Y5" s="199"/>
      <c r="Z5" s="199"/>
      <c r="AA5" s="199"/>
      <c r="AB5" s="199"/>
      <c r="AC5" s="199"/>
      <c r="AD5" s="199"/>
      <c r="AE5" s="199"/>
      <c r="AF5" s="199"/>
      <c r="AG5" s="199"/>
      <c r="AH5" s="199"/>
      <c r="AI5" s="199"/>
      <c r="AJ5" s="199"/>
      <c r="AK5" s="199"/>
      <c r="AL5" s="199"/>
      <c r="AM5" s="199"/>
      <c r="AN5" s="199"/>
      <c r="AO5" s="199"/>
      <c r="AP5" s="199"/>
      <c r="AQ5" s="199"/>
      <c r="AR5" s="199"/>
      <c r="AS5" s="199"/>
      <c r="AT5" s="199"/>
      <c r="AU5" s="199"/>
      <c r="AV5" s="199"/>
      <c r="AW5" s="199"/>
      <c r="AX5" s="199"/>
      <c r="AY5" s="199"/>
      <c r="AZ5" s="199"/>
      <c r="BA5" s="199"/>
      <c r="BB5" s="199"/>
      <c r="BC5" s="199"/>
      <c r="BD5" s="199"/>
      <c r="BE5" s="199"/>
      <c r="BF5" s="199"/>
      <c r="BG5" s="199"/>
      <c r="BH5" s="199"/>
      <c r="BI5" s="199"/>
      <c r="BJ5" s="199"/>
      <c r="BK5" s="199"/>
      <c r="BL5" s="199"/>
      <c r="BM5" s="199"/>
      <c r="BN5" s="199"/>
      <c r="BO5" s="199"/>
      <c r="BP5" s="199"/>
      <c r="BQ5" s="199"/>
      <c r="BR5" s="199"/>
      <c r="BS5" s="199"/>
      <c r="BT5" s="199"/>
      <c r="BU5" s="199"/>
      <c r="BV5" s="199"/>
      <c r="BW5" s="199"/>
      <c r="BX5" s="199"/>
      <c r="BY5" s="199"/>
      <c r="BZ5" s="199"/>
      <c r="CA5" s="199"/>
      <c r="CB5" s="199"/>
      <c r="CC5" s="199"/>
      <c r="CD5" s="199"/>
      <c r="CE5" s="199"/>
      <c r="CF5" s="199"/>
      <c r="CG5" s="199"/>
      <c r="CH5" s="199"/>
      <c r="CI5" s="199"/>
      <c r="CJ5" s="199"/>
      <c r="CK5" s="199"/>
      <c r="CL5" s="199"/>
      <c r="CM5" s="199"/>
      <c r="CN5" s="199"/>
      <c r="CO5" s="199"/>
      <c r="CP5" s="199"/>
      <c r="CQ5" s="199"/>
      <c r="CR5" s="199"/>
      <c r="CS5" s="199"/>
      <c r="CT5" s="199"/>
      <c r="CU5" s="199"/>
      <c r="CV5" s="199"/>
      <c r="CW5" s="199"/>
      <c r="CX5" s="199"/>
      <c r="CY5" s="199"/>
      <c r="CZ5" s="199"/>
      <c r="DA5" s="199"/>
      <c r="DB5" s="199"/>
      <c r="DC5" s="199"/>
      <c r="DD5" s="199"/>
      <c r="DE5" s="199"/>
      <c r="DF5" s="199"/>
      <c r="DG5" s="199"/>
      <c r="DH5" s="199"/>
      <c r="DI5" s="199"/>
      <c r="DJ5" s="199"/>
      <c r="DK5" s="199"/>
      <c r="DL5" s="199"/>
      <c r="DM5" s="199"/>
      <c r="DN5" s="199"/>
      <c r="DO5" s="199"/>
      <c r="DP5" s="199"/>
      <c r="DQ5" s="199"/>
      <c r="DR5" s="199"/>
      <c r="DS5" s="199"/>
      <c r="DT5" s="199"/>
      <c r="DU5" s="199"/>
      <c r="DV5" s="199"/>
      <c r="DW5" s="199"/>
      <c r="DX5" s="199"/>
      <c r="DY5" s="199"/>
      <c r="DZ5" s="199"/>
      <c r="EA5" s="199"/>
      <c r="EB5" s="199"/>
      <c r="EC5" s="199"/>
      <c r="ED5" s="199"/>
      <c r="EE5" s="199"/>
      <c r="EF5" s="199"/>
      <c r="EG5" s="199"/>
      <c r="EH5" s="199"/>
      <c r="EI5" s="199"/>
      <c r="EJ5" s="199"/>
      <c r="EK5" s="199"/>
      <c r="EL5" s="199"/>
      <c r="EM5" s="199"/>
      <c r="EN5" s="199"/>
      <c r="EO5" s="199"/>
      <c r="EP5" s="199"/>
      <c r="EQ5" s="199"/>
      <c r="ER5" s="199"/>
      <c r="ES5" s="199"/>
      <c r="ET5" s="199"/>
      <c r="EU5" s="199"/>
      <c r="EV5" s="199"/>
      <c r="EW5" s="199"/>
      <c r="EX5" s="199"/>
      <c r="EY5" s="199"/>
      <c r="EZ5" s="199"/>
      <c r="FA5" s="199"/>
      <c r="FB5" s="199"/>
      <c r="FC5" s="199"/>
      <c r="FD5" s="199"/>
      <c r="FE5" s="199"/>
      <c r="FF5" s="199"/>
      <c r="FG5" s="199"/>
      <c r="FH5" s="199"/>
      <c r="FI5" s="199"/>
      <c r="FJ5" s="199"/>
      <c r="FK5" s="199"/>
      <c r="FL5" s="199"/>
      <c r="FM5" s="199"/>
      <c r="FN5" s="199"/>
      <c r="FO5" s="199"/>
      <c r="FP5" s="199"/>
      <c r="FQ5" s="199"/>
      <c r="FR5" s="199"/>
      <c r="FS5" s="199"/>
      <c r="FT5" s="199"/>
      <c r="FU5" s="199"/>
      <c r="FV5" s="199"/>
      <c r="FW5" s="199"/>
      <c r="FX5" s="199"/>
      <c r="FY5" s="199"/>
      <c r="FZ5" s="199"/>
      <c r="GA5" s="199"/>
      <c r="GB5" s="199"/>
      <c r="GC5" s="199"/>
      <c r="GD5" s="199"/>
      <c r="GE5" s="199"/>
      <c r="GF5" s="199"/>
      <c r="GG5" s="199"/>
    </row>
    <row r="6" spans="1:189" ht="19.5">
      <c r="A6" s="434"/>
      <c r="D6" s="62"/>
      <c r="E6" s="99" t="s">
        <v>185</v>
      </c>
      <c r="F6" s="62">
        <v>1046</v>
      </c>
    </row>
    <row r="7" spans="1:189" ht="15" customHeight="1">
      <c r="A7" s="106"/>
      <c r="D7" s="62"/>
      <c r="E7" s="99"/>
      <c r="F7" s="144"/>
      <c r="G7" s="89"/>
      <c r="H7" s="255" t="s">
        <v>186</v>
      </c>
      <c r="I7" s="262" t="s">
        <v>187</v>
      </c>
      <c r="J7" s="255" t="s">
        <v>188</v>
      </c>
    </row>
    <row r="8" spans="1:189" ht="24.75" customHeight="1">
      <c r="A8" s="436" t="s">
        <v>20</v>
      </c>
      <c r="B8" s="33"/>
      <c r="C8" s="52" t="s">
        <v>98</v>
      </c>
      <c r="D8" s="70" t="s">
        <v>99</v>
      </c>
      <c r="E8" s="241" t="s">
        <v>100</v>
      </c>
      <c r="F8" s="241" t="s">
        <v>114</v>
      </c>
    </row>
    <row r="9" spans="1:189" ht="25.5">
      <c r="A9" s="437" t="s">
        <v>22</v>
      </c>
      <c r="B9" s="27" t="s">
        <v>21</v>
      </c>
      <c r="C9" s="34"/>
      <c r="D9" s="210"/>
      <c r="E9" s="236"/>
      <c r="F9" s="204"/>
    </row>
    <row r="10" spans="1:189" ht="15.75">
      <c r="A10" s="36"/>
      <c r="B10" s="31"/>
      <c r="C10" s="32" t="s">
        <v>19</v>
      </c>
      <c r="D10" s="237">
        <v>1</v>
      </c>
      <c r="E10" s="208" t="e">
        <f>J10</f>
        <v>#REF!</v>
      </c>
      <c r="F10" s="208" t="e">
        <f>+D10*E10</f>
        <v>#REF!</v>
      </c>
      <c r="H10" s="255" t="e">
        <f>10%*F170</f>
        <v>#REF!</v>
      </c>
      <c r="I10" s="262">
        <v>1</v>
      </c>
      <c r="J10" s="255" t="e">
        <f>H10*I10</f>
        <v>#REF!</v>
      </c>
    </row>
    <row r="11" spans="1:189" ht="15.75">
      <c r="A11" s="437" t="s">
        <v>23</v>
      </c>
      <c r="B11" s="6" t="s">
        <v>24</v>
      </c>
      <c r="C11" s="7"/>
      <c r="D11" s="74"/>
      <c r="E11" s="65"/>
      <c r="F11" s="65"/>
    </row>
    <row r="12" spans="1:189" ht="15.75">
      <c r="A12" s="36"/>
      <c r="B12" s="31"/>
      <c r="C12" s="32" t="s">
        <v>1</v>
      </c>
      <c r="D12" s="73"/>
      <c r="E12" s="64" t="e">
        <f>#REF!</f>
        <v>#REF!</v>
      </c>
      <c r="F12" s="64" t="e">
        <f>+D12*E12</f>
        <v>#REF!</v>
      </c>
      <c r="H12" s="255">
        <f>F6</f>
        <v>1046</v>
      </c>
      <c r="I12" s="262">
        <v>1.05</v>
      </c>
      <c r="J12" s="255">
        <f>H12*I12</f>
        <v>1098.3</v>
      </c>
    </row>
    <row r="13" spans="1:189" ht="26.25" customHeight="1">
      <c r="A13" s="407"/>
      <c r="B13" s="27"/>
      <c r="C13" s="95"/>
      <c r="D13" s="92"/>
      <c r="E13" s="93" t="s">
        <v>108</v>
      </c>
      <c r="F13" s="94" t="e">
        <f>SUM(F9:F12)</f>
        <v>#REF!</v>
      </c>
    </row>
    <row r="14" spans="1:189">
      <c r="D14" s="75"/>
      <c r="E14" s="62"/>
      <c r="F14" s="62"/>
    </row>
    <row r="15" spans="1:189" ht="19.5">
      <c r="A15" s="436" t="s">
        <v>102</v>
      </c>
      <c r="B15" s="3"/>
      <c r="C15" s="52" t="s">
        <v>98</v>
      </c>
      <c r="D15" s="86" t="s">
        <v>99</v>
      </c>
      <c r="E15" s="241" t="s">
        <v>100</v>
      </c>
      <c r="F15" s="241" t="s">
        <v>114</v>
      </c>
    </row>
    <row r="16" spans="1:189" ht="15.75">
      <c r="A16" s="17" t="s">
        <v>0</v>
      </c>
      <c r="B16" s="6" t="s">
        <v>26</v>
      </c>
      <c r="C16" s="160"/>
      <c r="D16" s="213"/>
      <c r="E16" s="63"/>
      <c r="F16" s="63"/>
    </row>
    <row r="17" spans="1:189" ht="15.75">
      <c r="A17" s="36"/>
      <c r="B17" s="31"/>
      <c r="C17" s="294" t="s">
        <v>27</v>
      </c>
      <c r="D17" s="237"/>
      <c r="E17" s="107" t="e">
        <f>#REF!</f>
        <v>#REF!</v>
      </c>
      <c r="F17" s="64" t="e">
        <f>+D17*E17</f>
        <v>#REF!</v>
      </c>
    </row>
    <row r="18" spans="1:189" s="225" customFormat="1" ht="21.75" customHeight="1">
      <c r="A18" s="17" t="s">
        <v>201</v>
      </c>
      <c r="B18" s="6" t="s">
        <v>202</v>
      </c>
      <c r="C18" s="160"/>
      <c r="D18" s="213"/>
      <c r="E18" s="63"/>
      <c r="F18" s="63"/>
      <c r="H18" s="259"/>
      <c r="I18" s="265"/>
      <c r="J18" s="259"/>
      <c r="K18" s="226"/>
      <c r="L18" s="226"/>
      <c r="M18" s="226"/>
      <c r="N18" s="226"/>
      <c r="O18" s="226"/>
      <c r="P18" s="226"/>
      <c r="Q18" s="226"/>
      <c r="R18" s="226"/>
      <c r="S18" s="226"/>
      <c r="T18" s="226"/>
      <c r="U18" s="226"/>
      <c r="V18" s="226"/>
      <c r="W18" s="226"/>
      <c r="X18" s="226"/>
      <c r="Y18" s="226"/>
      <c r="Z18" s="226"/>
      <c r="AA18" s="226"/>
      <c r="AB18" s="226"/>
      <c r="AC18" s="226"/>
      <c r="AD18" s="226"/>
      <c r="AE18" s="226"/>
      <c r="AF18" s="226"/>
      <c r="AG18" s="226"/>
      <c r="AH18" s="226"/>
      <c r="AI18" s="226"/>
      <c r="AJ18" s="226"/>
      <c r="AK18" s="226"/>
      <c r="AL18" s="226"/>
      <c r="AM18" s="226"/>
      <c r="AN18" s="226"/>
      <c r="AO18" s="226"/>
      <c r="AP18" s="226"/>
      <c r="AQ18" s="226"/>
      <c r="AR18" s="226"/>
      <c r="AS18" s="226"/>
      <c r="AT18" s="226"/>
      <c r="AU18" s="226"/>
      <c r="AV18" s="226"/>
      <c r="AW18" s="226"/>
      <c r="AX18" s="226"/>
      <c r="AY18" s="226"/>
      <c r="AZ18" s="226"/>
      <c r="BA18" s="226"/>
      <c r="BB18" s="226"/>
      <c r="BC18" s="226"/>
      <c r="BD18" s="226"/>
      <c r="BE18" s="226"/>
      <c r="BF18" s="226"/>
      <c r="BG18" s="226"/>
      <c r="BH18" s="226"/>
      <c r="BI18" s="226"/>
      <c r="BJ18" s="226"/>
      <c r="BK18" s="226"/>
      <c r="BL18" s="226"/>
      <c r="BM18" s="226"/>
      <c r="BN18" s="226"/>
      <c r="BO18" s="226"/>
      <c r="BP18" s="226"/>
      <c r="BQ18" s="226"/>
      <c r="BR18" s="226"/>
      <c r="BS18" s="226"/>
      <c r="BT18" s="226"/>
      <c r="BU18" s="226"/>
      <c r="BV18" s="226"/>
      <c r="BW18" s="226"/>
      <c r="BX18" s="226"/>
      <c r="BY18" s="226"/>
      <c r="BZ18" s="226"/>
      <c r="CA18" s="226"/>
      <c r="CB18" s="226"/>
      <c r="CC18" s="226"/>
      <c r="CD18" s="226"/>
      <c r="CE18" s="226"/>
      <c r="CF18" s="226"/>
      <c r="CG18" s="226"/>
      <c r="CH18" s="226"/>
      <c r="CI18" s="226"/>
      <c r="CJ18" s="226"/>
      <c r="CK18" s="226"/>
      <c r="CL18" s="226"/>
      <c r="CM18" s="226"/>
      <c r="CN18" s="226"/>
      <c r="CO18" s="226"/>
      <c r="CP18" s="226"/>
      <c r="CQ18" s="226"/>
      <c r="CR18" s="226"/>
      <c r="CS18" s="226"/>
      <c r="CT18" s="226"/>
      <c r="CU18" s="226"/>
      <c r="CV18" s="226"/>
      <c r="CW18" s="226"/>
      <c r="CX18" s="226"/>
      <c r="CY18" s="226"/>
      <c r="CZ18" s="226"/>
      <c r="DA18" s="226"/>
      <c r="DB18" s="226"/>
      <c r="DC18" s="226"/>
      <c r="DD18" s="226"/>
      <c r="DE18" s="226"/>
      <c r="DF18" s="226"/>
      <c r="DG18" s="226"/>
      <c r="DH18" s="226"/>
      <c r="DI18" s="226"/>
      <c r="DJ18" s="226"/>
      <c r="DK18" s="226"/>
      <c r="DL18" s="226"/>
      <c r="DM18" s="226"/>
      <c r="DN18" s="226"/>
      <c r="DO18" s="226"/>
      <c r="DP18" s="226"/>
      <c r="DQ18" s="226"/>
      <c r="DR18" s="226"/>
      <c r="DS18" s="226"/>
      <c r="DT18" s="226"/>
      <c r="DU18" s="226"/>
      <c r="DV18" s="226"/>
      <c r="DW18" s="226"/>
      <c r="DX18" s="226"/>
      <c r="DY18" s="226"/>
      <c r="DZ18" s="226"/>
      <c r="EA18" s="226"/>
      <c r="EB18" s="226"/>
      <c r="EC18" s="226"/>
      <c r="ED18" s="226"/>
      <c r="EE18" s="226"/>
      <c r="EF18" s="226"/>
      <c r="EG18" s="226"/>
      <c r="EH18" s="226"/>
      <c r="EI18" s="226"/>
      <c r="EJ18" s="226"/>
      <c r="EK18" s="226"/>
      <c r="EL18" s="226"/>
      <c r="EM18" s="226"/>
      <c r="EN18" s="226"/>
      <c r="EO18" s="226"/>
      <c r="EP18" s="226"/>
      <c r="EQ18" s="226"/>
      <c r="ER18" s="226"/>
      <c r="ES18" s="226"/>
      <c r="ET18" s="226"/>
      <c r="EU18" s="226"/>
      <c r="EV18" s="226"/>
      <c r="EW18" s="226"/>
      <c r="EX18" s="226"/>
      <c r="EY18" s="226"/>
      <c r="EZ18" s="226"/>
      <c r="FA18" s="226"/>
      <c r="FB18" s="226"/>
      <c r="FC18" s="226"/>
      <c r="FD18" s="226"/>
      <c r="FE18" s="226"/>
      <c r="FF18" s="226"/>
      <c r="FG18" s="226"/>
      <c r="FH18" s="226"/>
      <c r="FI18" s="226"/>
      <c r="FJ18" s="226"/>
      <c r="FK18" s="226"/>
      <c r="FL18" s="226"/>
      <c r="FM18" s="226"/>
      <c r="FN18" s="226"/>
      <c r="FO18" s="226"/>
      <c r="FP18" s="226"/>
      <c r="FQ18" s="226"/>
      <c r="FR18" s="226"/>
      <c r="FS18" s="226"/>
      <c r="FT18" s="226"/>
      <c r="FU18" s="226"/>
      <c r="FV18" s="226"/>
      <c r="FW18" s="226"/>
      <c r="FX18" s="226"/>
      <c r="FY18" s="226"/>
      <c r="FZ18" s="226"/>
      <c r="GA18" s="226"/>
      <c r="GB18" s="226"/>
      <c r="GC18" s="226"/>
      <c r="GD18" s="226"/>
      <c r="GE18" s="226"/>
      <c r="GF18" s="226"/>
      <c r="GG18" s="226"/>
    </row>
    <row r="19" spans="1:189" s="225" customFormat="1" ht="21.75" customHeight="1">
      <c r="A19" s="36"/>
      <c r="B19" s="31"/>
      <c r="C19" s="294" t="s">
        <v>27</v>
      </c>
      <c r="D19" s="237">
        <v>0</v>
      </c>
      <c r="E19" s="107">
        <v>316210</v>
      </c>
      <c r="F19" s="64">
        <f>+D19*E19</f>
        <v>0</v>
      </c>
      <c r="H19" s="259">
        <f>E19*1.1</f>
        <v>347831</v>
      </c>
      <c r="I19" s="265">
        <v>1.05</v>
      </c>
      <c r="J19" s="259">
        <f>H19*I19</f>
        <v>365222.55</v>
      </c>
      <c r="K19" s="226"/>
      <c r="L19" s="226"/>
      <c r="M19" s="226"/>
      <c r="N19" s="226"/>
      <c r="O19" s="226"/>
      <c r="P19" s="226"/>
      <c r="Q19" s="226"/>
      <c r="R19" s="226"/>
      <c r="S19" s="226"/>
      <c r="T19" s="226"/>
      <c r="U19" s="226"/>
      <c r="V19" s="226"/>
      <c r="W19" s="226"/>
      <c r="X19" s="226"/>
      <c r="Y19" s="226"/>
      <c r="Z19" s="226"/>
      <c r="AA19" s="226"/>
      <c r="AB19" s="226"/>
      <c r="AC19" s="226"/>
      <c r="AD19" s="226"/>
      <c r="AE19" s="226"/>
      <c r="AF19" s="226"/>
      <c r="AG19" s="226"/>
      <c r="AH19" s="226"/>
      <c r="AI19" s="226"/>
      <c r="AJ19" s="226"/>
      <c r="AK19" s="226"/>
      <c r="AL19" s="226"/>
      <c r="AM19" s="226"/>
      <c r="AN19" s="226"/>
      <c r="AO19" s="226"/>
      <c r="AP19" s="226"/>
      <c r="AQ19" s="226"/>
      <c r="AR19" s="226"/>
      <c r="AS19" s="226"/>
      <c r="AT19" s="226"/>
      <c r="AU19" s="226"/>
      <c r="AV19" s="226"/>
      <c r="AW19" s="226"/>
      <c r="AX19" s="226"/>
      <c r="AY19" s="226"/>
      <c r="AZ19" s="226"/>
      <c r="BA19" s="226"/>
      <c r="BB19" s="226"/>
      <c r="BC19" s="226"/>
      <c r="BD19" s="226"/>
      <c r="BE19" s="226"/>
      <c r="BF19" s="226"/>
      <c r="BG19" s="226"/>
      <c r="BH19" s="226"/>
      <c r="BI19" s="226"/>
      <c r="BJ19" s="226"/>
      <c r="BK19" s="226"/>
      <c r="BL19" s="226"/>
      <c r="BM19" s="226"/>
      <c r="BN19" s="226"/>
      <c r="BO19" s="226"/>
      <c r="BP19" s="226"/>
      <c r="BQ19" s="226"/>
      <c r="BR19" s="226"/>
      <c r="BS19" s="226"/>
      <c r="BT19" s="226"/>
      <c r="BU19" s="226"/>
      <c r="BV19" s="226"/>
      <c r="BW19" s="226"/>
      <c r="BX19" s="226"/>
      <c r="BY19" s="226"/>
      <c r="BZ19" s="226"/>
      <c r="CA19" s="226"/>
      <c r="CB19" s="226"/>
      <c r="CC19" s="226"/>
      <c r="CD19" s="226"/>
      <c r="CE19" s="226"/>
      <c r="CF19" s="226"/>
      <c r="CG19" s="226"/>
      <c r="CH19" s="226"/>
      <c r="CI19" s="226"/>
      <c r="CJ19" s="226"/>
      <c r="CK19" s="226"/>
      <c r="CL19" s="226"/>
      <c r="CM19" s="226"/>
      <c r="CN19" s="226"/>
      <c r="CO19" s="226"/>
      <c r="CP19" s="226"/>
      <c r="CQ19" s="226"/>
      <c r="CR19" s="226"/>
      <c r="CS19" s="226"/>
      <c r="CT19" s="226"/>
      <c r="CU19" s="226"/>
      <c r="CV19" s="226"/>
      <c r="CW19" s="226"/>
      <c r="CX19" s="226"/>
      <c r="CY19" s="226"/>
      <c r="CZ19" s="226"/>
      <c r="DA19" s="226"/>
      <c r="DB19" s="226"/>
      <c r="DC19" s="226"/>
      <c r="DD19" s="226"/>
      <c r="DE19" s="226"/>
      <c r="DF19" s="226"/>
      <c r="DG19" s="226"/>
      <c r="DH19" s="226"/>
      <c r="DI19" s="226"/>
      <c r="DJ19" s="226"/>
      <c r="DK19" s="226"/>
      <c r="DL19" s="226"/>
      <c r="DM19" s="226"/>
      <c r="DN19" s="226"/>
      <c r="DO19" s="226"/>
      <c r="DP19" s="226"/>
      <c r="DQ19" s="226"/>
      <c r="DR19" s="226"/>
      <c r="DS19" s="226"/>
      <c r="DT19" s="226"/>
      <c r="DU19" s="226"/>
      <c r="DV19" s="226"/>
      <c r="DW19" s="226"/>
      <c r="DX19" s="226"/>
      <c r="DY19" s="226"/>
      <c r="DZ19" s="226"/>
      <c r="EA19" s="226"/>
      <c r="EB19" s="226"/>
      <c r="EC19" s="226"/>
      <c r="ED19" s="226"/>
      <c r="EE19" s="226"/>
      <c r="EF19" s="226"/>
      <c r="EG19" s="226"/>
      <c r="EH19" s="226"/>
      <c r="EI19" s="226"/>
      <c r="EJ19" s="226"/>
      <c r="EK19" s="226"/>
      <c r="EL19" s="226"/>
      <c r="EM19" s="226"/>
      <c r="EN19" s="226"/>
      <c r="EO19" s="226"/>
      <c r="EP19" s="226"/>
      <c r="EQ19" s="226"/>
      <c r="ER19" s="226"/>
      <c r="ES19" s="226"/>
      <c r="ET19" s="226"/>
      <c r="EU19" s="226"/>
      <c r="EV19" s="226"/>
      <c r="EW19" s="226"/>
      <c r="EX19" s="226"/>
      <c r="EY19" s="226"/>
      <c r="EZ19" s="226"/>
      <c r="FA19" s="226"/>
      <c r="FB19" s="226"/>
      <c r="FC19" s="226"/>
      <c r="FD19" s="226"/>
      <c r="FE19" s="226"/>
      <c r="FF19" s="226"/>
      <c r="FG19" s="226"/>
      <c r="FH19" s="226"/>
      <c r="FI19" s="226"/>
      <c r="FJ19" s="226"/>
      <c r="FK19" s="226"/>
      <c r="FL19" s="226"/>
      <c r="FM19" s="226"/>
      <c r="FN19" s="226"/>
      <c r="FO19" s="226"/>
      <c r="FP19" s="226"/>
      <c r="FQ19" s="226"/>
      <c r="FR19" s="226"/>
      <c r="FS19" s="226"/>
      <c r="FT19" s="226"/>
      <c r="FU19" s="226"/>
      <c r="FV19" s="226"/>
      <c r="FW19" s="226"/>
      <c r="FX19" s="226"/>
      <c r="FY19" s="226"/>
      <c r="FZ19" s="226"/>
      <c r="GA19" s="226"/>
      <c r="GB19" s="226"/>
      <c r="GC19" s="226"/>
      <c r="GD19" s="226"/>
      <c r="GE19" s="226"/>
      <c r="GF19" s="226"/>
      <c r="GG19" s="226"/>
    </row>
    <row r="20" spans="1:189" ht="21.75" customHeight="1">
      <c r="A20" s="17">
        <v>103</v>
      </c>
      <c r="B20" s="6" t="s">
        <v>28</v>
      </c>
      <c r="C20" s="160"/>
      <c r="D20" s="213"/>
      <c r="E20" s="109"/>
      <c r="F20" s="65"/>
    </row>
    <row r="21" spans="1:189" ht="21.75" customHeight="1">
      <c r="A21" s="17" t="s">
        <v>29</v>
      </c>
      <c r="B21" s="35" t="s">
        <v>30</v>
      </c>
      <c r="C21" s="160" t="s">
        <v>27</v>
      </c>
      <c r="D21" s="213">
        <v>25</v>
      </c>
      <c r="E21" s="108" t="e">
        <f>#REF!</f>
        <v>#REF!</v>
      </c>
      <c r="F21" s="65" t="e">
        <f>+D21*E21</f>
        <v>#REF!</v>
      </c>
    </row>
    <row r="22" spans="1:189" ht="21.75" customHeight="1">
      <c r="A22" s="17" t="s">
        <v>31</v>
      </c>
      <c r="B22" s="35" t="s">
        <v>32</v>
      </c>
      <c r="C22" s="160" t="s">
        <v>27</v>
      </c>
      <c r="D22" s="213">
        <v>25</v>
      </c>
      <c r="E22" s="108" t="e">
        <f>#REF!</f>
        <v>#REF!</v>
      </c>
      <c r="F22" s="65" t="e">
        <f t="shared" ref="F22:F29" si="0">+D22*E22</f>
        <v>#REF!</v>
      </c>
    </row>
    <row r="23" spans="1:189" ht="21.75" customHeight="1">
      <c r="A23" s="36" t="s">
        <v>227</v>
      </c>
      <c r="B23" s="9" t="s">
        <v>33</v>
      </c>
      <c r="C23" s="294" t="s">
        <v>27</v>
      </c>
      <c r="D23" s="237">
        <v>20</v>
      </c>
      <c r="E23" s="108" t="e">
        <f>#REF!</f>
        <v>#REF!</v>
      </c>
      <c r="F23" s="64" t="e">
        <f t="shared" si="0"/>
        <v>#REF!</v>
      </c>
    </row>
    <row r="24" spans="1:189" ht="18.75" customHeight="1">
      <c r="A24" s="17">
        <v>104</v>
      </c>
      <c r="B24" s="6" t="s">
        <v>34</v>
      </c>
      <c r="C24" s="160"/>
      <c r="D24" s="213"/>
      <c r="E24" s="109"/>
      <c r="F24" s="65"/>
    </row>
    <row r="25" spans="1:189" ht="16.5" customHeight="1">
      <c r="A25" s="36"/>
      <c r="B25" s="31"/>
      <c r="C25" s="294" t="s">
        <v>1</v>
      </c>
      <c r="D25" s="237">
        <v>195</v>
      </c>
      <c r="E25" s="107">
        <f>[2]BPU!E28</f>
        <v>74750</v>
      </c>
      <c r="F25" s="64">
        <f>+D25*E25</f>
        <v>14576250</v>
      </c>
    </row>
    <row r="26" spans="1:189" ht="21.75" customHeight="1">
      <c r="A26" s="17">
        <v>105</v>
      </c>
      <c r="B26" s="6" t="s">
        <v>35</v>
      </c>
      <c r="C26" s="160"/>
      <c r="D26" s="213"/>
      <c r="E26" s="109"/>
      <c r="F26" s="65"/>
    </row>
    <row r="27" spans="1:189" ht="16.5" customHeight="1">
      <c r="A27" s="36"/>
      <c r="B27" s="31"/>
      <c r="C27" s="294" t="s">
        <v>25</v>
      </c>
      <c r="D27" s="237">
        <v>0</v>
      </c>
      <c r="E27" s="107">
        <v>50000000</v>
      </c>
      <c r="F27" s="64">
        <f t="shared" si="0"/>
        <v>0</v>
      </c>
    </row>
    <row r="28" spans="1:189" ht="21.75" customHeight="1">
      <c r="A28" s="17">
        <v>106</v>
      </c>
      <c r="B28" s="6" t="s">
        <v>36</v>
      </c>
      <c r="C28" s="160"/>
      <c r="D28" s="213"/>
      <c r="E28" s="109"/>
      <c r="F28" s="65"/>
    </row>
    <row r="29" spans="1:189" ht="15" customHeight="1">
      <c r="A29" s="36"/>
      <c r="B29" s="31"/>
      <c r="C29" s="294" t="s">
        <v>25</v>
      </c>
      <c r="D29" s="237">
        <v>1</v>
      </c>
      <c r="E29" s="107">
        <v>8250000</v>
      </c>
      <c r="F29" s="64">
        <f t="shared" si="0"/>
        <v>8250000</v>
      </c>
    </row>
    <row r="30" spans="1:189" ht="28.5" customHeight="1">
      <c r="C30" s="95"/>
      <c r="D30" s="92"/>
      <c r="E30" s="93" t="s">
        <v>106</v>
      </c>
      <c r="F30" s="94" t="e">
        <f>SUM(F16:F29)</f>
        <v>#REF!</v>
      </c>
    </row>
    <row r="32" spans="1:189" ht="27" customHeight="1">
      <c r="C32" s="95"/>
      <c r="D32" s="92"/>
      <c r="E32" s="93" t="s">
        <v>107</v>
      </c>
      <c r="F32" s="94" t="e">
        <f>+F13+F30</f>
        <v>#REF!</v>
      </c>
    </row>
    <row r="33" spans="1:189" s="114" customFormat="1" ht="27" customHeight="1">
      <c r="A33" s="438"/>
      <c r="C33" s="115"/>
      <c r="D33" s="116"/>
      <c r="E33" s="117"/>
      <c r="F33" s="118"/>
      <c r="H33" s="257"/>
      <c r="I33" s="263"/>
      <c r="J33" s="257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29"/>
      <c r="W33" s="129"/>
      <c r="X33" s="129"/>
      <c r="Y33" s="129"/>
      <c r="Z33" s="129"/>
      <c r="AA33" s="129"/>
      <c r="AB33" s="129"/>
      <c r="AC33" s="129"/>
      <c r="AD33" s="129"/>
      <c r="AE33" s="129"/>
      <c r="AF33" s="129"/>
      <c r="AG33" s="129"/>
      <c r="AH33" s="129"/>
      <c r="AI33" s="129"/>
      <c r="AJ33" s="129"/>
      <c r="AK33" s="129"/>
      <c r="AL33" s="129"/>
      <c r="AM33" s="129"/>
      <c r="AN33" s="129"/>
      <c r="AO33" s="129"/>
      <c r="AP33" s="129"/>
      <c r="AQ33" s="129"/>
      <c r="AR33" s="129"/>
      <c r="AS33" s="129"/>
      <c r="AT33" s="129"/>
      <c r="AU33" s="129"/>
      <c r="AV33" s="129"/>
      <c r="AW33" s="129"/>
      <c r="AX33" s="129"/>
      <c r="AY33" s="129"/>
      <c r="AZ33" s="129"/>
      <c r="BA33" s="129"/>
      <c r="BB33" s="129"/>
      <c r="BC33" s="129"/>
      <c r="BD33" s="129"/>
      <c r="BE33" s="129"/>
      <c r="BF33" s="129"/>
      <c r="BG33" s="129"/>
      <c r="BH33" s="129"/>
      <c r="BI33" s="129"/>
      <c r="BJ33" s="129"/>
      <c r="BK33" s="129"/>
      <c r="BL33" s="129"/>
      <c r="BM33" s="129"/>
      <c r="BN33" s="129"/>
      <c r="BO33" s="129"/>
      <c r="BP33" s="129"/>
      <c r="BQ33" s="129"/>
      <c r="BR33" s="129"/>
      <c r="BS33" s="129"/>
      <c r="BT33" s="129"/>
      <c r="BU33" s="129"/>
      <c r="BV33" s="129"/>
      <c r="BW33" s="129"/>
      <c r="BX33" s="129"/>
      <c r="BY33" s="129"/>
      <c r="BZ33" s="129"/>
      <c r="CA33" s="129"/>
      <c r="CB33" s="129"/>
      <c r="CC33" s="129"/>
      <c r="CD33" s="129"/>
      <c r="CE33" s="129"/>
      <c r="CF33" s="129"/>
      <c r="CG33" s="129"/>
      <c r="CH33" s="129"/>
      <c r="CI33" s="129"/>
      <c r="CJ33" s="129"/>
      <c r="CK33" s="129"/>
      <c r="CL33" s="129"/>
      <c r="CM33" s="129"/>
      <c r="CN33" s="129"/>
      <c r="CO33" s="129"/>
      <c r="CP33" s="129"/>
      <c r="CQ33" s="129"/>
      <c r="CR33" s="129"/>
      <c r="CS33" s="129"/>
      <c r="CT33" s="129"/>
      <c r="CU33" s="129"/>
      <c r="CV33" s="129"/>
      <c r="CW33" s="129"/>
      <c r="CX33" s="129"/>
      <c r="CY33" s="129"/>
      <c r="CZ33" s="129"/>
      <c r="DA33" s="129"/>
      <c r="DB33" s="129"/>
      <c r="DC33" s="129"/>
      <c r="DD33" s="129"/>
      <c r="DE33" s="129"/>
      <c r="DF33" s="129"/>
      <c r="DG33" s="129"/>
      <c r="DH33" s="129"/>
      <c r="DI33" s="129"/>
      <c r="DJ33" s="129"/>
      <c r="DK33" s="129"/>
      <c r="DL33" s="129"/>
      <c r="DM33" s="129"/>
      <c r="DN33" s="129"/>
      <c r="DO33" s="129"/>
      <c r="DP33" s="129"/>
      <c r="DQ33" s="129"/>
      <c r="DR33" s="129"/>
      <c r="DS33" s="129"/>
      <c r="DT33" s="129"/>
      <c r="DU33" s="129"/>
      <c r="DV33" s="129"/>
      <c r="DW33" s="129"/>
      <c r="DX33" s="129"/>
      <c r="DY33" s="129"/>
      <c r="DZ33" s="129"/>
      <c r="EA33" s="129"/>
      <c r="EB33" s="129"/>
      <c r="EC33" s="129"/>
      <c r="ED33" s="129"/>
      <c r="EE33" s="129"/>
      <c r="EF33" s="129"/>
      <c r="EG33" s="129"/>
      <c r="EH33" s="129"/>
      <c r="EI33" s="129"/>
      <c r="EJ33" s="129"/>
      <c r="EK33" s="129"/>
      <c r="EL33" s="129"/>
      <c r="EM33" s="129"/>
      <c r="EN33" s="129"/>
      <c r="EO33" s="129"/>
      <c r="EP33" s="129"/>
      <c r="EQ33" s="129"/>
      <c r="ER33" s="129"/>
      <c r="ES33" s="129"/>
      <c r="ET33" s="129"/>
      <c r="EU33" s="129"/>
      <c r="EV33" s="129"/>
      <c r="EW33" s="129"/>
      <c r="EX33" s="129"/>
      <c r="EY33" s="129"/>
      <c r="EZ33" s="129"/>
      <c r="FA33" s="129"/>
      <c r="FB33" s="129"/>
      <c r="FC33" s="129"/>
      <c r="FD33" s="129"/>
      <c r="FE33" s="129"/>
      <c r="FF33" s="129"/>
      <c r="FG33" s="129"/>
      <c r="FH33" s="129"/>
      <c r="FI33" s="129"/>
      <c r="FJ33" s="129"/>
      <c r="FK33" s="129"/>
      <c r="FL33" s="129"/>
      <c r="FM33" s="129"/>
      <c r="FN33" s="129"/>
      <c r="FO33" s="129"/>
      <c r="FP33" s="129"/>
      <c r="FQ33" s="129"/>
      <c r="FR33" s="129"/>
      <c r="FS33" s="129"/>
      <c r="FT33" s="129"/>
      <c r="FU33" s="129"/>
      <c r="FV33" s="129"/>
      <c r="FW33" s="129"/>
      <c r="FX33" s="129"/>
      <c r="FY33" s="129"/>
      <c r="FZ33" s="129"/>
      <c r="GA33" s="129"/>
      <c r="GB33" s="129"/>
      <c r="GC33" s="129"/>
      <c r="GD33" s="129"/>
      <c r="GE33" s="129"/>
      <c r="GF33" s="129"/>
      <c r="GG33" s="129"/>
    </row>
    <row r="34" spans="1:189" ht="8.25" customHeight="1">
      <c r="A34" s="406"/>
      <c r="B34" s="12"/>
      <c r="C34" s="51"/>
      <c r="D34" s="76"/>
      <c r="E34" s="66"/>
      <c r="F34" s="66"/>
    </row>
    <row r="35" spans="1:189" ht="23.25" customHeight="1">
      <c r="A35" s="436" t="s">
        <v>41</v>
      </c>
      <c r="B35" s="3"/>
      <c r="C35" s="52" t="s">
        <v>98</v>
      </c>
      <c r="D35" s="86" t="s">
        <v>99</v>
      </c>
      <c r="E35" s="86" t="s">
        <v>100</v>
      </c>
      <c r="F35" s="86" t="s">
        <v>114</v>
      </c>
    </row>
    <row r="36" spans="1:189" ht="15.95" customHeight="1">
      <c r="A36" s="17" t="s">
        <v>2</v>
      </c>
      <c r="B36" s="14" t="s">
        <v>38</v>
      </c>
      <c r="C36" s="7"/>
      <c r="D36" s="74"/>
      <c r="E36" s="109"/>
      <c r="F36" s="65"/>
    </row>
    <row r="37" spans="1:189" ht="15.95" customHeight="1">
      <c r="A37" s="28"/>
      <c r="B37" s="9"/>
      <c r="C37" s="53" t="s">
        <v>19</v>
      </c>
      <c r="D37" s="77">
        <v>1</v>
      </c>
      <c r="E37" s="185">
        <v>15672373</v>
      </c>
      <c r="F37" s="64">
        <f>+D37*E37</f>
        <v>15672373</v>
      </c>
    </row>
    <row r="38" spans="1:189" ht="15.95" customHeight="1">
      <c r="A38" s="17" t="s">
        <v>3</v>
      </c>
      <c r="B38" s="14" t="s">
        <v>37</v>
      </c>
      <c r="C38" s="54"/>
      <c r="D38" s="78"/>
      <c r="E38" s="109"/>
      <c r="F38" s="65"/>
    </row>
    <row r="39" spans="1:189" ht="15.95" customHeight="1">
      <c r="A39" s="36" t="s">
        <v>39</v>
      </c>
      <c r="B39" s="240" t="s">
        <v>40</v>
      </c>
      <c r="C39" s="55" t="s">
        <v>94</v>
      </c>
      <c r="D39" s="148">
        <f>J39</f>
        <v>0</v>
      </c>
      <c r="E39" s="107" t="e">
        <f>#REF!</f>
        <v>#REF!</v>
      </c>
      <c r="F39" s="64" t="e">
        <f>+D39*E39</f>
        <v>#REF!</v>
      </c>
      <c r="H39" s="255">
        <f>15*F6*0</f>
        <v>0</v>
      </c>
      <c r="I39" s="262">
        <v>1.05</v>
      </c>
      <c r="J39" s="255">
        <f>H39*I39</f>
        <v>0</v>
      </c>
    </row>
    <row r="40" spans="1:189" ht="15.95" customHeight="1">
      <c r="A40" s="17">
        <v>203</v>
      </c>
      <c r="B40" s="14" t="s">
        <v>42</v>
      </c>
      <c r="C40" s="54"/>
      <c r="D40" s="78"/>
      <c r="E40" s="109"/>
      <c r="F40" s="63"/>
    </row>
    <row r="41" spans="1:189" ht="15.95" customHeight="1">
      <c r="A41" s="36"/>
      <c r="B41" s="38"/>
      <c r="C41" s="53" t="s">
        <v>27</v>
      </c>
      <c r="D41" s="77">
        <f>J41</f>
        <v>73.22</v>
      </c>
      <c r="E41" s="107" t="e">
        <f>#REF!</f>
        <v>#REF!</v>
      </c>
      <c r="F41" s="64" t="e">
        <f>+D41*E41</f>
        <v>#REF!</v>
      </c>
      <c r="H41" s="255">
        <f>1*F6/15</f>
        <v>69.733333333333334</v>
      </c>
      <c r="I41" s="262">
        <v>1.05</v>
      </c>
      <c r="J41" s="255">
        <f>H41*I41</f>
        <v>73.22</v>
      </c>
    </row>
    <row r="42" spans="1:189" ht="15.95" customHeight="1">
      <c r="A42" s="41" t="s">
        <v>4</v>
      </c>
      <c r="B42" s="125" t="s">
        <v>43</v>
      </c>
      <c r="C42" s="57"/>
      <c r="D42" s="81"/>
      <c r="E42" s="109"/>
      <c r="F42" s="63"/>
    </row>
    <row r="43" spans="1:189" ht="15.95" customHeight="1">
      <c r="A43" s="17" t="s">
        <v>44</v>
      </c>
      <c r="B43" s="123" t="s">
        <v>46</v>
      </c>
      <c r="C43" s="54" t="s">
        <v>251</v>
      </c>
      <c r="D43" s="307">
        <v>1</v>
      </c>
      <c r="E43" s="108">
        <v>8237250</v>
      </c>
      <c r="F43" s="65">
        <f>+D43*E43</f>
        <v>8237250</v>
      </c>
      <c r="H43" s="277">
        <f>F6/1000</f>
        <v>1.046</v>
      </c>
      <c r="I43" s="262">
        <v>1.05</v>
      </c>
      <c r="J43" s="277">
        <f>H43*I43</f>
        <v>1.0983000000000001</v>
      </c>
    </row>
    <row r="44" spans="1:189" ht="15.95" customHeight="1">
      <c r="A44" s="17" t="s">
        <v>45</v>
      </c>
      <c r="B44" s="123" t="s">
        <v>47</v>
      </c>
      <c r="C44" s="54" t="s">
        <v>251</v>
      </c>
      <c r="D44" s="307">
        <v>1</v>
      </c>
      <c r="E44" s="108">
        <v>6589800</v>
      </c>
      <c r="F44" s="65">
        <f>+D44*E44</f>
        <v>6589800</v>
      </c>
      <c r="H44" s="277">
        <f>H43</f>
        <v>1.046</v>
      </c>
      <c r="I44" s="262">
        <v>1.05</v>
      </c>
      <c r="J44" s="277">
        <f>H44*I44</f>
        <v>1.0983000000000001</v>
      </c>
    </row>
    <row r="45" spans="1:189" ht="15.95" customHeight="1">
      <c r="A45" s="17" t="s">
        <v>48</v>
      </c>
      <c r="B45" s="123" t="s">
        <v>204</v>
      </c>
      <c r="C45" s="54" t="s">
        <v>205</v>
      </c>
      <c r="D45" s="307">
        <f>J45</f>
        <v>164.745</v>
      </c>
      <c r="E45" s="108" t="e">
        <f>#REF!</f>
        <v>#REF!</v>
      </c>
      <c r="F45" s="65" t="e">
        <f>+D45*E45</f>
        <v>#REF!</v>
      </c>
      <c r="H45" s="277">
        <f>15%*F6</f>
        <v>156.9</v>
      </c>
      <c r="I45" s="262">
        <v>1.05</v>
      </c>
      <c r="J45" s="277">
        <f>H45*I45</f>
        <v>164.745</v>
      </c>
    </row>
    <row r="46" spans="1:189" ht="15.95" customHeight="1">
      <c r="A46" s="36" t="s">
        <v>203</v>
      </c>
      <c r="B46" s="24" t="s">
        <v>49</v>
      </c>
      <c r="C46" s="53" t="s">
        <v>251</v>
      </c>
      <c r="D46" s="308">
        <v>1</v>
      </c>
      <c r="E46" s="108">
        <v>1352011.6932000001</v>
      </c>
      <c r="F46" s="64">
        <f>+D46*E46</f>
        <v>1352011.6932000001</v>
      </c>
      <c r="H46" s="277">
        <f>H44</f>
        <v>1.046</v>
      </c>
      <c r="I46" s="262">
        <v>1.05</v>
      </c>
      <c r="J46" s="277">
        <f>H46*I46</f>
        <v>1.0983000000000001</v>
      </c>
    </row>
    <row r="47" spans="1:189" ht="15.95" customHeight="1">
      <c r="A47" s="17">
        <v>206</v>
      </c>
      <c r="B47" s="14" t="s">
        <v>123</v>
      </c>
      <c r="C47" s="56"/>
      <c r="D47" s="80"/>
      <c r="E47" s="109"/>
      <c r="F47" s="65"/>
    </row>
    <row r="48" spans="1:189" ht="15.95" customHeight="1">
      <c r="A48" s="28"/>
      <c r="B48" s="16"/>
      <c r="C48" s="53" t="s">
        <v>94</v>
      </c>
      <c r="D48" s="77">
        <v>0</v>
      </c>
      <c r="E48" s="107" t="e">
        <f>#REF!</f>
        <v>#REF!</v>
      </c>
      <c r="F48" s="64" t="e">
        <f>+D48*E48</f>
        <v>#REF!</v>
      </c>
    </row>
    <row r="49" spans="1:10" ht="15.95" customHeight="1">
      <c r="A49" s="41" t="s">
        <v>50</v>
      </c>
      <c r="B49" s="43" t="s">
        <v>51</v>
      </c>
      <c r="C49" s="57"/>
      <c r="D49" s="81"/>
      <c r="E49" s="109"/>
      <c r="F49" s="63"/>
    </row>
    <row r="50" spans="1:10" ht="15.95" customHeight="1">
      <c r="A50" s="28"/>
      <c r="B50" s="16"/>
      <c r="C50" s="53" t="s">
        <v>1</v>
      </c>
      <c r="D50" s="77">
        <v>0</v>
      </c>
      <c r="E50" s="107" t="e">
        <f>#REF!</f>
        <v>#REF!</v>
      </c>
      <c r="F50" s="64" t="e">
        <f>+D50*E50</f>
        <v>#REF!</v>
      </c>
    </row>
    <row r="51" spans="1:10" ht="15.95" customHeight="1">
      <c r="A51" s="41" t="s">
        <v>52</v>
      </c>
      <c r="B51" s="43" t="s">
        <v>53</v>
      </c>
      <c r="C51" s="57"/>
      <c r="D51" s="81"/>
      <c r="E51" s="109"/>
      <c r="F51" s="63"/>
    </row>
    <row r="52" spans="1:10" ht="15.95" customHeight="1">
      <c r="A52" s="17" t="s">
        <v>54</v>
      </c>
      <c r="B52" s="39" t="s">
        <v>97</v>
      </c>
      <c r="C52" s="50" t="s">
        <v>1</v>
      </c>
      <c r="D52" s="83">
        <f>J52</f>
        <v>1516</v>
      </c>
      <c r="E52" s="108" t="e">
        <f>#REF!</f>
        <v>#REF!</v>
      </c>
      <c r="F52" s="65" t="e">
        <f>+D52*E52</f>
        <v>#REF!</v>
      </c>
      <c r="H52" s="255">
        <f>F6+470</f>
        <v>1516</v>
      </c>
      <c r="I52" s="262">
        <v>1</v>
      </c>
      <c r="J52" s="255">
        <f>H52*I52</f>
        <v>1516</v>
      </c>
    </row>
    <row r="53" spans="1:10" ht="15.95" customHeight="1">
      <c r="A53" s="17" t="s">
        <v>56</v>
      </c>
      <c r="B53" s="39" t="s">
        <v>55</v>
      </c>
      <c r="C53" s="50" t="s">
        <v>1</v>
      </c>
      <c r="D53" s="83">
        <v>0</v>
      </c>
      <c r="E53" s="108" t="e">
        <f>#REF!</f>
        <v>#REF!</v>
      </c>
      <c r="F53" s="64" t="e">
        <f>+D53*E53</f>
        <v>#REF!</v>
      </c>
    </row>
    <row r="54" spans="1:10" ht="15.95" customHeight="1">
      <c r="A54" s="41">
        <v>210</v>
      </c>
      <c r="B54" s="43" t="s">
        <v>57</v>
      </c>
      <c r="C54" s="57"/>
      <c r="D54" s="306"/>
      <c r="E54" s="109"/>
      <c r="F54" s="63"/>
    </row>
    <row r="55" spans="1:10" ht="15.95" customHeight="1">
      <c r="A55" s="28"/>
      <c r="B55" s="16"/>
      <c r="C55" s="53" t="s">
        <v>94</v>
      </c>
      <c r="D55" s="150">
        <v>0</v>
      </c>
      <c r="E55" s="107" t="e">
        <f>#REF!</f>
        <v>#REF!</v>
      </c>
      <c r="F55" s="64" t="e">
        <f>+D55*E55</f>
        <v>#REF!</v>
      </c>
    </row>
    <row r="56" spans="1:10" ht="15.95" customHeight="1">
      <c r="A56" s="41">
        <v>212</v>
      </c>
      <c r="B56" s="43" t="s">
        <v>58</v>
      </c>
      <c r="C56" s="57"/>
      <c r="D56" s="84"/>
      <c r="E56" s="109"/>
      <c r="F56" s="63"/>
    </row>
    <row r="57" spans="1:10" ht="15.95" customHeight="1">
      <c r="A57" s="28"/>
      <c r="B57" s="16"/>
      <c r="C57" s="53" t="s">
        <v>94</v>
      </c>
      <c r="D57" s="77">
        <v>0</v>
      </c>
      <c r="E57" s="107" t="e">
        <f>#REF!</f>
        <v>#REF!</v>
      </c>
      <c r="F57" s="64" t="e">
        <f>+D57*E57</f>
        <v>#REF!</v>
      </c>
    </row>
    <row r="58" spans="1:10" ht="15.95" customHeight="1">
      <c r="A58" s="41">
        <v>215</v>
      </c>
      <c r="B58" s="43" t="s">
        <v>59</v>
      </c>
      <c r="C58" s="57"/>
      <c r="D58" s="84"/>
      <c r="E58" s="109"/>
      <c r="F58" s="63"/>
    </row>
    <row r="59" spans="1:10" ht="15.95" customHeight="1">
      <c r="A59" s="28"/>
      <c r="B59" s="16"/>
      <c r="C59" s="53" t="s">
        <v>1</v>
      </c>
      <c r="D59" s="77">
        <v>0</v>
      </c>
      <c r="E59" s="107" t="e">
        <f>#REF!</f>
        <v>#REF!</v>
      </c>
      <c r="F59" s="64" t="e">
        <f>+D59*E59</f>
        <v>#REF!</v>
      </c>
    </row>
    <row r="60" spans="1:10" ht="25.5" customHeight="1">
      <c r="A60" s="406"/>
      <c r="B60" s="40"/>
      <c r="C60" s="95"/>
      <c r="D60" s="92"/>
      <c r="E60" s="93" t="s">
        <v>111</v>
      </c>
      <c r="F60" s="94" t="e">
        <f>SUM(F36:F59)</f>
        <v>#REF!</v>
      </c>
    </row>
    <row r="61" spans="1:10" ht="15.95" customHeight="1">
      <c r="A61" s="406"/>
      <c r="B61" s="40"/>
      <c r="C61" s="51"/>
      <c r="D61" s="76"/>
      <c r="E61" s="66"/>
      <c r="F61" s="66"/>
    </row>
    <row r="62" spans="1:10" ht="23.25" customHeight="1">
      <c r="A62" s="436" t="s">
        <v>5</v>
      </c>
      <c r="B62" s="3"/>
      <c r="C62" s="52" t="s">
        <v>98</v>
      </c>
      <c r="D62" s="86" t="s">
        <v>99</v>
      </c>
      <c r="E62" s="71" t="s">
        <v>100</v>
      </c>
      <c r="F62" s="71" t="s">
        <v>114</v>
      </c>
    </row>
    <row r="63" spans="1:10" ht="15.95" customHeight="1">
      <c r="A63" s="17" t="s">
        <v>6</v>
      </c>
      <c r="B63" s="19" t="s">
        <v>60</v>
      </c>
      <c r="C63" s="7"/>
      <c r="D63" s="213"/>
      <c r="E63" s="109"/>
      <c r="F63" s="63"/>
    </row>
    <row r="64" spans="1:10" ht="15.95" customHeight="1">
      <c r="A64" s="36" t="s">
        <v>61</v>
      </c>
      <c r="B64" s="9" t="s">
        <v>62</v>
      </c>
      <c r="C64" s="55" t="s">
        <v>95</v>
      </c>
      <c r="D64" s="148">
        <v>0</v>
      </c>
      <c r="E64" s="107" t="e">
        <f>#REF!</f>
        <v>#REF!</v>
      </c>
      <c r="F64" s="64" t="e">
        <f>+D64*E64</f>
        <v>#REF!</v>
      </c>
      <c r="H64" s="255">
        <v>0</v>
      </c>
      <c r="I64" s="262">
        <f>1.15</f>
        <v>1.1499999999999999</v>
      </c>
      <c r="J64" s="255">
        <f>H64*I64</f>
        <v>0</v>
      </c>
    </row>
    <row r="65" spans="1:11" ht="15.95" customHeight="1">
      <c r="A65" s="17" t="s">
        <v>7</v>
      </c>
      <c r="B65" s="14" t="s">
        <v>63</v>
      </c>
      <c r="C65" s="56"/>
      <c r="D65" s="297"/>
      <c r="E65" s="108"/>
      <c r="F65" s="65"/>
      <c r="J65" s="255">
        <f>J64*0.1</f>
        <v>0</v>
      </c>
    </row>
    <row r="66" spans="1:11" ht="15.95" customHeight="1">
      <c r="A66" s="28"/>
      <c r="B66" s="16"/>
      <c r="C66" s="53" t="s">
        <v>95</v>
      </c>
      <c r="D66" s="147">
        <f>D64*0.1</f>
        <v>0</v>
      </c>
      <c r="E66" s="107" t="e">
        <f>#REF!</f>
        <v>#REF!</v>
      </c>
      <c r="F66" s="64" t="e">
        <f>+D66*E66</f>
        <v>#REF!</v>
      </c>
    </row>
    <row r="67" spans="1:11" ht="15.95" customHeight="1">
      <c r="A67" s="17" t="s">
        <v>8</v>
      </c>
      <c r="B67" s="14" t="s">
        <v>64</v>
      </c>
      <c r="C67" s="56"/>
      <c r="D67" s="297"/>
      <c r="E67" s="109"/>
      <c r="F67" s="63"/>
    </row>
    <row r="68" spans="1:11" ht="15.95" customHeight="1">
      <c r="A68" s="28"/>
      <c r="B68" s="20"/>
      <c r="C68" s="53" t="s">
        <v>95</v>
      </c>
      <c r="D68" s="150">
        <v>0</v>
      </c>
      <c r="E68" s="107" t="e">
        <f>#REF!</f>
        <v>#REF!</v>
      </c>
      <c r="F68" s="64" t="e">
        <f>+D68*E68</f>
        <v>#REF!</v>
      </c>
      <c r="H68" s="255">
        <v>0</v>
      </c>
      <c r="I68" s="262">
        <f>1.15</f>
        <v>1.1499999999999999</v>
      </c>
      <c r="J68" s="255">
        <f>H68*I68</f>
        <v>0</v>
      </c>
      <c r="K68" s="129">
        <f>J68-J65</f>
        <v>0</v>
      </c>
    </row>
    <row r="69" spans="1:11" s="205" customFormat="1" ht="15.95" customHeight="1">
      <c r="A69" s="139" t="s">
        <v>189</v>
      </c>
      <c r="B69" s="190" t="s">
        <v>132</v>
      </c>
      <c r="C69" s="203"/>
      <c r="D69" s="283"/>
      <c r="E69" s="161"/>
      <c r="F69" s="204"/>
      <c r="H69" s="258"/>
      <c r="I69" s="264"/>
      <c r="J69" s="258"/>
    </row>
    <row r="70" spans="1:11" s="205" customFormat="1" ht="15.95" customHeight="1">
      <c r="A70" s="439"/>
      <c r="B70" s="207"/>
      <c r="C70" s="191" t="s">
        <v>95</v>
      </c>
      <c r="D70" s="150">
        <v>0</v>
      </c>
      <c r="E70" s="185" t="e">
        <f>#REF!</f>
        <v>#REF!</v>
      </c>
      <c r="F70" s="208" t="e">
        <f>+D70*E70</f>
        <v>#REF!</v>
      </c>
      <c r="H70" s="258">
        <v>0</v>
      </c>
      <c r="I70" s="264">
        <f>1.05</f>
        <v>1.05</v>
      </c>
      <c r="J70" s="258">
        <f>H70*I70</f>
        <v>0</v>
      </c>
      <c r="K70" s="205" t="s">
        <v>272</v>
      </c>
    </row>
    <row r="71" spans="1:11" s="205" customFormat="1" ht="15.95" customHeight="1">
      <c r="A71" s="139" t="s">
        <v>255</v>
      </c>
      <c r="B71" s="190" t="s">
        <v>135</v>
      </c>
      <c r="C71" s="203"/>
      <c r="D71" s="283"/>
      <c r="E71" s="161"/>
      <c r="F71" s="204"/>
      <c r="H71" s="258"/>
      <c r="I71" s="264"/>
      <c r="J71" s="258"/>
    </row>
    <row r="72" spans="1:11" s="205" customFormat="1" ht="15.95" customHeight="1">
      <c r="A72" s="439"/>
      <c r="B72" s="207"/>
      <c r="C72" s="191" t="s">
        <v>94</v>
      </c>
      <c r="D72" s="150">
        <f>J72</f>
        <v>1890</v>
      </c>
      <c r="E72" s="185" t="e">
        <f>#REF!</f>
        <v>#REF!</v>
      </c>
      <c r="F72" s="208" t="e">
        <f>+D72*E72</f>
        <v>#REF!</v>
      </c>
      <c r="H72" s="258">
        <f>1800</f>
        <v>1800</v>
      </c>
      <c r="I72" s="264">
        <v>1.05</v>
      </c>
      <c r="J72" s="258">
        <f>H72*I72</f>
        <v>1890</v>
      </c>
    </row>
    <row r="73" spans="1:11" ht="27" customHeight="1">
      <c r="B73" s="18"/>
      <c r="C73" s="95"/>
      <c r="D73" s="92"/>
      <c r="E73" s="93" t="s">
        <v>110</v>
      </c>
      <c r="F73" s="94" t="e">
        <f>SUM(F63:F72)</f>
        <v>#REF!</v>
      </c>
    </row>
    <row r="74" spans="1:11" ht="15.95" customHeight="1">
      <c r="B74" s="18"/>
      <c r="C74" s="48"/>
      <c r="D74" s="111"/>
      <c r="F74" s="112"/>
    </row>
    <row r="75" spans="1:11" ht="23.25" customHeight="1">
      <c r="A75" s="436" t="s">
        <v>9</v>
      </c>
      <c r="B75" s="3"/>
      <c r="C75" s="52" t="s">
        <v>98</v>
      </c>
      <c r="D75" s="86" t="s">
        <v>99</v>
      </c>
      <c r="E75" s="71" t="s">
        <v>100</v>
      </c>
      <c r="F75" s="71" t="s">
        <v>114</v>
      </c>
    </row>
    <row r="76" spans="1:11" ht="29.25" customHeight="1">
      <c r="A76" s="47" t="s">
        <v>10</v>
      </c>
      <c r="B76" s="19" t="s">
        <v>65</v>
      </c>
      <c r="C76" s="209"/>
      <c r="D76" s="210"/>
      <c r="E76" s="161"/>
      <c r="F76" s="204"/>
    </row>
    <row r="77" spans="1:11" ht="15.95" customHeight="1">
      <c r="A77" s="28" t="s">
        <v>66</v>
      </c>
      <c r="B77" s="24" t="s">
        <v>67</v>
      </c>
      <c r="C77" s="211" t="s">
        <v>95</v>
      </c>
      <c r="D77" s="147">
        <f>J77</f>
        <v>0</v>
      </c>
      <c r="E77" s="185" t="e">
        <f>#REF!</f>
        <v>#REF!</v>
      </c>
      <c r="F77" s="208" t="e">
        <f>+D77*E77</f>
        <v>#REF!</v>
      </c>
      <c r="H77" s="145"/>
      <c r="I77" s="262">
        <f>1.1</f>
        <v>1.1000000000000001</v>
      </c>
      <c r="J77" s="255">
        <f>H77*I77</f>
        <v>0</v>
      </c>
    </row>
    <row r="78" spans="1:11" ht="15.95" customHeight="1">
      <c r="A78" s="17" t="s">
        <v>11</v>
      </c>
      <c r="B78" s="19" t="s">
        <v>68</v>
      </c>
      <c r="C78" s="23"/>
      <c r="D78" s="284"/>
      <c r="E78" s="109"/>
      <c r="F78" s="63"/>
    </row>
    <row r="79" spans="1:11" ht="15.95" customHeight="1">
      <c r="A79" s="28"/>
      <c r="B79" s="24"/>
      <c r="C79" s="59" t="s">
        <v>94</v>
      </c>
      <c r="D79" s="82">
        <f>J79</f>
        <v>0</v>
      </c>
      <c r="E79" s="107" t="e">
        <f>#REF!</f>
        <v>#REF!</v>
      </c>
      <c r="F79" s="64" t="e">
        <f>+D79*E79</f>
        <v>#REF!</v>
      </c>
      <c r="H79" s="255">
        <v>0</v>
      </c>
      <c r="I79" s="262">
        <f>1.05</f>
        <v>1.05</v>
      </c>
      <c r="J79" s="255">
        <f>H79*I79</f>
        <v>0</v>
      </c>
    </row>
    <row r="80" spans="1:11" ht="15.95" customHeight="1">
      <c r="A80" s="17">
        <v>404</v>
      </c>
      <c r="B80" s="19" t="s">
        <v>69</v>
      </c>
      <c r="C80" s="23"/>
      <c r="D80" s="72"/>
      <c r="E80" s="109"/>
      <c r="F80" s="63"/>
    </row>
    <row r="81" spans="1:10" ht="15.95" customHeight="1">
      <c r="A81" s="28"/>
      <c r="B81" s="24"/>
      <c r="C81" s="59" t="s">
        <v>94</v>
      </c>
      <c r="D81" s="82">
        <f>+D79</f>
        <v>0</v>
      </c>
      <c r="E81" s="107" t="e">
        <f>#REF!</f>
        <v>#REF!</v>
      </c>
      <c r="F81" s="64" t="e">
        <f>+D81*E81</f>
        <v>#REF!</v>
      </c>
    </row>
    <row r="82" spans="1:10" ht="15.95" customHeight="1">
      <c r="A82" s="17">
        <v>405</v>
      </c>
      <c r="B82" s="19" t="s">
        <v>70</v>
      </c>
      <c r="C82" s="23"/>
      <c r="D82" s="284"/>
      <c r="E82" s="109"/>
      <c r="F82" s="63"/>
    </row>
    <row r="83" spans="1:10" ht="15.95" customHeight="1">
      <c r="A83" s="28"/>
      <c r="B83" s="24"/>
      <c r="C83" s="59" t="s">
        <v>14</v>
      </c>
      <c r="D83" s="147">
        <v>0</v>
      </c>
      <c r="E83" s="107" t="e">
        <f>#REF!</f>
        <v>#REF!</v>
      </c>
      <c r="F83" s="64" t="e">
        <f>+D83*E83</f>
        <v>#REF!</v>
      </c>
      <c r="I83" s="262">
        <f>3.9/2</f>
        <v>1.95</v>
      </c>
    </row>
    <row r="84" spans="1:10" ht="15.95" customHeight="1">
      <c r="A84" s="45">
        <v>407</v>
      </c>
      <c r="B84" s="27" t="s">
        <v>160</v>
      </c>
      <c r="C84" s="60"/>
      <c r="D84" s="79"/>
      <c r="E84" s="109"/>
      <c r="F84" s="67"/>
    </row>
    <row r="85" spans="1:10" ht="15.95" customHeight="1">
      <c r="A85" s="45" t="s">
        <v>161</v>
      </c>
      <c r="B85" s="12" t="s">
        <v>71</v>
      </c>
      <c r="C85" s="54" t="s">
        <v>94</v>
      </c>
      <c r="D85" s="138">
        <f>J85</f>
        <v>0</v>
      </c>
      <c r="E85" s="137" t="e">
        <f>#REF!</f>
        <v>#REF!</v>
      </c>
      <c r="F85" s="65" t="e">
        <f>+D85*E85</f>
        <v>#REF!</v>
      </c>
      <c r="H85" s="255">
        <v>0</v>
      </c>
      <c r="I85" s="262">
        <f>1.1</f>
        <v>1.1000000000000001</v>
      </c>
      <c r="J85" s="255">
        <f>H85*I85</f>
        <v>0</v>
      </c>
    </row>
    <row r="86" spans="1:10" ht="15.95" customHeight="1">
      <c r="A86" s="28" t="s">
        <v>173</v>
      </c>
      <c r="B86" s="24" t="s">
        <v>72</v>
      </c>
      <c r="C86" s="53" t="s">
        <v>94</v>
      </c>
      <c r="D86" s="82">
        <f>J86</f>
        <v>0</v>
      </c>
      <c r="E86" s="137" t="e">
        <f>#REF!</f>
        <v>#REF!</v>
      </c>
      <c r="F86" s="65" t="e">
        <f>+D86*E86</f>
        <v>#REF!</v>
      </c>
      <c r="H86" s="255">
        <v>0</v>
      </c>
      <c r="I86" s="262">
        <f>1.1</f>
        <v>1.1000000000000001</v>
      </c>
      <c r="J86" s="255">
        <f>H86*I86</f>
        <v>0</v>
      </c>
    </row>
    <row r="87" spans="1:10" ht="15.95" customHeight="1">
      <c r="A87" s="17">
        <v>408</v>
      </c>
      <c r="B87" s="25" t="s">
        <v>163</v>
      </c>
      <c r="C87" s="56"/>
      <c r="D87" s="83"/>
      <c r="E87" s="109"/>
      <c r="F87" s="63"/>
    </row>
    <row r="88" spans="1:10" ht="15.95" customHeight="1">
      <c r="A88" s="45" t="s">
        <v>162</v>
      </c>
      <c r="B88" s="12" t="s">
        <v>190</v>
      </c>
      <c r="C88" s="146" t="s">
        <v>1</v>
      </c>
      <c r="D88" s="83">
        <f>J88</f>
        <v>0</v>
      </c>
      <c r="E88" s="108" t="e">
        <f>#REF!</f>
        <v>#REF!</v>
      </c>
      <c r="F88" s="65" t="e">
        <f>+D88*E88</f>
        <v>#REF!</v>
      </c>
      <c r="H88" s="255">
        <v>0</v>
      </c>
      <c r="I88" s="262">
        <f>1.1</f>
        <v>1.1000000000000001</v>
      </c>
      <c r="J88" s="255">
        <f>H88*I88</f>
        <v>0</v>
      </c>
    </row>
    <row r="89" spans="1:10" ht="15.95" customHeight="1">
      <c r="A89" s="45" t="s">
        <v>174</v>
      </c>
      <c r="B89" s="12" t="s">
        <v>191</v>
      </c>
      <c r="C89" s="146" t="s">
        <v>1</v>
      </c>
      <c r="D89" s="83">
        <f>J89</f>
        <v>0</v>
      </c>
      <c r="E89" s="108" t="e">
        <f>#REF!</f>
        <v>#REF!</v>
      </c>
      <c r="F89" s="65" t="e">
        <f>+D89*E89</f>
        <v>#REF!</v>
      </c>
      <c r="H89" s="255">
        <v>0</v>
      </c>
      <c r="I89" s="262">
        <f>1.1</f>
        <v>1.1000000000000001</v>
      </c>
      <c r="J89" s="255">
        <f>H89*I89</f>
        <v>0</v>
      </c>
    </row>
    <row r="90" spans="1:10" ht="15.95" customHeight="1">
      <c r="A90" s="28" t="s">
        <v>233</v>
      </c>
      <c r="B90" s="24" t="s">
        <v>234</v>
      </c>
      <c r="C90" s="146" t="s">
        <v>1</v>
      </c>
      <c r="D90" s="83">
        <f>J90</f>
        <v>0</v>
      </c>
      <c r="E90" s="108" t="e">
        <f>#REF!</f>
        <v>#REF!</v>
      </c>
      <c r="F90" s="64" t="e">
        <f>+D90*E90</f>
        <v>#REF!</v>
      </c>
      <c r="H90" s="256"/>
      <c r="I90" s="262">
        <f>1.1</f>
        <v>1.1000000000000001</v>
      </c>
      <c r="J90" s="255">
        <f>H90*I90</f>
        <v>0</v>
      </c>
    </row>
    <row r="91" spans="1:10" ht="30" customHeight="1">
      <c r="A91" s="406"/>
      <c r="B91" s="12"/>
      <c r="C91" s="95"/>
      <c r="D91" s="92"/>
      <c r="E91" s="93" t="s">
        <v>109</v>
      </c>
      <c r="F91" s="94" t="e">
        <f>SUM(F76:F90)</f>
        <v>#REF!</v>
      </c>
    </row>
    <row r="92" spans="1:10" ht="15.95" customHeight="1">
      <c r="A92" s="406"/>
      <c r="B92" s="12"/>
      <c r="C92" s="51"/>
      <c r="D92" s="76"/>
      <c r="E92" s="91"/>
      <c r="F92" s="91"/>
    </row>
    <row r="93" spans="1:10" ht="26.25" customHeight="1">
      <c r="A93" s="436" t="s">
        <v>73</v>
      </c>
      <c r="B93" s="3"/>
      <c r="C93" s="52" t="s">
        <v>98</v>
      </c>
      <c r="D93" s="86" t="s">
        <v>99</v>
      </c>
      <c r="E93" s="71" t="s">
        <v>100</v>
      </c>
      <c r="F93" s="71" t="s">
        <v>114</v>
      </c>
      <c r="I93" s="256">
        <v>17437</v>
      </c>
    </row>
    <row r="94" spans="1:10" ht="15.95" customHeight="1">
      <c r="A94" s="220">
        <v>501</v>
      </c>
      <c r="B94" s="216" t="s">
        <v>74</v>
      </c>
      <c r="C94" s="160"/>
      <c r="D94" s="213"/>
      <c r="E94" s="109"/>
      <c r="F94" s="68"/>
    </row>
    <row r="95" spans="1:10" ht="15.95" customHeight="1">
      <c r="A95" s="439"/>
      <c r="B95" s="207"/>
      <c r="C95" s="191" t="s">
        <v>95</v>
      </c>
      <c r="D95" s="150">
        <f>J95</f>
        <v>21256.04800000001</v>
      </c>
      <c r="E95" s="107" t="e">
        <f>#REF!</f>
        <v>#REF!</v>
      </c>
      <c r="F95" s="64" t="e">
        <f>+D95*E95</f>
        <v>#REF!</v>
      </c>
      <c r="H95" s="256">
        <f>(1.6*1+0.3*2+0.6*2+0.1*2)*(1+0.3*2+0.1)*F3+(1.6*3+0.3*4+0.6*2+0.1*2)*(1+0.3*2+0.1)*F4+(1*3+0.25*2+0.4*2+0.1*2)*(0.8+0.25*2+0.1)*F5</f>
        <v>19323.680000000008</v>
      </c>
      <c r="I95" s="262">
        <v>1.1000000000000001</v>
      </c>
      <c r="J95" s="255">
        <f>H95*I95</f>
        <v>21256.04800000001</v>
      </c>
    </row>
    <row r="96" spans="1:10" ht="15.95" customHeight="1">
      <c r="A96" s="214">
        <v>502</v>
      </c>
      <c r="B96" s="216" t="s">
        <v>75</v>
      </c>
      <c r="C96" s="221"/>
      <c r="D96" s="212"/>
      <c r="E96" s="109"/>
      <c r="F96" s="69"/>
    </row>
    <row r="97" spans="1:10" ht="15.95" customHeight="1">
      <c r="A97" s="440"/>
      <c r="B97" s="219"/>
      <c r="C97" s="423" t="s">
        <v>95</v>
      </c>
      <c r="D97" s="150">
        <f>J97</f>
        <v>17134.74400000001</v>
      </c>
      <c r="E97" s="107" t="e">
        <f>#REF!</f>
        <v>#REF!</v>
      </c>
      <c r="F97" s="64" t="e">
        <f>+D97*E97</f>
        <v>#REF!</v>
      </c>
      <c r="H97" s="256">
        <f>+H95-((1+0.3*2+0.1)*0.6*2*F6+(0.8+0.25*2+0.1)*0.4*2*F5)</f>
        <v>15577.040000000008</v>
      </c>
      <c r="I97" s="262">
        <v>1.1000000000000001</v>
      </c>
      <c r="J97" s="255">
        <f>H97*I97</f>
        <v>17134.74400000001</v>
      </c>
    </row>
    <row r="98" spans="1:10" ht="15.95" customHeight="1">
      <c r="A98" s="47" t="s">
        <v>12</v>
      </c>
      <c r="B98" s="27" t="s">
        <v>101</v>
      </c>
      <c r="C98" s="160"/>
      <c r="D98" s="213"/>
      <c r="E98" s="109"/>
      <c r="F98" s="65"/>
    </row>
    <row r="99" spans="1:10" ht="15.95" customHeight="1">
      <c r="A99" s="28"/>
      <c r="B99" s="9"/>
      <c r="C99" s="191" t="s">
        <v>95</v>
      </c>
      <c r="D99" s="150">
        <v>20</v>
      </c>
      <c r="E99" s="107" t="e">
        <f>#REF!</f>
        <v>#REF!</v>
      </c>
      <c r="F99" s="64" t="e">
        <f>+D99*E99</f>
        <v>#REF!</v>
      </c>
    </row>
    <row r="100" spans="1:10" ht="15.95" customHeight="1">
      <c r="A100" s="41" t="s">
        <v>13</v>
      </c>
      <c r="B100" s="43" t="s">
        <v>77</v>
      </c>
      <c r="C100" s="88"/>
      <c r="D100" s="85"/>
      <c r="E100" s="109"/>
      <c r="F100" s="63"/>
    </row>
    <row r="101" spans="1:10" ht="15.95" customHeight="1">
      <c r="A101" s="28"/>
      <c r="B101" s="9"/>
      <c r="C101" s="55" t="s">
        <v>94</v>
      </c>
      <c r="D101" s="82">
        <v>1350</v>
      </c>
      <c r="E101" s="107" t="e">
        <f>#REF!</f>
        <v>#REF!</v>
      </c>
      <c r="F101" s="64" t="e">
        <f>+D101*E101</f>
        <v>#REF!</v>
      </c>
    </row>
    <row r="102" spans="1:10" ht="15.95" customHeight="1">
      <c r="A102" s="17">
        <v>505</v>
      </c>
      <c r="B102" s="14" t="s">
        <v>76</v>
      </c>
      <c r="C102" s="56"/>
      <c r="D102" s="80"/>
      <c r="E102" s="109"/>
      <c r="F102" s="63"/>
    </row>
    <row r="103" spans="1:10" ht="15.95" customHeight="1">
      <c r="A103" s="17" t="s">
        <v>15</v>
      </c>
      <c r="B103" s="37" t="s">
        <v>78</v>
      </c>
      <c r="C103" s="50" t="s">
        <v>14</v>
      </c>
      <c r="D103" s="83">
        <f>(D108)*110</f>
        <v>11000</v>
      </c>
      <c r="E103" s="108" t="e">
        <f>#REF!</f>
        <v>#REF!</v>
      </c>
      <c r="F103" s="65" t="e">
        <f>+D103*E103</f>
        <v>#REF!</v>
      </c>
    </row>
    <row r="104" spans="1:10" ht="15.95" customHeight="1">
      <c r="A104" s="36" t="s">
        <v>16</v>
      </c>
      <c r="B104" s="49" t="s">
        <v>79</v>
      </c>
      <c r="C104" s="53" t="s">
        <v>14</v>
      </c>
      <c r="D104" s="77">
        <v>0</v>
      </c>
      <c r="E104" s="108" t="e">
        <f>#REF!</f>
        <v>#REF!</v>
      </c>
      <c r="F104" s="64" t="e">
        <f>+D104*E104</f>
        <v>#REF!</v>
      </c>
    </row>
    <row r="105" spans="1:10" ht="15.95" customHeight="1">
      <c r="A105" s="17">
        <v>506</v>
      </c>
      <c r="B105" s="26" t="s">
        <v>80</v>
      </c>
      <c r="C105" s="56"/>
      <c r="D105" s="80"/>
      <c r="E105" s="161"/>
      <c r="F105" s="63"/>
    </row>
    <row r="106" spans="1:10" ht="15.95" customHeight="1">
      <c r="A106" s="28"/>
      <c r="B106" s="24"/>
      <c r="C106" s="53" t="s">
        <v>95</v>
      </c>
      <c r="D106" s="82">
        <v>40</v>
      </c>
      <c r="E106" s="185" t="e">
        <f>#REF!</f>
        <v>#REF!</v>
      </c>
      <c r="F106" s="64" t="e">
        <f>+D106*E106</f>
        <v>#REF!</v>
      </c>
    </row>
    <row r="107" spans="1:10" ht="15.95" customHeight="1">
      <c r="A107" s="17">
        <v>507</v>
      </c>
      <c r="B107" s="25" t="s">
        <v>81</v>
      </c>
      <c r="C107" s="56"/>
      <c r="D107" s="80"/>
      <c r="E107" s="109"/>
      <c r="F107" s="63"/>
    </row>
    <row r="108" spans="1:10" ht="15.95" customHeight="1">
      <c r="A108" s="28"/>
      <c r="B108" s="24"/>
      <c r="C108" s="53" t="s">
        <v>95</v>
      </c>
      <c r="D108" s="78">
        <v>100</v>
      </c>
      <c r="E108" s="107" t="e">
        <f>#REF!</f>
        <v>#REF!</v>
      </c>
      <c r="F108" s="64" t="e">
        <f>+D108*E108</f>
        <v>#REF!</v>
      </c>
    </row>
    <row r="109" spans="1:10" ht="15.95" customHeight="1">
      <c r="A109" s="41">
        <v>509</v>
      </c>
      <c r="B109" s="43" t="s">
        <v>139</v>
      </c>
      <c r="C109" s="57"/>
      <c r="D109" s="84"/>
      <c r="E109" s="109"/>
      <c r="F109" s="63"/>
    </row>
    <row r="110" spans="1:10" ht="15.95" customHeight="1">
      <c r="A110" s="17" t="s">
        <v>140</v>
      </c>
      <c r="B110" s="39" t="s">
        <v>262</v>
      </c>
      <c r="C110" s="54" t="s">
        <v>94</v>
      </c>
      <c r="D110" s="83">
        <v>32</v>
      </c>
      <c r="E110" s="108" t="e">
        <f>#REF!</f>
        <v>#REF!</v>
      </c>
      <c r="F110" s="65" t="e">
        <f>+D110*E110</f>
        <v>#REF!</v>
      </c>
    </row>
    <row r="111" spans="1:10" ht="15.95" customHeight="1">
      <c r="A111" s="17" t="s">
        <v>141</v>
      </c>
      <c r="B111" s="39" t="s">
        <v>263</v>
      </c>
      <c r="C111" s="54" t="s">
        <v>94</v>
      </c>
      <c r="D111" s="83">
        <v>13</v>
      </c>
      <c r="E111" s="108" t="e">
        <f>#REF!</f>
        <v>#REF!</v>
      </c>
      <c r="F111" s="65" t="e">
        <f>+D111*E111</f>
        <v>#REF!</v>
      </c>
    </row>
    <row r="112" spans="1:10" ht="15.95" customHeight="1">
      <c r="A112" s="36" t="s">
        <v>142</v>
      </c>
      <c r="B112" s="49" t="s">
        <v>281</v>
      </c>
      <c r="C112" s="53" t="s">
        <v>94</v>
      </c>
      <c r="D112" s="155">
        <v>0</v>
      </c>
      <c r="E112" s="108" t="e">
        <f>#REF!</f>
        <v>#REF!</v>
      </c>
      <c r="F112" s="65" t="e">
        <f>+D112*E112</f>
        <v>#REF!</v>
      </c>
    </row>
    <row r="113" spans="1:189" ht="15.95" customHeight="1">
      <c r="A113" s="1413" t="e">
        <f>#REF!</f>
        <v>#REF!</v>
      </c>
      <c r="B113" s="1413" t="e">
        <f>#REF!</f>
        <v>#REF!</v>
      </c>
      <c r="C113" s="57"/>
      <c r="D113" s="84"/>
      <c r="E113" s="109"/>
      <c r="F113" s="63"/>
    </row>
    <row r="114" spans="1:189" ht="15.95" customHeight="1">
      <c r="A114" s="39" t="e">
        <f>+#REF!</f>
        <v>#REF!</v>
      </c>
      <c r="B114" s="39" t="e">
        <f>+#REF!</f>
        <v>#REF!</v>
      </c>
      <c r="C114" s="58" t="s">
        <v>1</v>
      </c>
      <c r="D114" s="83">
        <v>0</v>
      </c>
      <c r="E114" s="108" t="e">
        <f>#REF!</f>
        <v>#REF!</v>
      </c>
      <c r="F114" s="65" t="e">
        <f>+D114*E114</f>
        <v>#REF!</v>
      </c>
    </row>
    <row r="115" spans="1:189" ht="15.95" customHeight="1">
      <c r="A115" s="39" t="e">
        <f>+#REF!</f>
        <v>#REF!</v>
      </c>
      <c r="B115" s="39" t="e">
        <f>+#REF!</f>
        <v>#REF!</v>
      </c>
      <c r="C115" s="58" t="s">
        <v>1</v>
      </c>
      <c r="D115" s="83">
        <f>60*5</f>
        <v>300</v>
      </c>
      <c r="E115" s="108" t="e">
        <f>#REF!</f>
        <v>#REF!</v>
      </c>
      <c r="F115" s="65" t="e">
        <f>+D115*E115</f>
        <v>#REF!</v>
      </c>
    </row>
    <row r="116" spans="1:189" ht="15.95" customHeight="1">
      <c r="A116" s="39" t="e">
        <f>+#REF!</f>
        <v>#REF!</v>
      </c>
      <c r="B116" s="39" t="e">
        <f>+#REF!</f>
        <v>#REF!</v>
      </c>
      <c r="C116" s="58" t="s">
        <v>1</v>
      </c>
      <c r="D116" s="155">
        <v>0</v>
      </c>
      <c r="E116" s="108" t="e">
        <f>#REF!</f>
        <v>#REF!</v>
      </c>
      <c r="F116" s="65" t="e">
        <f>+D116*E116</f>
        <v>#REF!</v>
      </c>
    </row>
    <row r="117" spans="1:189" ht="15.95" customHeight="1">
      <c r="A117" s="39" t="e">
        <f>+#REF!</f>
        <v>#REF!</v>
      </c>
      <c r="B117" s="39" t="e">
        <f>+#REF!</f>
        <v>#REF!</v>
      </c>
      <c r="C117" s="58" t="s">
        <v>1</v>
      </c>
      <c r="D117" s="155">
        <v>0</v>
      </c>
      <c r="E117" s="108" t="e">
        <f>#REF!</f>
        <v>#REF!</v>
      </c>
      <c r="F117" s="65" t="e">
        <f>+D117*E117</f>
        <v>#REF!</v>
      </c>
    </row>
    <row r="118" spans="1:189" ht="15.95" customHeight="1">
      <c r="A118" s="39" t="e">
        <f>+#REF!</f>
        <v>#REF!</v>
      </c>
      <c r="B118" s="39" t="e">
        <f>+#REF!</f>
        <v>#REF!</v>
      </c>
      <c r="C118" s="58" t="s">
        <v>1</v>
      </c>
      <c r="D118" s="155">
        <v>0</v>
      </c>
      <c r="E118" s="108" t="e">
        <f>#REF!</f>
        <v>#REF!</v>
      </c>
      <c r="F118" s="65" t="e">
        <f>+D118*E118</f>
        <v>#REF!</v>
      </c>
      <c r="I118" s="262">
        <v>1.05</v>
      </c>
      <c r="J118" s="255">
        <f>H118*I118</f>
        <v>0</v>
      </c>
    </row>
    <row r="119" spans="1:189" ht="15.95" customHeight="1">
      <c r="A119" s="441" t="e">
        <f>+#REF!</f>
        <v>#REF!</v>
      </c>
      <c r="B119" s="1728" t="e">
        <f>+#REF!</f>
        <v>#REF!</v>
      </c>
      <c r="C119" s="479"/>
      <c r="D119" s="285"/>
      <c r="E119" s="109"/>
      <c r="F119" s="63"/>
      <c r="I119" s="262">
        <v>1.05</v>
      </c>
    </row>
    <row r="120" spans="1:189" ht="15.95" customHeight="1">
      <c r="A120" s="453" t="e">
        <f>+#REF!</f>
        <v>#REF!</v>
      </c>
      <c r="B120" s="1726" t="e">
        <f>+#REF!</f>
        <v>#REF!</v>
      </c>
      <c r="C120" s="254" t="s">
        <v>1</v>
      </c>
      <c r="D120" s="82">
        <f>J120</f>
        <v>1512</v>
      </c>
      <c r="E120" s="107" t="e">
        <f>#REF!</f>
        <v>#REF!</v>
      </c>
      <c r="F120" s="64" t="e">
        <f>+D120*E120</f>
        <v>#REF!</v>
      </c>
      <c r="G120" s="225"/>
      <c r="H120" s="259">
        <f>36*20*2</f>
        <v>1440</v>
      </c>
      <c r="I120" s="262">
        <v>1.05</v>
      </c>
      <c r="J120" s="259">
        <f>H120*I120</f>
        <v>1512</v>
      </c>
    </row>
    <row r="121" spans="1:189" s="225" customFormat="1" ht="15.95" customHeight="1">
      <c r="A121" s="432" t="e">
        <f>+#REF!</f>
        <v>#REF!</v>
      </c>
      <c r="B121" s="1728" t="e">
        <f>+#REF!</f>
        <v>#REF!</v>
      </c>
      <c r="C121" s="224"/>
      <c r="D121" s="200"/>
      <c r="E121" s="109"/>
      <c r="F121" s="63"/>
      <c r="H121" s="259"/>
      <c r="I121" s="262">
        <v>1.05</v>
      </c>
      <c r="J121" s="259"/>
      <c r="K121" s="226"/>
      <c r="L121" s="226"/>
      <c r="M121" s="226"/>
      <c r="N121" s="226"/>
      <c r="O121" s="226"/>
      <c r="P121" s="226"/>
      <c r="Q121" s="226"/>
      <c r="R121" s="226"/>
      <c r="S121" s="226"/>
      <c r="T121" s="226"/>
      <c r="U121" s="226"/>
      <c r="V121" s="226"/>
      <c r="W121" s="226"/>
      <c r="X121" s="226"/>
      <c r="Y121" s="226"/>
      <c r="Z121" s="226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  <c r="AY121" s="226"/>
      <c r="AZ121" s="226"/>
      <c r="BA121" s="226"/>
      <c r="BB121" s="226"/>
      <c r="BC121" s="226"/>
      <c r="BD121" s="226"/>
      <c r="BE121" s="226"/>
      <c r="BF121" s="226"/>
      <c r="BG121" s="226"/>
      <c r="BH121" s="226"/>
      <c r="BI121" s="226"/>
      <c r="BJ121" s="226"/>
      <c r="BK121" s="226"/>
      <c r="BL121" s="226"/>
      <c r="BM121" s="226"/>
      <c r="BN121" s="226"/>
      <c r="BO121" s="226"/>
      <c r="BP121" s="226"/>
      <c r="BQ121" s="226"/>
      <c r="BR121" s="226"/>
      <c r="BS121" s="226"/>
      <c r="BT121" s="226"/>
      <c r="BU121" s="226"/>
      <c r="BV121" s="226"/>
      <c r="BW121" s="226"/>
      <c r="BX121" s="226"/>
      <c r="BY121" s="226"/>
      <c r="BZ121" s="226"/>
      <c r="CA121" s="226"/>
      <c r="CB121" s="226"/>
      <c r="CC121" s="226"/>
      <c r="CD121" s="226"/>
      <c r="CE121" s="226"/>
      <c r="CF121" s="226"/>
      <c r="CG121" s="226"/>
      <c r="CH121" s="226"/>
      <c r="CI121" s="226"/>
      <c r="CJ121" s="226"/>
      <c r="CK121" s="226"/>
      <c r="CL121" s="226"/>
      <c r="CM121" s="226"/>
      <c r="CN121" s="226"/>
      <c r="CO121" s="226"/>
      <c r="CP121" s="226"/>
      <c r="CQ121" s="226"/>
      <c r="CR121" s="226"/>
      <c r="CS121" s="226"/>
      <c r="CT121" s="226"/>
      <c r="CU121" s="226"/>
      <c r="CV121" s="226"/>
      <c r="CW121" s="226"/>
      <c r="CX121" s="226"/>
      <c r="CY121" s="226"/>
      <c r="CZ121" s="226"/>
      <c r="DA121" s="226"/>
      <c r="DB121" s="226"/>
      <c r="DC121" s="226"/>
      <c r="DD121" s="226"/>
      <c r="DE121" s="226"/>
      <c r="DF121" s="226"/>
      <c r="DG121" s="226"/>
      <c r="DH121" s="226"/>
      <c r="DI121" s="226"/>
      <c r="DJ121" s="226"/>
      <c r="DK121" s="226"/>
      <c r="DL121" s="226"/>
      <c r="DM121" s="226"/>
      <c r="DN121" s="226"/>
      <c r="DO121" s="226"/>
      <c r="DP121" s="226"/>
      <c r="DQ121" s="226"/>
      <c r="DR121" s="226"/>
      <c r="DS121" s="226"/>
      <c r="DT121" s="226"/>
      <c r="DU121" s="226"/>
      <c r="DV121" s="226"/>
      <c r="DW121" s="226"/>
      <c r="DX121" s="226"/>
      <c r="DY121" s="226"/>
      <c r="DZ121" s="226"/>
      <c r="EA121" s="226"/>
      <c r="EB121" s="226"/>
      <c r="EC121" s="226"/>
      <c r="ED121" s="226"/>
      <c r="EE121" s="226"/>
      <c r="EF121" s="226"/>
      <c r="EG121" s="226"/>
      <c r="EH121" s="226"/>
      <c r="EI121" s="226"/>
      <c r="EJ121" s="226"/>
      <c r="EK121" s="226"/>
      <c r="EL121" s="226"/>
      <c r="EM121" s="226"/>
      <c r="EN121" s="226"/>
      <c r="EO121" s="226"/>
      <c r="EP121" s="226"/>
      <c r="EQ121" s="226"/>
      <c r="ER121" s="226"/>
      <c r="ES121" s="226"/>
      <c r="ET121" s="226"/>
      <c r="EU121" s="226"/>
      <c r="EV121" s="226"/>
      <c r="EW121" s="226"/>
      <c r="EX121" s="226"/>
      <c r="EY121" s="226"/>
      <c r="EZ121" s="226"/>
      <c r="FA121" s="226"/>
      <c r="FB121" s="226"/>
      <c r="FC121" s="226"/>
      <c r="FD121" s="226"/>
      <c r="FE121" s="226"/>
      <c r="FF121" s="226"/>
      <c r="FG121" s="226"/>
      <c r="FH121" s="226"/>
      <c r="FI121" s="226"/>
      <c r="FJ121" s="226"/>
      <c r="FK121" s="226"/>
      <c r="FL121" s="226"/>
      <c r="FM121" s="226"/>
      <c r="FN121" s="226"/>
      <c r="FO121" s="226"/>
      <c r="FP121" s="226"/>
      <c r="FQ121" s="226"/>
      <c r="FR121" s="226"/>
      <c r="FS121" s="226"/>
      <c r="FT121" s="226"/>
      <c r="FU121" s="226"/>
      <c r="FV121" s="226"/>
      <c r="FW121" s="226"/>
      <c r="FX121" s="226"/>
      <c r="FY121" s="226"/>
      <c r="FZ121" s="226"/>
      <c r="GA121" s="226"/>
      <c r="GB121" s="226"/>
      <c r="GC121" s="226"/>
      <c r="GD121" s="226"/>
      <c r="GE121" s="226"/>
      <c r="GF121" s="226"/>
      <c r="GG121" s="226"/>
    </row>
    <row r="122" spans="1:189" s="225" customFormat="1" ht="15.95" customHeight="1">
      <c r="A122" s="454" t="e">
        <f>+#REF!</f>
        <v>#REF!</v>
      </c>
      <c r="B122" s="1727" t="e">
        <f>+#REF!</f>
        <v>#REF!</v>
      </c>
      <c r="C122" s="228" t="s">
        <v>1</v>
      </c>
      <c r="D122" s="138">
        <f>J122</f>
        <v>472.5</v>
      </c>
      <c r="E122" s="108" t="e">
        <f>#REF!</f>
        <v>#REF!</v>
      </c>
      <c r="F122" s="65" t="e">
        <f>+D122*E122</f>
        <v>#REF!</v>
      </c>
      <c r="H122" s="259">
        <f>F3</f>
        <v>450</v>
      </c>
      <c r="I122" s="262">
        <v>1.05</v>
      </c>
      <c r="J122" s="259">
        <f>H122*I122</f>
        <v>472.5</v>
      </c>
      <c r="K122" s="226"/>
      <c r="L122" s="226"/>
      <c r="M122" s="226"/>
      <c r="N122" s="226"/>
      <c r="O122" s="226"/>
      <c r="P122" s="226"/>
      <c r="Q122" s="226"/>
      <c r="R122" s="226"/>
      <c r="S122" s="226"/>
      <c r="T122" s="226"/>
      <c r="U122" s="226"/>
      <c r="V122" s="226"/>
      <c r="W122" s="226"/>
      <c r="X122" s="226"/>
      <c r="Y122" s="226"/>
      <c r="Z122" s="226"/>
      <c r="AA122" s="226"/>
      <c r="AB122" s="226"/>
      <c r="AC122" s="226"/>
      <c r="AD122" s="226"/>
      <c r="AE122" s="226"/>
      <c r="AF122" s="226"/>
      <c r="AG122" s="226"/>
      <c r="AH122" s="226"/>
      <c r="AI122" s="226"/>
      <c r="AJ122" s="226"/>
      <c r="AK122" s="226"/>
      <c r="AL122" s="226"/>
      <c r="AM122" s="226"/>
      <c r="AN122" s="226"/>
      <c r="AO122" s="226"/>
      <c r="AP122" s="226"/>
      <c r="AQ122" s="226"/>
      <c r="AR122" s="226"/>
      <c r="AS122" s="226"/>
      <c r="AT122" s="226"/>
      <c r="AU122" s="226"/>
      <c r="AV122" s="226"/>
      <c r="AW122" s="226"/>
      <c r="AX122" s="226"/>
      <c r="AY122" s="226"/>
      <c r="AZ122" s="226"/>
      <c r="BA122" s="226"/>
      <c r="BB122" s="226"/>
      <c r="BC122" s="226"/>
      <c r="BD122" s="226"/>
      <c r="BE122" s="226"/>
      <c r="BF122" s="226"/>
      <c r="BG122" s="226"/>
      <c r="BH122" s="226"/>
      <c r="BI122" s="226"/>
      <c r="BJ122" s="226"/>
      <c r="BK122" s="226"/>
      <c r="BL122" s="226"/>
      <c r="BM122" s="226"/>
      <c r="BN122" s="226"/>
      <c r="BO122" s="226"/>
      <c r="BP122" s="226"/>
      <c r="BQ122" s="226"/>
      <c r="BR122" s="226"/>
      <c r="BS122" s="226"/>
      <c r="BT122" s="226"/>
      <c r="BU122" s="226"/>
      <c r="BV122" s="226"/>
      <c r="BW122" s="226"/>
      <c r="BX122" s="226"/>
      <c r="BY122" s="226"/>
      <c r="BZ122" s="226"/>
      <c r="CA122" s="226"/>
      <c r="CB122" s="226"/>
      <c r="CC122" s="226"/>
      <c r="CD122" s="226"/>
      <c r="CE122" s="226"/>
      <c r="CF122" s="226"/>
      <c r="CG122" s="226"/>
      <c r="CH122" s="226"/>
      <c r="CI122" s="226"/>
      <c r="CJ122" s="226"/>
      <c r="CK122" s="226"/>
      <c r="CL122" s="226"/>
      <c r="CM122" s="226"/>
      <c r="CN122" s="226"/>
      <c r="CO122" s="226"/>
      <c r="CP122" s="226"/>
      <c r="CQ122" s="226"/>
      <c r="CR122" s="226"/>
      <c r="CS122" s="226"/>
      <c r="CT122" s="226"/>
      <c r="CU122" s="226"/>
      <c r="CV122" s="226"/>
      <c r="CW122" s="226"/>
      <c r="CX122" s="226"/>
      <c r="CY122" s="226"/>
      <c r="CZ122" s="226"/>
      <c r="DA122" s="226"/>
      <c r="DB122" s="226"/>
      <c r="DC122" s="226"/>
      <c r="DD122" s="226"/>
      <c r="DE122" s="226"/>
      <c r="DF122" s="226"/>
      <c r="DG122" s="226"/>
      <c r="DH122" s="226"/>
      <c r="DI122" s="226"/>
      <c r="DJ122" s="226"/>
      <c r="DK122" s="226"/>
      <c r="DL122" s="226"/>
      <c r="DM122" s="226"/>
      <c r="DN122" s="226"/>
      <c r="DO122" s="226"/>
      <c r="DP122" s="226"/>
      <c r="DQ122" s="226"/>
      <c r="DR122" s="226"/>
      <c r="DS122" s="226"/>
      <c r="DT122" s="226"/>
      <c r="DU122" s="226"/>
      <c r="DV122" s="226"/>
      <c r="DW122" s="226"/>
      <c r="DX122" s="226"/>
      <c r="DY122" s="226"/>
      <c r="DZ122" s="226"/>
      <c r="EA122" s="226"/>
      <c r="EB122" s="226"/>
      <c r="EC122" s="226"/>
      <c r="ED122" s="226"/>
      <c r="EE122" s="226"/>
      <c r="EF122" s="226"/>
      <c r="EG122" s="226"/>
      <c r="EH122" s="226"/>
      <c r="EI122" s="226"/>
      <c r="EJ122" s="226"/>
      <c r="EK122" s="226"/>
      <c r="EL122" s="226"/>
      <c r="EM122" s="226"/>
      <c r="EN122" s="226"/>
      <c r="EO122" s="226"/>
      <c r="EP122" s="226"/>
      <c r="EQ122" s="226"/>
      <c r="ER122" s="226"/>
      <c r="ES122" s="226"/>
      <c r="ET122" s="226"/>
      <c r="EU122" s="226"/>
      <c r="EV122" s="226"/>
      <c r="EW122" s="226"/>
      <c r="EX122" s="226"/>
      <c r="EY122" s="226"/>
      <c r="EZ122" s="226"/>
      <c r="FA122" s="226"/>
      <c r="FB122" s="226"/>
      <c r="FC122" s="226"/>
      <c r="FD122" s="226"/>
      <c r="FE122" s="226"/>
      <c r="FF122" s="226"/>
      <c r="FG122" s="226"/>
      <c r="FH122" s="226"/>
      <c r="FI122" s="226"/>
      <c r="FJ122" s="226"/>
      <c r="FK122" s="226"/>
      <c r="FL122" s="226"/>
      <c r="FM122" s="226"/>
      <c r="FN122" s="226"/>
      <c r="FO122" s="226"/>
      <c r="FP122" s="226"/>
      <c r="FQ122" s="226"/>
      <c r="FR122" s="226"/>
      <c r="FS122" s="226"/>
      <c r="FT122" s="226"/>
      <c r="FU122" s="226"/>
      <c r="FV122" s="226"/>
      <c r="FW122" s="226"/>
      <c r="FX122" s="226"/>
      <c r="FY122" s="226"/>
      <c r="FZ122" s="226"/>
      <c r="GA122" s="226"/>
      <c r="GB122" s="226"/>
      <c r="GC122" s="226"/>
      <c r="GD122" s="226"/>
      <c r="GE122" s="226"/>
      <c r="GF122" s="226"/>
      <c r="GG122" s="226"/>
    </row>
    <row r="123" spans="1:189" s="225" customFormat="1" ht="15.95" customHeight="1">
      <c r="A123" s="454" t="e">
        <f>+#REF!</f>
        <v>#REF!</v>
      </c>
      <c r="B123" s="1727" t="e">
        <f>+#REF!</f>
        <v>#REF!</v>
      </c>
      <c r="C123" s="228" t="s">
        <v>1</v>
      </c>
      <c r="D123" s="138">
        <f>J123</f>
        <v>625.80000000000007</v>
      </c>
      <c r="E123" s="108" t="e">
        <f>#REF!</f>
        <v>#REF!</v>
      </c>
      <c r="F123" s="65" t="e">
        <f>+D123*E123</f>
        <v>#REF!</v>
      </c>
      <c r="H123" s="259">
        <f>F4</f>
        <v>596</v>
      </c>
      <c r="I123" s="262">
        <v>1.05</v>
      </c>
      <c r="J123" s="259">
        <f>H123*I123</f>
        <v>625.80000000000007</v>
      </c>
      <c r="K123" s="226"/>
      <c r="L123" s="226"/>
      <c r="M123" s="226"/>
      <c r="N123" s="226"/>
      <c r="O123" s="226"/>
      <c r="P123" s="226"/>
      <c r="Q123" s="226"/>
      <c r="R123" s="226"/>
      <c r="S123" s="226"/>
      <c r="T123" s="226"/>
      <c r="U123" s="226"/>
      <c r="V123" s="226"/>
      <c r="W123" s="226"/>
      <c r="X123" s="226"/>
      <c r="Y123" s="226"/>
      <c r="Z123" s="226"/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  <c r="AY123" s="226"/>
      <c r="AZ123" s="226"/>
      <c r="BA123" s="226"/>
      <c r="BB123" s="226"/>
      <c r="BC123" s="226"/>
      <c r="BD123" s="226"/>
      <c r="BE123" s="226"/>
      <c r="BF123" s="226"/>
      <c r="BG123" s="226"/>
      <c r="BH123" s="226"/>
      <c r="BI123" s="226"/>
      <c r="BJ123" s="226"/>
      <c r="BK123" s="226"/>
      <c r="BL123" s="226"/>
      <c r="BM123" s="226"/>
      <c r="BN123" s="226"/>
      <c r="BO123" s="226"/>
      <c r="BP123" s="226"/>
      <c r="BQ123" s="226"/>
      <c r="BR123" s="226"/>
      <c r="BS123" s="226"/>
      <c r="BT123" s="226"/>
      <c r="BU123" s="226"/>
      <c r="BV123" s="226"/>
      <c r="BW123" s="226"/>
      <c r="BX123" s="226"/>
      <c r="BY123" s="226"/>
      <c r="BZ123" s="226"/>
      <c r="CA123" s="226"/>
      <c r="CB123" s="226"/>
      <c r="CC123" s="226"/>
      <c r="CD123" s="226"/>
      <c r="CE123" s="226"/>
      <c r="CF123" s="226"/>
      <c r="CG123" s="226"/>
      <c r="CH123" s="226"/>
      <c r="CI123" s="226"/>
      <c r="CJ123" s="226"/>
      <c r="CK123" s="226"/>
      <c r="CL123" s="226"/>
      <c r="CM123" s="226"/>
      <c r="CN123" s="226"/>
      <c r="CO123" s="226"/>
      <c r="CP123" s="226"/>
      <c r="CQ123" s="226"/>
      <c r="CR123" s="226"/>
      <c r="CS123" s="226"/>
      <c r="CT123" s="226"/>
      <c r="CU123" s="226"/>
      <c r="CV123" s="226"/>
      <c r="CW123" s="226"/>
      <c r="CX123" s="226"/>
      <c r="CY123" s="226"/>
      <c r="CZ123" s="226"/>
      <c r="DA123" s="226"/>
      <c r="DB123" s="226"/>
      <c r="DC123" s="226"/>
      <c r="DD123" s="226"/>
      <c r="DE123" s="226"/>
      <c r="DF123" s="226"/>
      <c r="DG123" s="226"/>
      <c r="DH123" s="226"/>
      <c r="DI123" s="226"/>
      <c r="DJ123" s="226"/>
      <c r="DK123" s="226"/>
      <c r="DL123" s="226"/>
      <c r="DM123" s="226"/>
      <c r="DN123" s="226"/>
      <c r="DO123" s="226"/>
      <c r="DP123" s="226"/>
      <c r="DQ123" s="226"/>
      <c r="DR123" s="226"/>
      <c r="DS123" s="226"/>
      <c r="DT123" s="226"/>
      <c r="DU123" s="226"/>
      <c r="DV123" s="226"/>
      <c r="DW123" s="226"/>
      <c r="DX123" s="226"/>
      <c r="DY123" s="226"/>
      <c r="DZ123" s="226"/>
      <c r="EA123" s="226"/>
      <c r="EB123" s="226"/>
      <c r="EC123" s="226"/>
      <c r="ED123" s="226"/>
      <c r="EE123" s="226"/>
      <c r="EF123" s="226"/>
      <c r="EG123" s="226"/>
      <c r="EH123" s="226"/>
      <c r="EI123" s="226"/>
      <c r="EJ123" s="226"/>
      <c r="EK123" s="226"/>
      <c r="EL123" s="226"/>
      <c r="EM123" s="226"/>
      <c r="EN123" s="226"/>
      <c r="EO123" s="226"/>
      <c r="EP123" s="226"/>
      <c r="EQ123" s="226"/>
      <c r="ER123" s="226"/>
      <c r="ES123" s="226"/>
      <c r="ET123" s="226"/>
      <c r="EU123" s="226"/>
      <c r="EV123" s="226"/>
      <c r="EW123" s="226"/>
      <c r="EX123" s="226"/>
      <c r="EY123" s="226"/>
      <c r="EZ123" s="226"/>
      <c r="FA123" s="226"/>
      <c r="FB123" s="226"/>
      <c r="FC123" s="226"/>
      <c r="FD123" s="226"/>
      <c r="FE123" s="226"/>
      <c r="FF123" s="226"/>
      <c r="FG123" s="226"/>
      <c r="FH123" s="226"/>
      <c r="FI123" s="226"/>
      <c r="FJ123" s="226"/>
      <c r="FK123" s="226"/>
      <c r="FL123" s="226"/>
      <c r="FM123" s="226"/>
      <c r="FN123" s="226"/>
      <c r="FO123" s="226"/>
      <c r="FP123" s="226"/>
      <c r="FQ123" s="226"/>
      <c r="FR123" s="226"/>
      <c r="FS123" s="226"/>
      <c r="FT123" s="226"/>
      <c r="FU123" s="226"/>
      <c r="FV123" s="226"/>
      <c r="FW123" s="226"/>
      <c r="FX123" s="226"/>
      <c r="FY123" s="226"/>
      <c r="FZ123" s="226"/>
      <c r="GA123" s="226"/>
      <c r="GB123" s="226"/>
      <c r="GC123" s="226"/>
      <c r="GD123" s="226"/>
      <c r="GE123" s="226"/>
      <c r="GF123" s="226"/>
      <c r="GG123" s="226"/>
    </row>
    <row r="124" spans="1:189" s="198" customFormat="1" ht="15.95" customHeight="1">
      <c r="A124" s="247" t="s">
        <v>229</v>
      </c>
      <c r="B124" s="223" t="s">
        <v>143</v>
      </c>
      <c r="C124" s="224"/>
      <c r="D124" s="200"/>
      <c r="E124" s="109"/>
      <c r="F124" s="63"/>
      <c r="G124" s="225"/>
      <c r="H124" s="259"/>
      <c r="I124" s="265"/>
      <c r="J124" s="259"/>
      <c r="K124" s="199"/>
      <c r="L124" s="199"/>
      <c r="M124" s="199"/>
      <c r="N124" s="199"/>
      <c r="O124" s="199"/>
      <c r="P124" s="199"/>
      <c r="Q124" s="199"/>
      <c r="R124" s="199"/>
      <c r="S124" s="199"/>
      <c r="T124" s="199"/>
      <c r="U124" s="199"/>
      <c r="V124" s="199"/>
      <c r="W124" s="199"/>
      <c r="X124" s="199"/>
      <c r="Y124" s="199"/>
      <c r="Z124" s="199"/>
      <c r="AA124" s="199"/>
      <c r="AB124" s="199"/>
      <c r="AC124" s="199"/>
      <c r="AD124" s="199"/>
      <c r="AE124" s="199"/>
      <c r="AF124" s="199"/>
      <c r="AG124" s="199"/>
      <c r="AH124" s="199"/>
      <c r="AI124" s="199"/>
      <c r="AJ124" s="199"/>
      <c r="AK124" s="199"/>
      <c r="AL124" s="199"/>
      <c r="AM124" s="199"/>
      <c r="AN124" s="199"/>
      <c r="AO124" s="199"/>
      <c r="AP124" s="199"/>
      <c r="AQ124" s="199"/>
      <c r="AR124" s="199"/>
      <c r="AS124" s="199"/>
      <c r="AT124" s="199"/>
      <c r="AU124" s="199"/>
      <c r="AV124" s="199"/>
      <c r="AW124" s="199"/>
      <c r="AX124" s="199"/>
      <c r="AY124" s="199"/>
      <c r="AZ124" s="199"/>
      <c r="BA124" s="199"/>
      <c r="BB124" s="199"/>
      <c r="BC124" s="199"/>
      <c r="BD124" s="199"/>
      <c r="BE124" s="199"/>
      <c r="BF124" s="199"/>
      <c r="BG124" s="199"/>
      <c r="BH124" s="199"/>
      <c r="BI124" s="199"/>
      <c r="BJ124" s="199"/>
      <c r="BK124" s="199"/>
      <c r="BL124" s="199"/>
      <c r="BM124" s="199"/>
      <c r="BN124" s="199"/>
      <c r="BO124" s="199"/>
      <c r="BP124" s="199"/>
      <c r="BQ124" s="199"/>
      <c r="BR124" s="199"/>
      <c r="BS124" s="199"/>
      <c r="BT124" s="199"/>
      <c r="BU124" s="199"/>
      <c r="BV124" s="199"/>
      <c r="BW124" s="199"/>
      <c r="BX124" s="199"/>
      <c r="BY124" s="199"/>
      <c r="BZ124" s="199"/>
      <c r="CA124" s="199"/>
      <c r="CB124" s="199"/>
      <c r="CC124" s="199"/>
      <c r="CD124" s="199"/>
      <c r="CE124" s="199"/>
      <c r="CF124" s="199"/>
      <c r="CG124" s="199"/>
      <c r="CH124" s="199"/>
      <c r="CI124" s="199"/>
      <c r="CJ124" s="199"/>
      <c r="CK124" s="199"/>
      <c r="CL124" s="199"/>
      <c r="CM124" s="199"/>
      <c r="CN124" s="199"/>
      <c r="CO124" s="199"/>
      <c r="CP124" s="199"/>
      <c r="CQ124" s="199"/>
      <c r="CR124" s="199"/>
      <c r="CS124" s="199"/>
      <c r="CT124" s="199"/>
      <c r="CU124" s="199"/>
      <c r="CV124" s="199"/>
      <c r="CW124" s="199"/>
      <c r="CX124" s="199"/>
      <c r="CY124" s="199"/>
      <c r="CZ124" s="199"/>
      <c r="DA124" s="199"/>
      <c r="DB124" s="199"/>
      <c r="DC124" s="199"/>
      <c r="DD124" s="199"/>
      <c r="DE124" s="199"/>
      <c r="DF124" s="199"/>
      <c r="DG124" s="199"/>
      <c r="DH124" s="199"/>
      <c r="DI124" s="199"/>
      <c r="DJ124" s="199"/>
      <c r="DK124" s="199"/>
      <c r="DL124" s="199"/>
      <c r="DM124" s="199"/>
      <c r="DN124" s="199"/>
      <c r="DO124" s="199"/>
      <c r="DP124" s="199"/>
      <c r="DQ124" s="199"/>
      <c r="DR124" s="199"/>
      <c r="DS124" s="199"/>
      <c r="DT124" s="199"/>
      <c r="DU124" s="199"/>
      <c r="DV124" s="199"/>
      <c r="DW124" s="199"/>
      <c r="DX124" s="199"/>
      <c r="DY124" s="199"/>
      <c r="DZ124" s="199"/>
      <c r="EA124" s="199"/>
      <c r="EB124" s="199"/>
      <c r="EC124" s="199"/>
      <c r="ED124" s="199"/>
      <c r="EE124" s="199"/>
      <c r="EF124" s="199"/>
      <c r="EG124" s="199"/>
      <c r="EH124" s="199"/>
      <c r="EI124" s="199"/>
      <c r="EJ124" s="199"/>
      <c r="EK124" s="199"/>
      <c r="EL124" s="199"/>
      <c r="EM124" s="199"/>
      <c r="EN124" s="199"/>
      <c r="EO124" s="199"/>
      <c r="EP124" s="199"/>
      <c r="EQ124" s="199"/>
      <c r="ER124" s="199"/>
      <c r="ES124" s="199"/>
      <c r="ET124" s="199"/>
      <c r="EU124" s="199"/>
      <c r="EV124" s="199"/>
      <c r="EW124" s="199"/>
      <c r="EX124" s="199"/>
      <c r="EY124" s="199"/>
      <c r="EZ124" s="199"/>
      <c r="FA124" s="199"/>
      <c r="FB124" s="199"/>
      <c r="FC124" s="199"/>
      <c r="FD124" s="199"/>
      <c r="FE124" s="199"/>
      <c r="FF124" s="199"/>
      <c r="FG124" s="199"/>
      <c r="FH124" s="199"/>
      <c r="FI124" s="199"/>
      <c r="FJ124" s="199"/>
      <c r="FK124" s="199"/>
      <c r="FL124" s="199"/>
      <c r="FM124" s="199"/>
      <c r="FN124" s="199"/>
      <c r="FO124" s="199"/>
      <c r="FP124" s="199"/>
      <c r="FQ124" s="199"/>
      <c r="FR124" s="199"/>
      <c r="FS124" s="199"/>
      <c r="FT124" s="199"/>
      <c r="FU124" s="199"/>
      <c r="FV124" s="199"/>
      <c r="FW124" s="199"/>
      <c r="FX124" s="199"/>
      <c r="FY124" s="199"/>
      <c r="FZ124" s="199"/>
      <c r="GA124" s="199"/>
      <c r="GB124" s="199"/>
      <c r="GC124" s="199"/>
      <c r="GD124" s="199"/>
      <c r="GE124" s="199"/>
      <c r="GF124" s="199"/>
      <c r="GG124" s="199"/>
    </row>
    <row r="125" spans="1:189" s="225" customFormat="1" ht="15.95" customHeight="1">
      <c r="A125" s="139" t="s">
        <v>228</v>
      </c>
      <c r="B125" s="193" t="s">
        <v>210</v>
      </c>
      <c r="C125" s="228" t="s">
        <v>1</v>
      </c>
      <c r="D125" s="138">
        <v>0</v>
      </c>
      <c r="E125" s="140" t="e">
        <f>#REF!</f>
        <v>#REF!</v>
      </c>
      <c r="F125" s="65" t="e">
        <f>+D125*E125</f>
        <v>#REF!</v>
      </c>
      <c r="H125" s="259">
        <f>37+13+19</f>
        <v>69</v>
      </c>
      <c r="I125" s="265">
        <v>1.05</v>
      </c>
      <c r="J125" s="259">
        <f>H125*I125</f>
        <v>72.45</v>
      </c>
      <c r="K125" s="226"/>
      <c r="L125" s="226"/>
      <c r="M125" s="226"/>
      <c r="N125" s="226"/>
      <c r="O125" s="226"/>
      <c r="P125" s="226"/>
      <c r="Q125" s="226"/>
      <c r="R125" s="226"/>
      <c r="S125" s="226"/>
      <c r="T125" s="226"/>
      <c r="U125" s="226"/>
      <c r="V125" s="226"/>
      <c r="W125" s="226"/>
      <c r="X125" s="226"/>
      <c r="Y125" s="226"/>
      <c r="Z125" s="226"/>
      <c r="AA125" s="226"/>
      <c r="AB125" s="226"/>
      <c r="AC125" s="226"/>
      <c r="AD125" s="226"/>
      <c r="AE125" s="226"/>
      <c r="AF125" s="226"/>
      <c r="AG125" s="226"/>
      <c r="AH125" s="226"/>
      <c r="AI125" s="226"/>
      <c r="AJ125" s="226"/>
      <c r="AK125" s="226"/>
      <c r="AL125" s="226"/>
      <c r="AM125" s="226"/>
      <c r="AN125" s="226"/>
      <c r="AO125" s="226"/>
      <c r="AP125" s="226"/>
      <c r="AQ125" s="226"/>
      <c r="AR125" s="226"/>
      <c r="AS125" s="226"/>
      <c r="AT125" s="226"/>
      <c r="AU125" s="226"/>
      <c r="AV125" s="226"/>
      <c r="AW125" s="226"/>
      <c r="AX125" s="226"/>
      <c r="AY125" s="226"/>
      <c r="AZ125" s="226"/>
      <c r="BA125" s="226"/>
      <c r="BB125" s="226"/>
      <c r="BC125" s="226"/>
      <c r="BD125" s="226"/>
      <c r="BE125" s="226"/>
      <c r="BF125" s="226"/>
      <c r="BG125" s="226"/>
      <c r="BH125" s="226"/>
      <c r="BI125" s="226"/>
      <c r="BJ125" s="226"/>
      <c r="BK125" s="226"/>
      <c r="BL125" s="226"/>
      <c r="BM125" s="226"/>
      <c r="BN125" s="226"/>
      <c r="BO125" s="226"/>
      <c r="BP125" s="226"/>
      <c r="BQ125" s="226"/>
      <c r="BR125" s="226"/>
      <c r="BS125" s="226"/>
      <c r="BT125" s="226"/>
      <c r="BU125" s="226"/>
      <c r="BV125" s="226"/>
      <c r="BW125" s="226"/>
      <c r="BX125" s="226"/>
      <c r="BY125" s="226"/>
      <c r="BZ125" s="226"/>
      <c r="CA125" s="226"/>
      <c r="CB125" s="226"/>
      <c r="CC125" s="226"/>
      <c r="CD125" s="226"/>
      <c r="CE125" s="226"/>
      <c r="CF125" s="226"/>
      <c r="CG125" s="226"/>
      <c r="CH125" s="226"/>
      <c r="CI125" s="226"/>
      <c r="CJ125" s="226"/>
      <c r="CK125" s="226"/>
      <c r="CL125" s="226"/>
      <c r="CM125" s="226"/>
      <c r="CN125" s="226"/>
      <c r="CO125" s="226"/>
      <c r="CP125" s="226"/>
      <c r="CQ125" s="226"/>
      <c r="CR125" s="226"/>
      <c r="CS125" s="226"/>
      <c r="CT125" s="226"/>
      <c r="CU125" s="226"/>
      <c r="CV125" s="226"/>
      <c r="CW125" s="226"/>
      <c r="CX125" s="226"/>
      <c r="CY125" s="226"/>
      <c r="CZ125" s="226"/>
      <c r="DA125" s="226"/>
      <c r="DB125" s="226"/>
      <c r="DC125" s="226"/>
      <c r="DD125" s="226"/>
      <c r="DE125" s="226"/>
      <c r="DF125" s="226"/>
      <c r="DG125" s="226"/>
      <c r="DH125" s="226"/>
      <c r="DI125" s="226"/>
      <c r="DJ125" s="226"/>
      <c r="DK125" s="226"/>
      <c r="DL125" s="226"/>
      <c r="DM125" s="226"/>
      <c r="DN125" s="226"/>
      <c r="DO125" s="226"/>
      <c r="DP125" s="226"/>
      <c r="DQ125" s="226"/>
      <c r="DR125" s="226"/>
      <c r="DS125" s="226"/>
      <c r="DT125" s="226"/>
      <c r="DU125" s="226"/>
      <c r="DV125" s="226"/>
      <c r="DW125" s="226"/>
      <c r="DX125" s="226"/>
      <c r="DY125" s="226"/>
      <c r="DZ125" s="226"/>
      <c r="EA125" s="226"/>
      <c r="EB125" s="226"/>
      <c r="EC125" s="226"/>
      <c r="ED125" s="226"/>
      <c r="EE125" s="226"/>
      <c r="EF125" s="226"/>
      <c r="EG125" s="226"/>
      <c r="EH125" s="226"/>
      <c r="EI125" s="226"/>
      <c r="EJ125" s="226"/>
      <c r="EK125" s="226"/>
      <c r="EL125" s="226"/>
      <c r="EM125" s="226"/>
      <c r="EN125" s="226"/>
      <c r="EO125" s="226"/>
      <c r="EP125" s="226"/>
      <c r="EQ125" s="226"/>
      <c r="ER125" s="226"/>
      <c r="ES125" s="226"/>
      <c r="ET125" s="226"/>
      <c r="EU125" s="226"/>
      <c r="EV125" s="226"/>
      <c r="EW125" s="226"/>
      <c r="EX125" s="226"/>
      <c r="EY125" s="226"/>
      <c r="EZ125" s="226"/>
      <c r="FA125" s="226"/>
      <c r="FB125" s="226"/>
      <c r="FC125" s="226"/>
      <c r="FD125" s="226"/>
      <c r="FE125" s="226"/>
      <c r="FF125" s="226"/>
      <c r="FG125" s="226"/>
      <c r="FH125" s="226"/>
      <c r="FI125" s="226"/>
      <c r="FJ125" s="226"/>
      <c r="FK125" s="226"/>
      <c r="FL125" s="226"/>
      <c r="FM125" s="226"/>
      <c r="FN125" s="226"/>
      <c r="FO125" s="226"/>
      <c r="FP125" s="226"/>
      <c r="FQ125" s="226"/>
      <c r="FR125" s="226"/>
      <c r="FS125" s="226"/>
      <c r="FT125" s="226"/>
      <c r="FU125" s="226"/>
      <c r="FV125" s="226"/>
      <c r="FW125" s="226"/>
      <c r="FX125" s="226"/>
      <c r="FY125" s="226"/>
      <c r="FZ125" s="226"/>
      <c r="GA125" s="226"/>
      <c r="GB125" s="226"/>
      <c r="GC125" s="226"/>
      <c r="GD125" s="226"/>
      <c r="GE125" s="226"/>
      <c r="GF125" s="226"/>
      <c r="GG125" s="226"/>
    </row>
    <row r="126" spans="1:189" s="225" customFormat="1" ht="15.95" customHeight="1">
      <c r="A126" s="17"/>
      <c r="B126" s="230"/>
      <c r="C126" s="228"/>
      <c r="D126" s="138"/>
      <c r="E126" s="108"/>
      <c r="F126" s="65"/>
      <c r="H126" s="259"/>
      <c r="I126" s="265"/>
      <c r="J126" s="259"/>
      <c r="K126" s="226"/>
      <c r="L126" s="226"/>
      <c r="M126" s="226"/>
      <c r="N126" s="226"/>
      <c r="O126" s="226"/>
      <c r="P126" s="226"/>
      <c r="Q126" s="226"/>
      <c r="R126" s="226"/>
      <c r="S126" s="226"/>
      <c r="T126" s="226"/>
      <c r="U126" s="226"/>
      <c r="V126" s="226"/>
      <c r="W126" s="226"/>
      <c r="X126" s="226"/>
      <c r="Y126" s="226"/>
      <c r="Z126" s="226"/>
      <c r="AA126" s="226"/>
      <c r="AB126" s="226"/>
      <c r="AC126" s="226"/>
      <c r="AD126" s="226"/>
      <c r="AE126" s="226"/>
      <c r="AF126" s="226"/>
      <c r="AG126" s="226"/>
      <c r="AH126" s="226"/>
      <c r="AI126" s="226"/>
      <c r="AJ126" s="226"/>
      <c r="AK126" s="226"/>
      <c r="AL126" s="226"/>
      <c r="AM126" s="226"/>
      <c r="AN126" s="226"/>
      <c r="AO126" s="226"/>
      <c r="AP126" s="226"/>
      <c r="AQ126" s="226"/>
      <c r="AR126" s="226"/>
      <c r="AS126" s="226"/>
      <c r="AT126" s="226"/>
      <c r="AU126" s="226"/>
      <c r="AV126" s="226"/>
      <c r="AW126" s="226"/>
      <c r="AX126" s="226"/>
      <c r="AY126" s="226"/>
      <c r="AZ126" s="226"/>
      <c r="BA126" s="226"/>
      <c r="BB126" s="226"/>
      <c r="BC126" s="226"/>
      <c r="BD126" s="226"/>
      <c r="BE126" s="226"/>
      <c r="BF126" s="226"/>
      <c r="BG126" s="226"/>
      <c r="BH126" s="226"/>
      <c r="BI126" s="226"/>
      <c r="BJ126" s="226"/>
      <c r="BK126" s="226"/>
      <c r="BL126" s="226"/>
      <c r="BM126" s="226"/>
      <c r="BN126" s="226"/>
      <c r="BO126" s="226"/>
      <c r="BP126" s="226"/>
      <c r="BQ126" s="226"/>
      <c r="BR126" s="226"/>
      <c r="BS126" s="226"/>
      <c r="BT126" s="226"/>
      <c r="BU126" s="226"/>
      <c r="BV126" s="226"/>
      <c r="BW126" s="226"/>
      <c r="BX126" s="226"/>
      <c r="BY126" s="226"/>
      <c r="BZ126" s="226"/>
      <c r="CA126" s="226"/>
      <c r="CB126" s="226"/>
      <c r="CC126" s="226"/>
      <c r="CD126" s="226"/>
      <c r="CE126" s="226"/>
      <c r="CF126" s="226"/>
      <c r="CG126" s="226"/>
      <c r="CH126" s="226"/>
      <c r="CI126" s="226"/>
      <c r="CJ126" s="226"/>
      <c r="CK126" s="226"/>
      <c r="CL126" s="226"/>
      <c r="CM126" s="226"/>
      <c r="CN126" s="226"/>
      <c r="CO126" s="226"/>
      <c r="CP126" s="226"/>
      <c r="CQ126" s="226"/>
      <c r="CR126" s="226"/>
      <c r="CS126" s="226"/>
      <c r="CT126" s="226"/>
      <c r="CU126" s="226"/>
      <c r="CV126" s="226"/>
      <c r="CW126" s="226"/>
      <c r="CX126" s="226"/>
      <c r="CY126" s="226"/>
      <c r="CZ126" s="226"/>
      <c r="DA126" s="226"/>
      <c r="DB126" s="226"/>
      <c r="DC126" s="226"/>
      <c r="DD126" s="226"/>
      <c r="DE126" s="226"/>
      <c r="DF126" s="226"/>
      <c r="DG126" s="226"/>
      <c r="DH126" s="226"/>
      <c r="DI126" s="226"/>
      <c r="DJ126" s="226"/>
      <c r="DK126" s="226"/>
      <c r="DL126" s="226"/>
      <c r="DM126" s="226"/>
      <c r="DN126" s="226"/>
      <c r="DO126" s="226"/>
      <c r="DP126" s="226"/>
      <c r="DQ126" s="226"/>
      <c r="DR126" s="226"/>
      <c r="DS126" s="226"/>
      <c r="DT126" s="226"/>
      <c r="DU126" s="226"/>
      <c r="DV126" s="226"/>
      <c r="DW126" s="226"/>
      <c r="DX126" s="226"/>
      <c r="DY126" s="226"/>
      <c r="DZ126" s="226"/>
      <c r="EA126" s="226"/>
      <c r="EB126" s="226"/>
      <c r="EC126" s="226"/>
      <c r="ED126" s="226"/>
      <c r="EE126" s="226"/>
      <c r="EF126" s="226"/>
      <c r="EG126" s="226"/>
      <c r="EH126" s="226"/>
      <c r="EI126" s="226"/>
      <c r="EJ126" s="226"/>
      <c r="EK126" s="226"/>
      <c r="EL126" s="226"/>
      <c r="EM126" s="226"/>
      <c r="EN126" s="226"/>
      <c r="EO126" s="226"/>
      <c r="EP126" s="226"/>
      <c r="EQ126" s="226"/>
      <c r="ER126" s="226"/>
      <c r="ES126" s="226"/>
      <c r="ET126" s="226"/>
      <c r="EU126" s="226"/>
      <c r="EV126" s="226"/>
      <c r="EW126" s="226"/>
      <c r="EX126" s="226"/>
      <c r="EY126" s="226"/>
      <c r="EZ126" s="226"/>
      <c r="FA126" s="226"/>
      <c r="FB126" s="226"/>
      <c r="FC126" s="226"/>
      <c r="FD126" s="226"/>
      <c r="FE126" s="226"/>
      <c r="FF126" s="226"/>
      <c r="FG126" s="226"/>
      <c r="FH126" s="226"/>
      <c r="FI126" s="226"/>
      <c r="FJ126" s="226"/>
      <c r="FK126" s="226"/>
      <c r="FL126" s="226"/>
      <c r="FM126" s="226"/>
      <c r="FN126" s="226"/>
      <c r="FO126" s="226"/>
      <c r="FP126" s="226"/>
      <c r="FQ126" s="226"/>
      <c r="FR126" s="226"/>
      <c r="FS126" s="226"/>
      <c r="FT126" s="226"/>
      <c r="FU126" s="226"/>
      <c r="FV126" s="226"/>
      <c r="FW126" s="226"/>
      <c r="FX126" s="226"/>
      <c r="FY126" s="226"/>
      <c r="FZ126" s="226"/>
      <c r="GA126" s="226"/>
      <c r="GB126" s="226"/>
      <c r="GC126" s="226"/>
      <c r="GD126" s="226"/>
      <c r="GE126" s="226"/>
      <c r="GF126" s="226"/>
      <c r="GG126" s="226"/>
    </row>
    <row r="127" spans="1:189" s="198" customFormat="1" ht="15.95" customHeight="1">
      <c r="A127" s="247" t="s">
        <v>219</v>
      </c>
      <c r="B127" s="223" t="s">
        <v>220</v>
      </c>
      <c r="C127" s="224"/>
      <c r="D127" s="200"/>
      <c r="E127" s="109"/>
      <c r="F127" s="63"/>
      <c r="G127" s="225"/>
      <c r="H127" s="259"/>
      <c r="I127" s="265"/>
      <c r="J127" s="259"/>
      <c r="K127" s="199"/>
      <c r="L127" s="199"/>
      <c r="M127" s="199"/>
      <c r="N127" s="199"/>
      <c r="O127" s="199"/>
      <c r="P127" s="199"/>
      <c r="Q127" s="199"/>
      <c r="R127" s="199"/>
      <c r="S127" s="199"/>
      <c r="T127" s="199"/>
      <c r="U127" s="199"/>
      <c r="V127" s="199"/>
      <c r="W127" s="199"/>
      <c r="X127" s="199"/>
      <c r="Y127" s="199"/>
      <c r="Z127" s="199"/>
      <c r="AA127" s="199"/>
      <c r="AB127" s="199"/>
      <c r="AC127" s="199"/>
      <c r="AD127" s="199"/>
      <c r="AE127" s="199"/>
      <c r="AF127" s="199"/>
      <c r="AG127" s="199"/>
      <c r="AH127" s="199"/>
      <c r="AI127" s="199"/>
      <c r="AJ127" s="199"/>
      <c r="AK127" s="199"/>
      <c r="AL127" s="199"/>
      <c r="AM127" s="199"/>
      <c r="AN127" s="199"/>
      <c r="AO127" s="199"/>
      <c r="AP127" s="199"/>
      <c r="AQ127" s="199"/>
      <c r="AR127" s="199"/>
      <c r="AS127" s="199"/>
      <c r="AT127" s="199"/>
      <c r="AU127" s="199"/>
      <c r="AV127" s="199"/>
      <c r="AW127" s="199"/>
      <c r="AX127" s="199"/>
      <c r="AY127" s="199"/>
      <c r="AZ127" s="199"/>
      <c r="BA127" s="199"/>
      <c r="BB127" s="199"/>
      <c r="BC127" s="199"/>
      <c r="BD127" s="199"/>
      <c r="BE127" s="199"/>
      <c r="BF127" s="199"/>
      <c r="BG127" s="199"/>
      <c r="BH127" s="199"/>
      <c r="BI127" s="199"/>
      <c r="BJ127" s="199"/>
      <c r="BK127" s="199"/>
      <c r="BL127" s="199"/>
      <c r="BM127" s="199"/>
      <c r="BN127" s="199"/>
      <c r="BO127" s="199"/>
      <c r="BP127" s="199"/>
      <c r="BQ127" s="199"/>
      <c r="BR127" s="199"/>
      <c r="BS127" s="199"/>
      <c r="BT127" s="199"/>
      <c r="BU127" s="199"/>
      <c r="BV127" s="199"/>
      <c r="BW127" s="199"/>
      <c r="BX127" s="199"/>
      <c r="BY127" s="199"/>
      <c r="BZ127" s="199"/>
      <c r="CA127" s="199"/>
      <c r="CB127" s="199"/>
      <c r="CC127" s="199"/>
      <c r="CD127" s="199"/>
      <c r="CE127" s="199"/>
      <c r="CF127" s="199"/>
      <c r="CG127" s="199"/>
      <c r="CH127" s="199"/>
      <c r="CI127" s="199"/>
      <c r="CJ127" s="199"/>
      <c r="CK127" s="199"/>
      <c r="CL127" s="199"/>
      <c r="CM127" s="199"/>
      <c r="CN127" s="199"/>
      <c r="CO127" s="199"/>
      <c r="CP127" s="199"/>
      <c r="CQ127" s="199"/>
      <c r="CR127" s="199"/>
      <c r="CS127" s="199"/>
      <c r="CT127" s="199"/>
      <c r="CU127" s="199"/>
      <c r="CV127" s="199"/>
      <c r="CW127" s="199"/>
      <c r="CX127" s="199"/>
      <c r="CY127" s="199"/>
      <c r="CZ127" s="199"/>
      <c r="DA127" s="199"/>
      <c r="DB127" s="199"/>
      <c r="DC127" s="199"/>
      <c r="DD127" s="199"/>
      <c r="DE127" s="199"/>
      <c r="DF127" s="199"/>
      <c r="DG127" s="199"/>
      <c r="DH127" s="199"/>
      <c r="DI127" s="199"/>
      <c r="DJ127" s="199"/>
      <c r="DK127" s="199"/>
      <c r="DL127" s="199"/>
      <c r="DM127" s="199"/>
      <c r="DN127" s="199"/>
      <c r="DO127" s="199"/>
      <c r="DP127" s="199"/>
      <c r="DQ127" s="199"/>
      <c r="DR127" s="199"/>
      <c r="DS127" s="199"/>
      <c r="DT127" s="199"/>
      <c r="DU127" s="199"/>
      <c r="DV127" s="199"/>
      <c r="DW127" s="199"/>
      <c r="DX127" s="199"/>
      <c r="DY127" s="199"/>
      <c r="DZ127" s="199"/>
      <c r="EA127" s="199"/>
      <c r="EB127" s="199"/>
      <c r="EC127" s="199"/>
      <c r="ED127" s="199"/>
      <c r="EE127" s="199"/>
      <c r="EF127" s="199"/>
      <c r="EG127" s="199"/>
      <c r="EH127" s="199"/>
      <c r="EI127" s="199"/>
      <c r="EJ127" s="199"/>
      <c r="EK127" s="199"/>
      <c r="EL127" s="199"/>
      <c r="EM127" s="199"/>
      <c r="EN127" s="199"/>
      <c r="EO127" s="199"/>
      <c r="EP127" s="199"/>
      <c r="EQ127" s="199"/>
      <c r="ER127" s="199"/>
      <c r="ES127" s="199"/>
      <c r="ET127" s="199"/>
      <c r="EU127" s="199"/>
      <c r="EV127" s="199"/>
      <c r="EW127" s="199"/>
      <c r="EX127" s="199"/>
      <c r="EY127" s="199"/>
      <c r="EZ127" s="199"/>
      <c r="FA127" s="199"/>
      <c r="FB127" s="199"/>
      <c r="FC127" s="199"/>
      <c r="FD127" s="199"/>
      <c r="FE127" s="199"/>
      <c r="FF127" s="199"/>
      <c r="FG127" s="199"/>
      <c r="FH127" s="199"/>
      <c r="FI127" s="199"/>
      <c r="FJ127" s="199"/>
      <c r="FK127" s="199"/>
      <c r="FL127" s="199"/>
      <c r="FM127" s="199"/>
      <c r="FN127" s="199"/>
      <c r="FO127" s="199"/>
      <c r="FP127" s="199"/>
      <c r="FQ127" s="199"/>
      <c r="FR127" s="199"/>
      <c r="FS127" s="199"/>
      <c r="FT127" s="199"/>
      <c r="FU127" s="199"/>
      <c r="FV127" s="199"/>
      <c r="FW127" s="199"/>
      <c r="FX127" s="199"/>
      <c r="FY127" s="199"/>
      <c r="FZ127" s="199"/>
      <c r="GA127" s="199"/>
      <c r="GB127" s="199"/>
      <c r="GC127" s="199"/>
      <c r="GD127" s="199"/>
      <c r="GE127" s="199"/>
      <c r="GF127" s="199"/>
      <c r="GG127" s="199"/>
    </row>
    <row r="128" spans="1:189" s="225" customFormat="1" ht="15.95" customHeight="1">
      <c r="A128" s="139" t="s">
        <v>230</v>
      </c>
      <c r="B128" s="193"/>
      <c r="C128" s="228" t="s">
        <v>27</v>
      </c>
      <c r="D128" s="138">
        <v>1</v>
      </c>
      <c r="E128" s="140" t="e">
        <f>#REF!</f>
        <v>#REF!</v>
      </c>
      <c r="F128" s="65" t="e">
        <f>+D128*E128</f>
        <v>#REF!</v>
      </c>
      <c r="H128" s="259">
        <f>37+13+19</f>
        <v>69</v>
      </c>
      <c r="I128" s="265">
        <v>1.05</v>
      </c>
      <c r="J128" s="259">
        <f>H128*I128</f>
        <v>72.45</v>
      </c>
      <c r="K128" s="226"/>
      <c r="L128" s="226"/>
      <c r="M128" s="226"/>
      <c r="N128" s="226"/>
      <c r="O128" s="226"/>
      <c r="P128" s="226"/>
      <c r="Q128" s="226"/>
      <c r="R128" s="226"/>
      <c r="S128" s="226"/>
      <c r="T128" s="226"/>
      <c r="U128" s="226"/>
      <c r="V128" s="226"/>
      <c r="W128" s="226"/>
      <c r="X128" s="226"/>
      <c r="Y128" s="226"/>
      <c r="Z128" s="226"/>
      <c r="AA128" s="226"/>
      <c r="AB128" s="226"/>
      <c r="AC128" s="226"/>
      <c r="AD128" s="226"/>
      <c r="AE128" s="226"/>
      <c r="AF128" s="226"/>
      <c r="AG128" s="226"/>
      <c r="AH128" s="226"/>
      <c r="AI128" s="226"/>
      <c r="AJ128" s="226"/>
      <c r="AK128" s="226"/>
      <c r="AL128" s="226"/>
      <c r="AM128" s="226"/>
      <c r="AN128" s="226"/>
      <c r="AO128" s="226"/>
      <c r="AP128" s="226"/>
      <c r="AQ128" s="226"/>
      <c r="AR128" s="226"/>
      <c r="AS128" s="226"/>
      <c r="AT128" s="226"/>
      <c r="AU128" s="226"/>
      <c r="AV128" s="226"/>
      <c r="AW128" s="226"/>
      <c r="AX128" s="226"/>
      <c r="AY128" s="226"/>
      <c r="AZ128" s="226"/>
      <c r="BA128" s="226"/>
      <c r="BB128" s="226"/>
      <c r="BC128" s="226"/>
      <c r="BD128" s="226"/>
      <c r="BE128" s="226"/>
      <c r="BF128" s="226"/>
      <c r="BG128" s="226"/>
      <c r="BH128" s="226"/>
      <c r="BI128" s="226"/>
      <c r="BJ128" s="226"/>
      <c r="BK128" s="226"/>
      <c r="BL128" s="226"/>
      <c r="BM128" s="226"/>
      <c r="BN128" s="226"/>
      <c r="BO128" s="226"/>
      <c r="BP128" s="226"/>
      <c r="BQ128" s="226"/>
      <c r="BR128" s="226"/>
      <c r="BS128" s="226"/>
      <c r="BT128" s="226"/>
      <c r="BU128" s="226"/>
      <c r="BV128" s="226"/>
      <c r="BW128" s="226"/>
      <c r="BX128" s="226"/>
      <c r="BY128" s="226"/>
      <c r="BZ128" s="226"/>
      <c r="CA128" s="226"/>
      <c r="CB128" s="226"/>
      <c r="CC128" s="226"/>
      <c r="CD128" s="226"/>
      <c r="CE128" s="226"/>
      <c r="CF128" s="226"/>
      <c r="CG128" s="226"/>
      <c r="CH128" s="226"/>
      <c r="CI128" s="226"/>
      <c r="CJ128" s="226"/>
      <c r="CK128" s="226"/>
      <c r="CL128" s="226"/>
      <c r="CM128" s="226"/>
      <c r="CN128" s="226"/>
      <c r="CO128" s="226"/>
      <c r="CP128" s="226"/>
      <c r="CQ128" s="226"/>
      <c r="CR128" s="226"/>
      <c r="CS128" s="226"/>
      <c r="CT128" s="226"/>
      <c r="CU128" s="226"/>
      <c r="CV128" s="226"/>
      <c r="CW128" s="226"/>
      <c r="CX128" s="226"/>
      <c r="CY128" s="226"/>
      <c r="CZ128" s="226"/>
      <c r="DA128" s="226"/>
      <c r="DB128" s="226"/>
      <c r="DC128" s="226"/>
      <c r="DD128" s="226"/>
      <c r="DE128" s="226"/>
      <c r="DF128" s="226"/>
      <c r="DG128" s="226"/>
      <c r="DH128" s="226"/>
      <c r="DI128" s="226"/>
      <c r="DJ128" s="226"/>
      <c r="DK128" s="226"/>
      <c r="DL128" s="226"/>
      <c r="DM128" s="226"/>
      <c r="DN128" s="226"/>
      <c r="DO128" s="226"/>
      <c r="DP128" s="226"/>
      <c r="DQ128" s="226"/>
      <c r="DR128" s="226"/>
      <c r="DS128" s="226"/>
      <c r="DT128" s="226"/>
      <c r="DU128" s="226"/>
      <c r="DV128" s="226"/>
      <c r="DW128" s="226"/>
      <c r="DX128" s="226"/>
      <c r="DY128" s="226"/>
      <c r="DZ128" s="226"/>
      <c r="EA128" s="226"/>
      <c r="EB128" s="226"/>
      <c r="EC128" s="226"/>
      <c r="ED128" s="226"/>
      <c r="EE128" s="226"/>
      <c r="EF128" s="226"/>
      <c r="EG128" s="226"/>
      <c r="EH128" s="226"/>
      <c r="EI128" s="226"/>
      <c r="EJ128" s="226"/>
      <c r="EK128" s="226"/>
      <c r="EL128" s="226"/>
      <c r="EM128" s="226"/>
      <c r="EN128" s="226"/>
      <c r="EO128" s="226"/>
      <c r="EP128" s="226"/>
      <c r="EQ128" s="226"/>
      <c r="ER128" s="226"/>
      <c r="ES128" s="226"/>
      <c r="ET128" s="226"/>
      <c r="EU128" s="226"/>
      <c r="EV128" s="226"/>
      <c r="EW128" s="226"/>
      <c r="EX128" s="226"/>
      <c r="EY128" s="226"/>
      <c r="EZ128" s="226"/>
      <c r="FA128" s="226"/>
      <c r="FB128" s="226"/>
      <c r="FC128" s="226"/>
      <c r="FD128" s="226"/>
      <c r="FE128" s="226"/>
      <c r="FF128" s="226"/>
      <c r="FG128" s="226"/>
      <c r="FH128" s="226"/>
      <c r="FI128" s="226"/>
      <c r="FJ128" s="226"/>
      <c r="FK128" s="226"/>
      <c r="FL128" s="226"/>
      <c r="FM128" s="226"/>
      <c r="FN128" s="226"/>
      <c r="FO128" s="226"/>
      <c r="FP128" s="226"/>
      <c r="FQ128" s="226"/>
      <c r="FR128" s="226"/>
      <c r="FS128" s="226"/>
      <c r="FT128" s="226"/>
      <c r="FU128" s="226"/>
      <c r="FV128" s="226"/>
      <c r="FW128" s="226"/>
      <c r="FX128" s="226"/>
      <c r="FY128" s="226"/>
      <c r="FZ128" s="226"/>
      <c r="GA128" s="226"/>
      <c r="GB128" s="226"/>
      <c r="GC128" s="226"/>
      <c r="GD128" s="226"/>
      <c r="GE128" s="226"/>
      <c r="GF128" s="226"/>
      <c r="GG128" s="226"/>
    </row>
    <row r="129" spans="1:189" s="225" customFormat="1" ht="15.95" customHeight="1">
      <c r="A129" s="17"/>
      <c r="B129" s="230"/>
      <c r="C129" s="228"/>
      <c r="D129" s="138"/>
      <c r="E129" s="108"/>
      <c r="F129" s="65"/>
      <c r="H129" s="259"/>
      <c r="I129" s="265"/>
      <c r="J129" s="259"/>
      <c r="K129" s="226"/>
      <c r="L129" s="226"/>
      <c r="M129" s="226"/>
      <c r="N129" s="226"/>
      <c r="O129" s="226"/>
      <c r="P129" s="226"/>
      <c r="Q129" s="226"/>
      <c r="R129" s="226"/>
      <c r="S129" s="226"/>
      <c r="T129" s="226"/>
      <c r="U129" s="226"/>
      <c r="V129" s="226"/>
      <c r="W129" s="226"/>
      <c r="X129" s="226"/>
      <c r="Y129" s="226"/>
      <c r="Z129" s="226"/>
      <c r="AA129" s="226"/>
      <c r="AB129" s="226"/>
      <c r="AC129" s="226"/>
      <c r="AD129" s="226"/>
      <c r="AE129" s="226"/>
      <c r="AF129" s="226"/>
      <c r="AG129" s="226"/>
      <c r="AH129" s="226"/>
      <c r="AI129" s="226"/>
      <c r="AJ129" s="226"/>
      <c r="AK129" s="226"/>
      <c r="AL129" s="226"/>
      <c r="AM129" s="226"/>
      <c r="AN129" s="226"/>
      <c r="AO129" s="226"/>
      <c r="AP129" s="226"/>
      <c r="AQ129" s="226"/>
      <c r="AR129" s="226"/>
      <c r="AS129" s="226"/>
      <c r="AT129" s="226"/>
      <c r="AU129" s="226"/>
      <c r="AV129" s="226"/>
      <c r="AW129" s="226"/>
      <c r="AX129" s="226"/>
      <c r="AY129" s="226"/>
      <c r="AZ129" s="226"/>
      <c r="BA129" s="226"/>
      <c r="BB129" s="226"/>
      <c r="BC129" s="226"/>
      <c r="BD129" s="226"/>
      <c r="BE129" s="226"/>
      <c r="BF129" s="226"/>
      <c r="BG129" s="226"/>
      <c r="BH129" s="226"/>
      <c r="BI129" s="226"/>
      <c r="BJ129" s="226"/>
      <c r="BK129" s="226"/>
      <c r="BL129" s="226"/>
      <c r="BM129" s="226"/>
      <c r="BN129" s="226"/>
      <c r="BO129" s="226"/>
      <c r="BP129" s="226"/>
      <c r="BQ129" s="226"/>
      <c r="BR129" s="226"/>
      <c r="BS129" s="226"/>
      <c r="BT129" s="226"/>
      <c r="BU129" s="226"/>
      <c r="BV129" s="226"/>
      <c r="BW129" s="226"/>
      <c r="BX129" s="226"/>
      <c r="BY129" s="226"/>
      <c r="BZ129" s="226"/>
      <c r="CA129" s="226"/>
      <c r="CB129" s="226"/>
      <c r="CC129" s="226"/>
      <c r="CD129" s="226"/>
      <c r="CE129" s="226"/>
      <c r="CF129" s="226"/>
      <c r="CG129" s="226"/>
      <c r="CH129" s="226"/>
      <c r="CI129" s="226"/>
      <c r="CJ129" s="226"/>
      <c r="CK129" s="226"/>
      <c r="CL129" s="226"/>
      <c r="CM129" s="226"/>
      <c r="CN129" s="226"/>
      <c r="CO129" s="226"/>
      <c r="CP129" s="226"/>
      <c r="CQ129" s="226"/>
      <c r="CR129" s="226"/>
      <c r="CS129" s="226"/>
      <c r="CT129" s="226"/>
      <c r="CU129" s="226"/>
      <c r="CV129" s="226"/>
      <c r="CW129" s="226"/>
      <c r="CX129" s="226"/>
      <c r="CY129" s="226"/>
      <c r="CZ129" s="226"/>
      <c r="DA129" s="226"/>
      <c r="DB129" s="226"/>
      <c r="DC129" s="226"/>
      <c r="DD129" s="226"/>
      <c r="DE129" s="226"/>
      <c r="DF129" s="226"/>
      <c r="DG129" s="226"/>
      <c r="DH129" s="226"/>
      <c r="DI129" s="226"/>
      <c r="DJ129" s="226"/>
      <c r="DK129" s="226"/>
      <c r="DL129" s="226"/>
      <c r="DM129" s="226"/>
      <c r="DN129" s="226"/>
      <c r="DO129" s="226"/>
      <c r="DP129" s="226"/>
      <c r="DQ129" s="226"/>
      <c r="DR129" s="226"/>
      <c r="DS129" s="226"/>
      <c r="DT129" s="226"/>
      <c r="DU129" s="226"/>
      <c r="DV129" s="226"/>
      <c r="DW129" s="226"/>
      <c r="DX129" s="226"/>
      <c r="DY129" s="226"/>
      <c r="DZ129" s="226"/>
      <c r="EA129" s="226"/>
      <c r="EB129" s="226"/>
      <c r="EC129" s="226"/>
      <c r="ED129" s="226"/>
      <c r="EE129" s="226"/>
      <c r="EF129" s="226"/>
      <c r="EG129" s="226"/>
      <c r="EH129" s="226"/>
      <c r="EI129" s="226"/>
      <c r="EJ129" s="226"/>
      <c r="EK129" s="226"/>
      <c r="EL129" s="226"/>
      <c r="EM129" s="226"/>
      <c r="EN129" s="226"/>
      <c r="EO129" s="226"/>
      <c r="EP129" s="226"/>
      <c r="EQ129" s="226"/>
      <c r="ER129" s="226"/>
      <c r="ES129" s="226"/>
      <c r="ET129" s="226"/>
      <c r="EU129" s="226"/>
      <c r="EV129" s="226"/>
      <c r="EW129" s="226"/>
      <c r="EX129" s="226"/>
      <c r="EY129" s="226"/>
      <c r="EZ129" s="226"/>
      <c r="FA129" s="226"/>
      <c r="FB129" s="226"/>
      <c r="FC129" s="226"/>
      <c r="FD129" s="226"/>
      <c r="FE129" s="226"/>
      <c r="FF129" s="226"/>
      <c r="FG129" s="226"/>
      <c r="FH129" s="226"/>
      <c r="FI129" s="226"/>
      <c r="FJ129" s="226"/>
      <c r="FK129" s="226"/>
      <c r="FL129" s="226"/>
      <c r="FM129" s="226"/>
      <c r="FN129" s="226"/>
      <c r="FO129" s="226"/>
      <c r="FP129" s="226"/>
      <c r="FQ129" s="226"/>
      <c r="FR129" s="226"/>
      <c r="FS129" s="226"/>
      <c r="FT129" s="226"/>
      <c r="FU129" s="226"/>
      <c r="FV129" s="226"/>
      <c r="FW129" s="226"/>
      <c r="FX129" s="226"/>
      <c r="FY129" s="226"/>
      <c r="FZ129" s="226"/>
      <c r="GA129" s="226"/>
      <c r="GB129" s="226"/>
      <c r="GC129" s="226"/>
      <c r="GD129" s="226"/>
      <c r="GE129" s="226"/>
      <c r="GF129" s="226"/>
      <c r="GG129" s="226"/>
    </row>
    <row r="130" spans="1:189" s="225" customFormat="1" ht="15.95" customHeight="1">
      <c r="A130" s="432" t="e">
        <f>+#REF!</f>
        <v>#REF!</v>
      </c>
      <c r="B130" s="223" t="e">
        <f>+#REF!</f>
        <v>#REF!</v>
      </c>
      <c r="C130" s="224"/>
      <c r="D130" s="200"/>
      <c r="E130" s="109"/>
      <c r="F130" s="63"/>
      <c r="H130" s="259"/>
      <c r="I130" s="265"/>
      <c r="J130" s="259"/>
      <c r="K130" s="226"/>
      <c r="L130" s="226"/>
      <c r="M130" s="226"/>
      <c r="N130" s="226"/>
      <c r="O130" s="226"/>
      <c r="P130" s="226"/>
      <c r="Q130" s="226"/>
      <c r="R130" s="226"/>
      <c r="S130" s="226"/>
      <c r="T130" s="226"/>
      <c r="U130" s="226"/>
      <c r="V130" s="226"/>
      <c r="W130" s="226"/>
      <c r="X130" s="226"/>
      <c r="Y130" s="226"/>
      <c r="Z130" s="226"/>
      <c r="AA130" s="226"/>
      <c r="AB130" s="226"/>
      <c r="AC130" s="226"/>
      <c r="AD130" s="226"/>
      <c r="AE130" s="226"/>
      <c r="AF130" s="226"/>
      <c r="AG130" s="226"/>
      <c r="AH130" s="226"/>
      <c r="AI130" s="226"/>
      <c r="AJ130" s="226"/>
      <c r="AK130" s="226"/>
      <c r="AL130" s="226"/>
      <c r="AM130" s="226"/>
      <c r="AN130" s="226"/>
      <c r="AO130" s="226"/>
      <c r="AP130" s="226"/>
      <c r="AQ130" s="226"/>
      <c r="AR130" s="226"/>
      <c r="AS130" s="226"/>
      <c r="AT130" s="226"/>
      <c r="AU130" s="226"/>
      <c r="AV130" s="226"/>
      <c r="AW130" s="226"/>
      <c r="AX130" s="226"/>
      <c r="AY130" s="226"/>
      <c r="AZ130" s="226"/>
      <c r="BA130" s="226"/>
      <c r="BB130" s="226"/>
      <c r="BC130" s="226"/>
      <c r="BD130" s="226"/>
      <c r="BE130" s="226"/>
      <c r="BF130" s="226"/>
      <c r="BG130" s="226"/>
      <c r="BH130" s="226"/>
      <c r="BI130" s="226"/>
      <c r="BJ130" s="226"/>
      <c r="BK130" s="226"/>
      <c r="BL130" s="226"/>
      <c r="BM130" s="226"/>
      <c r="BN130" s="226"/>
      <c r="BO130" s="226"/>
      <c r="BP130" s="226"/>
      <c r="BQ130" s="226"/>
      <c r="BR130" s="226"/>
      <c r="BS130" s="226"/>
      <c r="BT130" s="226"/>
      <c r="BU130" s="226"/>
      <c r="BV130" s="226"/>
      <c r="BW130" s="226"/>
      <c r="BX130" s="226"/>
      <c r="BY130" s="226"/>
      <c r="BZ130" s="226"/>
      <c r="CA130" s="226"/>
      <c r="CB130" s="226"/>
      <c r="CC130" s="226"/>
      <c r="CD130" s="226"/>
      <c r="CE130" s="226"/>
      <c r="CF130" s="226"/>
      <c r="CG130" s="226"/>
      <c r="CH130" s="226"/>
      <c r="CI130" s="226"/>
      <c r="CJ130" s="226"/>
      <c r="CK130" s="226"/>
      <c r="CL130" s="226"/>
      <c r="CM130" s="226"/>
      <c r="CN130" s="226"/>
      <c r="CO130" s="226"/>
      <c r="CP130" s="226"/>
      <c r="CQ130" s="226"/>
      <c r="CR130" s="226"/>
      <c r="CS130" s="226"/>
      <c r="CT130" s="226"/>
      <c r="CU130" s="226"/>
      <c r="CV130" s="226"/>
      <c r="CW130" s="226"/>
      <c r="CX130" s="226"/>
      <c r="CY130" s="226"/>
      <c r="CZ130" s="226"/>
      <c r="DA130" s="226"/>
      <c r="DB130" s="226"/>
      <c r="DC130" s="226"/>
      <c r="DD130" s="226"/>
      <c r="DE130" s="226"/>
      <c r="DF130" s="226"/>
      <c r="DG130" s="226"/>
      <c r="DH130" s="226"/>
      <c r="DI130" s="226"/>
      <c r="DJ130" s="226"/>
      <c r="DK130" s="226"/>
      <c r="DL130" s="226"/>
      <c r="DM130" s="226"/>
      <c r="DN130" s="226"/>
      <c r="DO130" s="226"/>
      <c r="DP130" s="226"/>
      <c r="DQ130" s="226"/>
      <c r="DR130" s="226"/>
      <c r="DS130" s="226"/>
      <c r="DT130" s="226"/>
      <c r="DU130" s="226"/>
      <c r="DV130" s="226"/>
      <c r="DW130" s="226"/>
      <c r="DX130" s="226"/>
      <c r="DY130" s="226"/>
      <c r="DZ130" s="226"/>
      <c r="EA130" s="226"/>
      <c r="EB130" s="226"/>
      <c r="EC130" s="226"/>
      <c r="ED130" s="226"/>
      <c r="EE130" s="226"/>
      <c r="EF130" s="226"/>
      <c r="EG130" s="226"/>
      <c r="EH130" s="226"/>
      <c r="EI130" s="226"/>
      <c r="EJ130" s="226"/>
      <c r="EK130" s="226"/>
      <c r="EL130" s="226"/>
      <c r="EM130" s="226"/>
      <c r="EN130" s="226"/>
      <c r="EO130" s="226"/>
      <c r="EP130" s="226"/>
      <c r="EQ130" s="226"/>
      <c r="ER130" s="226"/>
      <c r="ES130" s="226"/>
      <c r="ET130" s="226"/>
      <c r="EU130" s="226"/>
      <c r="EV130" s="226"/>
      <c r="EW130" s="226"/>
      <c r="EX130" s="226"/>
      <c r="EY130" s="226"/>
      <c r="EZ130" s="226"/>
      <c r="FA130" s="226"/>
      <c r="FB130" s="226"/>
      <c r="FC130" s="226"/>
      <c r="FD130" s="226"/>
      <c r="FE130" s="226"/>
      <c r="FF130" s="226"/>
      <c r="FG130" s="226"/>
      <c r="FH130" s="226"/>
      <c r="FI130" s="226"/>
      <c r="FJ130" s="226"/>
      <c r="FK130" s="226"/>
      <c r="FL130" s="226"/>
      <c r="FM130" s="226"/>
      <c r="FN130" s="226"/>
      <c r="FO130" s="226"/>
      <c r="FP130" s="226"/>
      <c r="FQ130" s="226"/>
      <c r="FR130" s="226"/>
      <c r="FS130" s="226"/>
      <c r="FT130" s="226"/>
      <c r="FU130" s="226"/>
      <c r="FV130" s="226"/>
      <c r="FW130" s="226"/>
      <c r="FX130" s="226"/>
      <c r="FY130" s="226"/>
      <c r="FZ130" s="226"/>
      <c r="GA130" s="226"/>
      <c r="GB130" s="226"/>
      <c r="GC130" s="226"/>
      <c r="GD130" s="226"/>
      <c r="GE130" s="226"/>
      <c r="GF130" s="226"/>
      <c r="GG130" s="226"/>
    </row>
    <row r="131" spans="1:189" s="225" customFormat="1" ht="30" customHeight="1">
      <c r="A131" s="448" t="e">
        <f>+#REF!</f>
        <v>#REF!</v>
      </c>
      <c r="B131" s="231" t="e">
        <f>+#REF!</f>
        <v>#REF!</v>
      </c>
      <c r="C131" s="228" t="s">
        <v>1</v>
      </c>
      <c r="D131" s="138">
        <f>J131</f>
        <v>26.966000000000005</v>
      </c>
      <c r="E131" s="108" t="e">
        <f>#REF!</f>
        <v>#REF!</v>
      </c>
      <c r="F131" s="65" t="e">
        <f>+D131*E131</f>
        <v>#REF!</v>
      </c>
      <c r="H131" s="259">
        <f>SUM(D122:D123)/50+5</f>
        <v>26.966000000000005</v>
      </c>
      <c r="I131" s="265">
        <v>1</v>
      </c>
      <c r="J131" s="259">
        <f>H131*I131</f>
        <v>26.966000000000005</v>
      </c>
      <c r="K131" s="226"/>
      <c r="L131" s="226"/>
      <c r="M131" s="226"/>
      <c r="N131" s="226"/>
      <c r="O131" s="226"/>
      <c r="P131" s="226"/>
      <c r="Q131" s="226"/>
      <c r="R131" s="226"/>
      <c r="S131" s="226"/>
      <c r="T131" s="226"/>
      <c r="U131" s="226"/>
      <c r="V131" s="226"/>
      <c r="W131" s="226"/>
      <c r="X131" s="226"/>
      <c r="Y131" s="226"/>
      <c r="Z131" s="226"/>
      <c r="AA131" s="226"/>
      <c r="AB131" s="226"/>
      <c r="AC131" s="226"/>
      <c r="AD131" s="226"/>
      <c r="AE131" s="226"/>
      <c r="AF131" s="226"/>
      <c r="AG131" s="226"/>
      <c r="AH131" s="226"/>
      <c r="AI131" s="226"/>
      <c r="AJ131" s="226"/>
      <c r="AK131" s="226"/>
      <c r="AL131" s="226"/>
      <c r="AM131" s="226"/>
      <c r="AN131" s="226"/>
      <c r="AO131" s="226"/>
      <c r="AP131" s="226"/>
      <c r="AQ131" s="226"/>
      <c r="AR131" s="226"/>
      <c r="AS131" s="226"/>
      <c r="AT131" s="226"/>
      <c r="AU131" s="226"/>
      <c r="AV131" s="226"/>
      <c r="AW131" s="226"/>
      <c r="AX131" s="226"/>
      <c r="AY131" s="226"/>
      <c r="AZ131" s="226"/>
      <c r="BA131" s="226"/>
      <c r="BB131" s="226"/>
      <c r="BC131" s="226"/>
      <c r="BD131" s="226"/>
      <c r="BE131" s="226"/>
      <c r="BF131" s="226"/>
      <c r="BG131" s="226"/>
      <c r="BH131" s="226"/>
      <c r="BI131" s="226"/>
      <c r="BJ131" s="226"/>
      <c r="BK131" s="226"/>
      <c r="BL131" s="226"/>
      <c r="BM131" s="226"/>
      <c r="BN131" s="226"/>
      <c r="BO131" s="226"/>
      <c r="BP131" s="226"/>
      <c r="BQ131" s="226"/>
      <c r="BR131" s="226"/>
      <c r="BS131" s="226"/>
      <c r="BT131" s="226"/>
      <c r="BU131" s="226"/>
      <c r="BV131" s="226"/>
      <c r="BW131" s="226"/>
      <c r="BX131" s="226"/>
      <c r="BY131" s="226"/>
      <c r="BZ131" s="226"/>
      <c r="CA131" s="226"/>
      <c r="CB131" s="226"/>
      <c r="CC131" s="226"/>
      <c r="CD131" s="226"/>
      <c r="CE131" s="226"/>
      <c r="CF131" s="226"/>
      <c r="CG131" s="226"/>
      <c r="CH131" s="226"/>
      <c r="CI131" s="226"/>
      <c r="CJ131" s="226"/>
      <c r="CK131" s="226"/>
      <c r="CL131" s="226"/>
      <c r="CM131" s="226"/>
      <c r="CN131" s="226"/>
      <c r="CO131" s="226"/>
      <c r="CP131" s="226"/>
      <c r="CQ131" s="226"/>
      <c r="CR131" s="226"/>
      <c r="CS131" s="226"/>
      <c r="CT131" s="226"/>
      <c r="CU131" s="226"/>
      <c r="CV131" s="226"/>
      <c r="CW131" s="226"/>
      <c r="CX131" s="226"/>
      <c r="CY131" s="226"/>
      <c r="CZ131" s="226"/>
      <c r="DA131" s="226"/>
      <c r="DB131" s="226"/>
      <c r="DC131" s="226"/>
      <c r="DD131" s="226"/>
      <c r="DE131" s="226"/>
      <c r="DF131" s="226"/>
      <c r="DG131" s="226"/>
      <c r="DH131" s="226"/>
      <c r="DI131" s="226"/>
      <c r="DJ131" s="226"/>
      <c r="DK131" s="226"/>
      <c r="DL131" s="226"/>
      <c r="DM131" s="226"/>
      <c r="DN131" s="226"/>
      <c r="DO131" s="226"/>
      <c r="DP131" s="226"/>
      <c r="DQ131" s="226"/>
      <c r="DR131" s="226"/>
      <c r="DS131" s="226"/>
      <c r="DT131" s="226"/>
      <c r="DU131" s="226"/>
      <c r="DV131" s="226"/>
      <c r="DW131" s="226"/>
      <c r="DX131" s="226"/>
      <c r="DY131" s="226"/>
      <c r="DZ131" s="226"/>
      <c r="EA131" s="226"/>
      <c r="EB131" s="226"/>
      <c r="EC131" s="226"/>
      <c r="ED131" s="226"/>
      <c r="EE131" s="226"/>
      <c r="EF131" s="226"/>
      <c r="EG131" s="226"/>
      <c r="EH131" s="226"/>
      <c r="EI131" s="226"/>
      <c r="EJ131" s="226"/>
      <c r="EK131" s="226"/>
      <c r="EL131" s="226"/>
      <c r="EM131" s="226"/>
      <c r="EN131" s="226"/>
      <c r="EO131" s="226"/>
      <c r="EP131" s="226"/>
      <c r="EQ131" s="226"/>
      <c r="ER131" s="226"/>
      <c r="ES131" s="226"/>
      <c r="ET131" s="226"/>
      <c r="EU131" s="226"/>
      <c r="EV131" s="226"/>
      <c r="EW131" s="226"/>
      <c r="EX131" s="226"/>
      <c r="EY131" s="226"/>
      <c r="EZ131" s="226"/>
      <c r="FA131" s="226"/>
      <c r="FB131" s="226"/>
      <c r="FC131" s="226"/>
      <c r="FD131" s="226"/>
      <c r="FE131" s="226"/>
      <c r="FF131" s="226"/>
      <c r="FG131" s="226"/>
      <c r="FH131" s="226"/>
      <c r="FI131" s="226"/>
      <c r="FJ131" s="226"/>
      <c r="FK131" s="226"/>
      <c r="FL131" s="226"/>
      <c r="FM131" s="226"/>
      <c r="FN131" s="226"/>
      <c r="FO131" s="226"/>
      <c r="FP131" s="226"/>
      <c r="FQ131" s="226"/>
      <c r="FR131" s="226"/>
      <c r="FS131" s="226"/>
      <c r="FT131" s="226"/>
      <c r="FU131" s="226"/>
      <c r="FV131" s="226"/>
      <c r="FW131" s="226"/>
      <c r="FX131" s="226"/>
      <c r="FY131" s="226"/>
      <c r="FZ131" s="226"/>
      <c r="GA131" s="226"/>
      <c r="GB131" s="226"/>
      <c r="GC131" s="226"/>
      <c r="GD131" s="226"/>
      <c r="GE131" s="226"/>
      <c r="GF131" s="226"/>
      <c r="GG131" s="226"/>
    </row>
    <row r="132" spans="1:189" s="225" customFormat="1" ht="15.95" customHeight="1">
      <c r="A132" s="448" t="e">
        <f>+#REF!</f>
        <v>#REF!</v>
      </c>
      <c r="B132" s="231" t="e">
        <f>+#REF!</f>
        <v>#REF!</v>
      </c>
      <c r="C132" s="228" t="s">
        <v>27</v>
      </c>
      <c r="D132" s="138">
        <f>J132</f>
        <v>132</v>
      </c>
      <c r="E132" s="108" t="e">
        <f>#REF!</f>
        <v>#REF!</v>
      </c>
      <c r="F132" s="65" t="e">
        <f>+D132*E132</f>
        <v>#REF!</v>
      </c>
      <c r="H132" s="259">
        <f>H120/12</f>
        <v>120</v>
      </c>
      <c r="I132" s="265">
        <v>1.1000000000000001</v>
      </c>
      <c r="J132" s="259">
        <f>H132*I132</f>
        <v>132</v>
      </c>
      <c r="K132" s="226"/>
      <c r="L132" s="226"/>
      <c r="M132" s="226"/>
      <c r="N132" s="226"/>
      <c r="O132" s="226"/>
      <c r="P132" s="226"/>
      <c r="Q132" s="226"/>
      <c r="R132" s="226"/>
      <c r="S132" s="226"/>
      <c r="T132" s="226"/>
      <c r="U132" s="226"/>
      <c r="V132" s="226"/>
      <c r="W132" s="226"/>
      <c r="X132" s="226"/>
      <c r="Y132" s="226"/>
      <c r="Z132" s="226"/>
      <c r="AA132" s="226"/>
      <c r="AB132" s="226"/>
      <c r="AC132" s="226"/>
      <c r="AD132" s="226"/>
      <c r="AE132" s="226"/>
      <c r="AF132" s="226"/>
      <c r="AG132" s="226"/>
      <c r="AH132" s="226"/>
      <c r="AI132" s="226"/>
      <c r="AJ132" s="226"/>
      <c r="AK132" s="226"/>
      <c r="AL132" s="226"/>
      <c r="AM132" s="226"/>
      <c r="AN132" s="226"/>
      <c r="AO132" s="226"/>
      <c r="AP132" s="226"/>
      <c r="AQ132" s="226"/>
      <c r="AR132" s="226"/>
      <c r="AS132" s="226"/>
      <c r="AT132" s="226"/>
      <c r="AU132" s="226"/>
      <c r="AV132" s="226"/>
      <c r="AW132" s="226"/>
      <c r="AX132" s="226"/>
      <c r="AY132" s="226"/>
      <c r="AZ132" s="226"/>
      <c r="BA132" s="226"/>
      <c r="BB132" s="226"/>
      <c r="BC132" s="226"/>
      <c r="BD132" s="226"/>
      <c r="BE132" s="226"/>
      <c r="BF132" s="226"/>
      <c r="BG132" s="226"/>
      <c r="BH132" s="226"/>
      <c r="BI132" s="226"/>
      <c r="BJ132" s="226"/>
      <c r="BK132" s="226"/>
      <c r="BL132" s="226"/>
      <c r="BM132" s="226"/>
      <c r="BN132" s="226"/>
      <c r="BO132" s="226"/>
      <c r="BP132" s="226"/>
      <c r="BQ132" s="226"/>
      <c r="BR132" s="226"/>
      <c r="BS132" s="226"/>
      <c r="BT132" s="226"/>
      <c r="BU132" s="226"/>
      <c r="BV132" s="226"/>
      <c r="BW132" s="226"/>
      <c r="BX132" s="226"/>
      <c r="BY132" s="226"/>
      <c r="BZ132" s="226"/>
      <c r="CA132" s="226"/>
      <c r="CB132" s="226"/>
      <c r="CC132" s="226"/>
      <c r="CD132" s="226"/>
      <c r="CE132" s="226"/>
      <c r="CF132" s="226"/>
      <c r="CG132" s="226"/>
      <c r="CH132" s="226"/>
      <c r="CI132" s="226"/>
      <c r="CJ132" s="226"/>
      <c r="CK132" s="226"/>
      <c r="CL132" s="226"/>
      <c r="CM132" s="226"/>
      <c r="CN132" s="226"/>
      <c r="CO132" s="226"/>
      <c r="CP132" s="226"/>
      <c r="CQ132" s="226"/>
      <c r="CR132" s="226"/>
      <c r="CS132" s="226"/>
      <c r="CT132" s="226"/>
      <c r="CU132" s="226"/>
      <c r="CV132" s="226"/>
      <c r="CW132" s="226"/>
      <c r="CX132" s="226"/>
      <c r="CY132" s="226"/>
      <c r="CZ132" s="226"/>
      <c r="DA132" s="226"/>
      <c r="DB132" s="226"/>
      <c r="DC132" s="226"/>
      <c r="DD132" s="226"/>
      <c r="DE132" s="226"/>
      <c r="DF132" s="226"/>
      <c r="DG132" s="226"/>
      <c r="DH132" s="226"/>
      <c r="DI132" s="226"/>
      <c r="DJ132" s="226"/>
      <c r="DK132" s="226"/>
      <c r="DL132" s="226"/>
      <c r="DM132" s="226"/>
      <c r="DN132" s="226"/>
      <c r="DO132" s="226"/>
      <c r="DP132" s="226"/>
      <c r="DQ132" s="226"/>
      <c r="DR132" s="226"/>
      <c r="DS132" s="226"/>
      <c r="DT132" s="226"/>
      <c r="DU132" s="226"/>
      <c r="DV132" s="226"/>
      <c r="DW132" s="226"/>
      <c r="DX132" s="226"/>
      <c r="DY132" s="226"/>
      <c r="DZ132" s="226"/>
      <c r="EA132" s="226"/>
      <c r="EB132" s="226"/>
      <c r="EC132" s="226"/>
      <c r="ED132" s="226"/>
      <c r="EE132" s="226"/>
      <c r="EF132" s="226"/>
      <c r="EG132" s="226"/>
      <c r="EH132" s="226"/>
      <c r="EI132" s="226"/>
      <c r="EJ132" s="226"/>
      <c r="EK132" s="226"/>
      <c r="EL132" s="226"/>
      <c r="EM132" s="226"/>
      <c r="EN132" s="226"/>
      <c r="EO132" s="226"/>
      <c r="EP132" s="226"/>
      <c r="EQ132" s="226"/>
      <c r="ER132" s="226"/>
      <c r="ES132" s="226"/>
      <c r="ET132" s="226"/>
      <c r="EU132" s="226"/>
      <c r="EV132" s="226"/>
      <c r="EW132" s="226"/>
      <c r="EX132" s="226"/>
      <c r="EY132" s="226"/>
      <c r="EZ132" s="226"/>
      <c r="FA132" s="226"/>
      <c r="FB132" s="226"/>
      <c r="FC132" s="226"/>
      <c r="FD132" s="226"/>
      <c r="FE132" s="226"/>
      <c r="FF132" s="226"/>
      <c r="FG132" s="226"/>
      <c r="FH132" s="226"/>
      <c r="FI132" s="226"/>
      <c r="FJ132" s="226"/>
      <c r="FK132" s="226"/>
      <c r="FL132" s="226"/>
      <c r="FM132" s="226"/>
      <c r="FN132" s="226"/>
      <c r="FO132" s="226"/>
      <c r="FP132" s="226"/>
      <c r="FQ132" s="226"/>
      <c r="FR132" s="226"/>
      <c r="FS132" s="226"/>
      <c r="FT132" s="226"/>
      <c r="FU132" s="226"/>
      <c r="FV132" s="226"/>
      <c r="FW132" s="226"/>
      <c r="FX132" s="226"/>
      <c r="FY132" s="226"/>
      <c r="FZ132" s="226"/>
      <c r="GA132" s="226"/>
      <c r="GB132" s="226"/>
      <c r="GC132" s="226"/>
      <c r="GD132" s="226"/>
      <c r="GE132" s="226"/>
      <c r="GF132" s="226"/>
      <c r="GG132" s="226"/>
    </row>
    <row r="133" spans="1:189" s="225" customFormat="1" ht="18" customHeight="1">
      <c r="A133" s="17"/>
      <c r="B133" s="230"/>
      <c r="C133" s="228"/>
      <c r="D133" s="138"/>
      <c r="E133" s="108"/>
      <c r="F133" s="65"/>
      <c r="H133" s="259"/>
      <c r="I133" s="265"/>
      <c r="J133" s="259"/>
      <c r="K133" s="226"/>
      <c r="L133" s="226"/>
      <c r="M133" s="226"/>
      <c r="N133" s="226"/>
      <c r="O133" s="226"/>
      <c r="P133" s="226"/>
      <c r="Q133" s="226"/>
      <c r="R133" s="226"/>
      <c r="S133" s="226"/>
      <c r="T133" s="226"/>
      <c r="U133" s="226"/>
      <c r="V133" s="226"/>
      <c r="W133" s="226"/>
      <c r="X133" s="226"/>
      <c r="Y133" s="226"/>
      <c r="Z133" s="226"/>
      <c r="AA133" s="226"/>
      <c r="AB133" s="226"/>
      <c r="AC133" s="226"/>
      <c r="AD133" s="226"/>
      <c r="AE133" s="226"/>
      <c r="AF133" s="226"/>
      <c r="AG133" s="226"/>
      <c r="AH133" s="226"/>
      <c r="AI133" s="226"/>
      <c r="AJ133" s="226"/>
      <c r="AK133" s="226"/>
      <c r="AL133" s="226"/>
      <c r="AM133" s="226"/>
      <c r="AN133" s="226"/>
      <c r="AO133" s="226"/>
      <c r="AP133" s="226"/>
      <c r="AQ133" s="226"/>
      <c r="AR133" s="226"/>
      <c r="AS133" s="226"/>
      <c r="AT133" s="226"/>
      <c r="AU133" s="226"/>
      <c r="AV133" s="226"/>
      <c r="AW133" s="226"/>
      <c r="AX133" s="226"/>
      <c r="AY133" s="226"/>
      <c r="AZ133" s="226"/>
      <c r="BA133" s="226"/>
      <c r="BB133" s="226"/>
      <c r="BC133" s="226"/>
      <c r="BD133" s="226"/>
      <c r="BE133" s="226"/>
      <c r="BF133" s="226"/>
      <c r="BG133" s="226"/>
      <c r="BH133" s="226"/>
      <c r="BI133" s="226"/>
      <c r="BJ133" s="226"/>
      <c r="BK133" s="226"/>
      <c r="BL133" s="226"/>
      <c r="BM133" s="226"/>
      <c r="BN133" s="226"/>
      <c r="BO133" s="226"/>
      <c r="BP133" s="226"/>
      <c r="BQ133" s="226"/>
      <c r="BR133" s="226"/>
      <c r="BS133" s="226"/>
      <c r="BT133" s="226"/>
      <c r="BU133" s="226"/>
      <c r="BV133" s="226"/>
      <c r="BW133" s="226"/>
      <c r="BX133" s="226"/>
      <c r="BY133" s="226"/>
      <c r="BZ133" s="226"/>
      <c r="CA133" s="226"/>
      <c r="CB133" s="226"/>
      <c r="CC133" s="226"/>
      <c r="CD133" s="226"/>
      <c r="CE133" s="226"/>
      <c r="CF133" s="226"/>
      <c r="CG133" s="226"/>
      <c r="CH133" s="226"/>
      <c r="CI133" s="226"/>
      <c r="CJ133" s="226"/>
      <c r="CK133" s="226"/>
      <c r="CL133" s="226"/>
      <c r="CM133" s="226"/>
      <c r="CN133" s="226"/>
      <c r="CO133" s="226"/>
      <c r="CP133" s="226"/>
      <c r="CQ133" s="226"/>
      <c r="CR133" s="226"/>
      <c r="CS133" s="226"/>
      <c r="CT133" s="226"/>
      <c r="CU133" s="226"/>
      <c r="CV133" s="226"/>
      <c r="CW133" s="226"/>
      <c r="CX133" s="226"/>
      <c r="CY133" s="226"/>
      <c r="CZ133" s="226"/>
      <c r="DA133" s="226"/>
      <c r="DB133" s="226"/>
      <c r="DC133" s="226"/>
      <c r="DD133" s="226"/>
      <c r="DE133" s="226"/>
      <c r="DF133" s="226"/>
      <c r="DG133" s="226"/>
      <c r="DH133" s="226"/>
      <c r="DI133" s="226"/>
      <c r="DJ133" s="226"/>
      <c r="DK133" s="226"/>
      <c r="DL133" s="226"/>
      <c r="DM133" s="226"/>
      <c r="DN133" s="226"/>
      <c r="DO133" s="226"/>
      <c r="DP133" s="226"/>
      <c r="DQ133" s="226"/>
      <c r="DR133" s="226"/>
      <c r="DS133" s="226"/>
      <c r="DT133" s="226"/>
      <c r="DU133" s="226"/>
      <c r="DV133" s="226"/>
      <c r="DW133" s="226"/>
      <c r="DX133" s="226"/>
      <c r="DY133" s="226"/>
      <c r="DZ133" s="226"/>
      <c r="EA133" s="226"/>
      <c r="EB133" s="226"/>
      <c r="EC133" s="226"/>
      <c r="ED133" s="226"/>
      <c r="EE133" s="226"/>
      <c r="EF133" s="226"/>
      <c r="EG133" s="226"/>
      <c r="EH133" s="226"/>
      <c r="EI133" s="226"/>
      <c r="EJ133" s="226"/>
      <c r="EK133" s="226"/>
      <c r="EL133" s="226"/>
      <c r="EM133" s="226"/>
      <c r="EN133" s="226"/>
      <c r="EO133" s="226"/>
      <c r="EP133" s="226"/>
      <c r="EQ133" s="226"/>
      <c r="ER133" s="226"/>
      <c r="ES133" s="226"/>
      <c r="ET133" s="226"/>
      <c r="EU133" s="226"/>
      <c r="EV133" s="226"/>
      <c r="EW133" s="226"/>
      <c r="EX133" s="226"/>
      <c r="EY133" s="226"/>
      <c r="EZ133" s="226"/>
      <c r="FA133" s="226"/>
      <c r="FB133" s="226"/>
      <c r="FC133" s="226"/>
      <c r="FD133" s="226"/>
      <c r="FE133" s="226"/>
      <c r="FF133" s="226"/>
      <c r="FG133" s="226"/>
      <c r="FH133" s="226"/>
      <c r="FI133" s="226"/>
      <c r="FJ133" s="226"/>
      <c r="FK133" s="226"/>
      <c r="FL133" s="226"/>
      <c r="FM133" s="226"/>
      <c r="FN133" s="226"/>
      <c r="FO133" s="226"/>
      <c r="FP133" s="226"/>
      <c r="FQ133" s="226"/>
      <c r="FR133" s="226"/>
      <c r="FS133" s="226"/>
      <c r="FT133" s="226"/>
      <c r="FU133" s="226"/>
      <c r="FV133" s="226"/>
      <c r="FW133" s="226"/>
      <c r="FX133" s="226"/>
      <c r="FY133" s="226"/>
      <c r="FZ133" s="226"/>
      <c r="GA133" s="226"/>
      <c r="GB133" s="226"/>
      <c r="GC133" s="226"/>
      <c r="GD133" s="226"/>
      <c r="GE133" s="226"/>
      <c r="GF133" s="226"/>
      <c r="GG133" s="226"/>
    </row>
    <row r="134" spans="1:189" s="225" customFormat="1" ht="16.5" customHeight="1">
      <c r="A134" s="141">
        <v>515</v>
      </c>
      <c r="B134" s="43" t="s">
        <v>148</v>
      </c>
      <c r="C134" s="248"/>
      <c r="D134" s="249"/>
      <c r="E134" s="109"/>
      <c r="F134" s="63"/>
      <c r="H134" s="259"/>
      <c r="I134" s="265"/>
      <c r="J134" s="259"/>
      <c r="K134" s="226"/>
      <c r="L134" s="226"/>
      <c r="M134" s="226"/>
      <c r="N134" s="226"/>
      <c r="O134" s="226"/>
      <c r="P134" s="226"/>
      <c r="Q134" s="226"/>
      <c r="R134" s="226"/>
      <c r="S134" s="226"/>
      <c r="T134" s="226"/>
      <c r="U134" s="226"/>
      <c r="V134" s="226"/>
      <c r="W134" s="226"/>
      <c r="X134" s="226"/>
      <c r="Y134" s="226"/>
      <c r="Z134" s="226"/>
      <c r="AA134" s="226"/>
      <c r="AB134" s="226"/>
      <c r="AC134" s="226"/>
      <c r="AD134" s="226"/>
      <c r="AE134" s="226"/>
      <c r="AF134" s="226"/>
      <c r="AG134" s="226"/>
      <c r="AH134" s="226"/>
      <c r="AI134" s="226"/>
      <c r="AJ134" s="226"/>
      <c r="AK134" s="226"/>
      <c r="AL134" s="226"/>
      <c r="AM134" s="226"/>
      <c r="AN134" s="226"/>
      <c r="AO134" s="226"/>
      <c r="AP134" s="226"/>
      <c r="AQ134" s="226"/>
      <c r="AR134" s="226"/>
      <c r="AS134" s="226"/>
      <c r="AT134" s="226"/>
      <c r="AU134" s="226"/>
      <c r="AV134" s="226"/>
      <c r="AW134" s="226"/>
      <c r="AX134" s="226"/>
      <c r="AY134" s="226"/>
      <c r="AZ134" s="226"/>
      <c r="BA134" s="226"/>
      <c r="BB134" s="226"/>
      <c r="BC134" s="226"/>
      <c r="BD134" s="226"/>
      <c r="BE134" s="226"/>
      <c r="BF134" s="226"/>
      <c r="BG134" s="226"/>
      <c r="BH134" s="226"/>
      <c r="BI134" s="226"/>
      <c r="BJ134" s="226"/>
      <c r="BK134" s="226"/>
      <c r="BL134" s="226"/>
      <c r="BM134" s="226"/>
      <c r="BN134" s="226"/>
      <c r="BO134" s="226"/>
      <c r="BP134" s="226"/>
      <c r="BQ134" s="226"/>
      <c r="BR134" s="226"/>
      <c r="BS134" s="226"/>
      <c r="BT134" s="226"/>
      <c r="BU134" s="226"/>
      <c r="BV134" s="226"/>
      <c r="BW134" s="226"/>
      <c r="BX134" s="226"/>
      <c r="BY134" s="226"/>
      <c r="BZ134" s="226"/>
      <c r="CA134" s="226"/>
      <c r="CB134" s="226"/>
      <c r="CC134" s="226"/>
      <c r="CD134" s="226"/>
      <c r="CE134" s="226"/>
      <c r="CF134" s="226"/>
      <c r="CG134" s="226"/>
      <c r="CH134" s="226"/>
      <c r="CI134" s="226"/>
      <c r="CJ134" s="226"/>
      <c r="CK134" s="226"/>
      <c r="CL134" s="226"/>
      <c r="CM134" s="226"/>
      <c r="CN134" s="226"/>
      <c r="CO134" s="226"/>
      <c r="CP134" s="226"/>
      <c r="CQ134" s="226"/>
      <c r="CR134" s="226"/>
      <c r="CS134" s="226"/>
      <c r="CT134" s="226"/>
      <c r="CU134" s="226"/>
      <c r="CV134" s="226"/>
      <c r="CW134" s="226"/>
      <c r="CX134" s="226"/>
      <c r="CY134" s="226"/>
      <c r="CZ134" s="226"/>
      <c r="DA134" s="226"/>
      <c r="DB134" s="226"/>
      <c r="DC134" s="226"/>
      <c r="DD134" s="226"/>
      <c r="DE134" s="226"/>
      <c r="DF134" s="226"/>
      <c r="DG134" s="226"/>
      <c r="DH134" s="226"/>
      <c r="DI134" s="226"/>
      <c r="DJ134" s="226"/>
      <c r="DK134" s="226"/>
      <c r="DL134" s="226"/>
      <c r="DM134" s="226"/>
      <c r="DN134" s="226"/>
      <c r="DO134" s="226"/>
      <c r="DP134" s="226"/>
      <c r="DQ134" s="226"/>
      <c r="DR134" s="226"/>
      <c r="DS134" s="226"/>
      <c r="DT134" s="226"/>
      <c r="DU134" s="226"/>
      <c r="DV134" s="226"/>
      <c r="DW134" s="226"/>
      <c r="DX134" s="226"/>
      <c r="DY134" s="226"/>
      <c r="DZ134" s="226"/>
      <c r="EA134" s="226"/>
      <c r="EB134" s="226"/>
      <c r="EC134" s="226"/>
      <c r="ED134" s="226"/>
      <c r="EE134" s="226"/>
      <c r="EF134" s="226"/>
      <c r="EG134" s="226"/>
      <c r="EH134" s="226"/>
      <c r="EI134" s="226"/>
      <c r="EJ134" s="226"/>
      <c r="EK134" s="226"/>
      <c r="EL134" s="226"/>
      <c r="EM134" s="226"/>
      <c r="EN134" s="226"/>
      <c r="EO134" s="226"/>
      <c r="EP134" s="226"/>
      <c r="EQ134" s="226"/>
      <c r="ER134" s="226"/>
      <c r="ES134" s="226"/>
      <c r="ET134" s="226"/>
      <c r="EU134" s="226"/>
      <c r="EV134" s="226"/>
      <c r="EW134" s="226"/>
      <c r="EX134" s="226"/>
      <c r="EY134" s="226"/>
      <c r="EZ134" s="226"/>
      <c r="FA134" s="226"/>
      <c r="FB134" s="226"/>
      <c r="FC134" s="226"/>
      <c r="FD134" s="226"/>
      <c r="FE134" s="226"/>
      <c r="FF134" s="226"/>
      <c r="FG134" s="226"/>
      <c r="FH134" s="226"/>
      <c r="FI134" s="226"/>
      <c r="FJ134" s="226"/>
      <c r="FK134" s="226"/>
      <c r="FL134" s="226"/>
      <c r="FM134" s="226"/>
      <c r="FN134" s="226"/>
      <c r="FO134" s="226"/>
      <c r="FP134" s="226"/>
      <c r="FQ134" s="226"/>
      <c r="FR134" s="226"/>
      <c r="FS134" s="226"/>
      <c r="FT134" s="226"/>
      <c r="FU134" s="226"/>
      <c r="FV134" s="226"/>
      <c r="FW134" s="226"/>
      <c r="FX134" s="226"/>
      <c r="FY134" s="226"/>
      <c r="FZ134" s="226"/>
      <c r="GA134" s="226"/>
      <c r="GB134" s="226"/>
      <c r="GC134" s="226"/>
      <c r="GD134" s="226"/>
      <c r="GE134" s="226"/>
      <c r="GF134" s="226"/>
      <c r="GG134" s="226"/>
    </row>
    <row r="135" spans="1:189" s="225" customFormat="1" ht="15.95" customHeight="1">
      <c r="A135" s="143" t="s">
        <v>150</v>
      </c>
      <c r="B135" s="242" t="s">
        <v>221</v>
      </c>
      <c r="C135" s="251" t="s">
        <v>27</v>
      </c>
      <c r="D135" s="82">
        <f>J135</f>
        <v>0</v>
      </c>
      <c r="E135" s="107" t="e">
        <f>#REF!</f>
        <v>#REF!</v>
      </c>
      <c r="F135" s="64" t="e">
        <f>+D135*E135</f>
        <v>#REF!</v>
      </c>
      <c r="H135" s="259">
        <v>0</v>
      </c>
      <c r="I135" s="265">
        <v>1.05</v>
      </c>
      <c r="J135" s="259">
        <f>H135*I135</f>
        <v>0</v>
      </c>
      <c r="K135" s="226"/>
      <c r="L135" s="226"/>
      <c r="M135" s="226"/>
      <c r="N135" s="226"/>
      <c r="O135" s="226"/>
      <c r="P135" s="226"/>
      <c r="Q135" s="226"/>
      <c r="R135" s="226"/>
      <c r="S135" s="226"/>
      <c r="T135" s="226"/>
      <c r="U135" s="226"/>
      <c r="V135" s="226"/>
      <c r="W135" s="226"/>
      <c r="X135" s="226"/>
      <c r="Y135" s="226"/>
      <c r="Z135" s="226"/>
      <c r="AA135" s="226"/>
      <c r="AB135" s="226"/>
      <c r="AC135" s="226"/>
      <c r="AD135" s="226"/>
      <c r="AE135" s="226"/>
      <c r="AF135" s="226"/>
      <c r="AG135" s="226"/>
      <c r="AH135" s="226"/>
      <c r="AI135" s="226"/>
      <c r="AJ135" s="226"/>
      <c r="AK135" s="226"/>
      <c r="AL135" s="226"/>
      <c r="AM135" s="226"/>
      <c r="AN135" s="226"/>
      <c r="AO135" s="226"/>
      <c r="AP135" s="226"/>
      <c r="AQ135" s="226"/>
      <c r="AR135" s="226"/>
      <c r="AS135" s="226"/>
      <c r="AT135" s="226"/>
      <c r="AU135" s="226"/>
      <c r="AV135" s="226"/>
      <c r="AW135" s="226"/>
      <c r="AX135" s="226"/>
      <c r="AY135" s="226"/>
      <c r="AZ135" s="226"/>
      <c r="BA135" s="226"/>
      <c r="BB135" s="226"/>
      <c r="BC135" s="226"/>
      <c r="BD135" s="226"/>
      <c r="BE135" s="226"/>
      <c r="BF135" s="226"/>
      <c r="BG135" s="226"/>
      <c r="BH135" s="226"/>
      <c r="BI135" s="226"/>
      <c r="BJ135" s="226"/>
      <c r="BK135" s="226"/>
      <c r="BL135" s="226"/>
      <c r="BM135" s="226"/>
      <c r="BN135" s="226"/>
      <c r="BO135" s="226"/>
      <c r="BP135" s="226"/>
      <c r="BQ135" s="226"/>
      <c r="BR135" s="226"/>
      <c r="BS135" s="226"/>
      <c r="BT135" s="226"/>
      <c r="BU135" s="226"/>
      <c r="BV135" s="226"/>
      <c r="BW135" s="226"/>
      <c r="BX135" s="226"/>
      <c r="BY135" s="226"/>
      <c r="BZ135" s="226"/>
      <c r="CA135" s="226"/>
      <c r="CB135" s="226"/>
      <c r="CC135" s="226"/>
      <c r="CD135" s="226"/>
      <c r="CE135" s="226"/>
      <c r="CF135" s="226"/>
      <c r="CG135" s="226"/>
      <c r="CH135" s="226"/>
      <c r="CI135" s="226"/>
      <c r="CJ135" s="226"/>
      <c r="CK135" s="226"/>
      <c r="CL135" s="226"/>
      <c r="CM135" s="226"/>
      <c r="CN135" s="226"/>
      <c r="CO135" s="226"/>
      <c r="CP135" s="226"/>
      <c r="CQ135" s="226"/>
      <c r="CR135" s="226"/>
      <c r="CS135" s="226"/>
      <c r="CT135" s="226"/>
      <c r="CU135" s="226"/>
      <c r="CV135" s="226"/>
      <c r="CW135" s="226"/>
      <c r="CX135" s="226"/>
      <c r="CY135" s="226"/>
      <c r="CZ135" s="226"/>
      <c r="DA135" s="226"/>
      <c r="DB135" s="226"/>
      <c r="DC135" s="226"/>
      <c r="DD135" s="226"/>
      <c r="DE135" s="226"/>
      <c r="DF135" s="226"/>
      <c r="DG135" s="226"/>
      <c r="DH135" s="226"/>
      <c r="DI135" s="226"/>
      <c r="DJ135" s="226"/>
      <c r="DK135" s="226"/>
      <c r="DL135" s="226"/>
      <c r="DM135" s="226"/>
      <c r="DN135" s="226"/>
      <c r="DO135" s="226"/>
      <c r="DP135" s="226"/>
      <c r="DQ135" s="226"/>
      <c r="DR135" s="226"/>
      <c r="DS135" s="226"/>
      <c r="DT135" s="226"/>
      <c r="DU135" s="226"/>
      <c r="DV135" s="226"/>
      <c r="DW135" s="226"/>
      <c r="DX135" s="226"/>
      <c r="DY135" s="226"/>
      <c r="DZ135" s="226"/>
      <c r="EA135" s="226"/>
      <c r="EB135" s="226"/>
      <c r="EC135" s="226"/>
      <c r="ED135" s="226"/>
      <c r="EE135" s="226"/>
      <c r="EF135" s="226"/>
      <c r="EG135" s="226"/>
      <c r="EH135" s="226"/>
      <c r="EI135" s="226"/>
      <c r="EJ135" s="226"/>
      <c r="EK135" s="226"/>
      <c r="EL135" s="226"/>
      <c r="EM135" s="226"/>
      <c r="EN135" s="226"/>
      <c r="EO135" s="226"/>
      <c r="EP135" s="226"/>
      <c r="EQ135" s="226"/>
      <c r="ER135" s="226"/>
      <c r="ES135" s="226"/>
      <c r="ET135" s="226"/>
      <c r="EU135" s="226"/>
      <c r="EV135" s="226"/>
      <c r="EW135" s="226"/>
      <c r="EX135" s="226"/>
      <c r="EY135" s="226"/>
      <c r="EZ135" s="226"/>
      <c r="FA135" s="226"/>
      <c r="FB135" s="226"/>
      <c r="FC135" s="226"/>
      <c r="FD135" s="226"/>
      <c r="FE135" s="226"/>
      <c r="FF135" s="226"/>
      <c r="FG135" s="226"/>
      <c r="FH135" s="226"/>
      <c r="FI135" s="226"/>
      <c r="FJ135" s="226"/>
      <c r="FK135" s="226"/>
      <c r="FL135" s="226"/>
      <c r="FM135" s="226"/>
      <c r="FN135" s="226"/>
      <c r="FO135" s="226"/>
      <c r="FP135" s="226"/>
      <c r="FQ135" s="226"/>
      <c r="FR135" s="226"/>
      <c r="FS135" s="226"/>
      <c r="FT135" s="226"/>
      <c r="FU135" s="226"/>
      <c r="FV135" s="226"/>
      <c r="FW135" s="226"/>
      <c r="FX135" s="226"/>
      <c r="FY135" s="226"/>
      <c r="FZ135" s="226"/>
      <c r="GA135" s="226"/>
      <c r="GB135" s="226"/>
      <c r="GC135" s="226"/>
      <c r="GD135" s="226"/>
      <c r="GE135" s="226"/>
      <c r="GF135" s="226"/>
      <c r="GG135" s="226"/>
    </row>
    <row r="136" spans="1:189" s="225" customFormat="1" ht="16.5" customHeight="1">
      <c r="A136" s="442" t="e">
        <f>+#REF!</f>
        <v>#REF!</v>
      </c>
      <c r="B136" s="43" t="e">
        <f>+#REF!</f>
        <v>#REF!</v>
      </c>
      <c r="C136" s="248"/>
      <c r="D136" s="249"/>
      <c r="E136" s="109"/>
      <c r="F136" s="63"/>
      <c r="H136" s="259"/>
      <c r="I136" s="265"/>
      <c r="J136" s="259"/>
      <c r="K136" s="226"/>
      <c r="L136" s="226"/>
      <c r="M136" s="226"/>
      <c r="N136" s="226"/>
      <c r="O136" s="226"/>
      <c r="P136" s="226"/>
      <c r="Q136" s="226"/>
      <c r="R136" s="226"/>
      <c r="S136" s="226"/>
      <c r="T136" s="226"/>
      <c r="U136" s="226"/>
      <c r="V136" s="226"/>
      <c r="W136" s="226"/>
      <c r="X136" s="226"/>
      <c r="Y136" s="226"/>
      <c r="Z136" s="226"/>
      <c r="AA136" s="226"/>
      <c r="AB136" s="226"/>
      <c r="AC136" s="226"/>
      <c r="AD136" s="226"/>
      <c r="AE136" s="226"/>
      <c r="AF136" s="226"/>
      <c r="AG136" s="226"/>
      <c r="AH136" s="226"/>
      <c r="AI136" s="226"/>
      <c r="AJ136" s="226"/>
      <c r="AK136" s="226"/>
      <c r="AL136" s="226"/>
      <c r="AM136" s="226"/>
      <c r="AN136" s="226"/>
      <c r="AO136" s="226"/>
      <c r="AP136" s="226"/>
      <c r="AQ136" s="226"/>
      <c r="AR136" s="226"/>
      <c r="AS136" s="226"/>
      <c r="AT136" s="226"/>
      <c r="AU136" s="226"/>
      <c r="AV136" s="226"/>
      <c r="AW136" s="226"/>
      <c r="AX136" s="226"/>
      <c r="AY136" s="226"/>
      <c r="AZ136" s="226"/>
      <c r="BA136" s="226"/>
      <c r="BB136" s="226"/>
      <c r="BC136" s="226"/>
      <c r="BD136" s="226"/>
      <c r="BE136" s="226"/>
      <c r="BF136" s="226"/>
      <c r="BG136" s="226"/>
      <c r="BH136" s="226"/>
      <c r="BI136" s="226"/>
      <c r="BJ136" s="226"/>
      <c r="BK136" s="226"/>
      <c r="BL136" s="226"/>
      <c r="BM136" s="226"/>
      <c r="BN136" s="226"/>
      <c r="BO136" s="226"/>
      <c r="BP136" s="226"/>
      <c r="BQ136" s="226"/>
      <c r="BR136" s="226"/>
      <c r="BS136" s="226"/>
      <c r="BT136" s="226"/>
      <c r="BU136" s="226"/>
      <c r="BV136" s="226"/>
      <c r="BW136" s="226"/>
      <c r="BX136" s="226"/>
      <c r="BY136" s="226"/>
      <c r="BZ136" s="226"/>
      <c r="CA136" s="226"/>
      <c r="CB136" s="226"/>
      <c r="CC136" s="226"/>
      <c r="CD136" s="226"/>
      <c r="CE136" s="226"/>
      <c r="CF136" s="226"/>
      <c r="CG136" s="226"/>
      <c r="CH136" s="226"/>
      <c r="CI136" s="226"/>
      <c r="CJ136" s="226"/>
      <c r="CK136" s="226"/>
      <c r="CL136" s="226"/>
      <c r="CM136" s="226"/>
      <c r="CN136" s="226"/>
      <c r="CO136" s="226"/>
      <c r="CP136" s="226"/>
      <c r="CQ136" s="226"/>
      <c r="CR136" s="226"/>
      <c r="CS136" s="226"/>
      <c r="CT136" s="226"/>
      <c r="CU136" s="226"/>
      <c r="CV136" s="226"/>
      <c r="CW136" s="226"/>
      <c r="CX136" s="226"/>
      <c r="CY136" s="226"/>
      <c r="CZ136" s="226"/>
      <c r="DA136" s="226"/>
      <c r="DB136" s="226"/>
      <c r="DC136" s="226"/>
      <c r="DD136" s="226"/>
      <c r="DE136" s="226"/>
      <c r="DF136" s="226"/>
      <c r="DG136" s="226"/>
      <c r="DH136" s="226"/>
      <c r="DI136" s="226"/>
      <c r="DJ136" s="226"/>
      <c r="DK136" s="226"/>
      <c r="DL136" s="226"/>
      <c r="DM136" s="226"/>
      <c r="DN136" s="226"/>
      <c r="DO136" s="226"/>
      <c r="DP136" s="226"/>
      <c r="DQ136" s="226"/>
      <c r="DR136" s="226"/>
      <c r="DS136" s="226"/>
      <c r="DT136" s="226"/>
      <c r="DU136" s="226"/>
      <c r="DV136" s="226"/>
      <c r="DW136" s="226"/>
      <c r="DX136" s="226"/>
      <c r="DY136" s="226"/>
      <c r="DZ136" s="226"/>
      <c r="EA136" s="226"/>
      <c r="EB136" s="226"/>
      <c r="EC136" s="226"/>
      <c r="ED136" s="226"/>
      <c r="EE136" s="226"/>
      <c r="EF136" s="226"/>
      <c r="EG136" s="226"/>
      <c r="EH136" s="226"/>
      <c r="EI136" s="226"/>
      <c r="EJ136" s="226"/>
      <c r="EK136" s="226"/>
      <c r="EL136" s="226"/>
      <c r="EM136" s="226"/>
      <c r="EN136" s="226"/>
      <c r="EO136" s="226"/>
      <c r="EP136" s="226"/>
      <c r="EQ136" s="226"/>
      <c r="ER136" s="226"/>
      <c r="ES136" s="226"/>
      <c r="ET136" s="226"/>
      <c r="EU136" s="226"/>
      <c r="EV136" s="226"/>
      <c r="EW136" s="226"/>
      <c r="EX136" s="226"/>
      <c r="EY136" s="226"/>
      <c r="EZ136" s="226"/>
      <c r="FA136" s="226"/>
      <c r="FB136" s="226"/>
      <c r="FC136" s="226"/>
      <c r="FD136" s="226"/>
      <c r="FE136" s="226"/>
      <c r="FF136" s="226"/>
      <c r="FG136" s="226"/>
      <c r="FH136" s="226"/>
      <c r="FI136" s="226"/>
      <c r="FJ136" s="226"/>
      <c r="FK136" s="226"/>
      <c r="FL136" s="226"/>
      <c r="FM136" s="226"/>
      <c r="FN136" s="226"/>
      <c r="FO136" s="226"/>
      <c r="FP136" s="226"/>
      <c r="FQ136" s="226"/>
      <c r="FR136" s="226"/>
      <c r="FS136" s="226"/>
      <c r="FT136" s="226"/>
      <c r="FU136" s="226"/>
      <c r="FV136" s="226"/>
      <c r="FW136" s="226"/>
      <c r="FX136" s="226"/>
      <c r="FY136" s="226"/>
      <c r="FZ136" s="226"/>
      <c r="GA136" s="226"/>
      <c r="GB136" s="226"/>
      <c r="GC136" s="226"/>
      <c r="GD136" s="226"/>
      <c r="GE136" s="226"/>
      <c r="GF136" s="226"/>
      <c r="GG136" s="226"/>
    </row>
    <row r="137" spans="1:189" s="225" customFormat="1" ht="15.95" customHeight="1">
      <c r="A137" s="443" t="e">
        <f>+#REF!</f>
        <v>#REF!</v>
      </c>
      <c r="B137" s="242" t="e">
        <f>+#REF!</f>
        <v>#REF!</v>
      </c>
      <c r="C137" s="251" t="s">
        <v>1</v>
      </c>
      <c r="D137" s="82">
        <f>J137</f>
        <v>1098.3</v>
      </c>
      <c r="E137" s="107" t="e">
        <f>#REF!</f>
        <v>#REF!</v>
      </c>
      <c r="F137" s="64" t="e">
        <f>+D137*E137</f>
        <v>#REF!</v>
      </c>
      <c r="H137" s="259">
        <f>F6</f>
        <v>1046</v>
      </c>
      <c r="I137" s="265">
        <v>1.05</v>
      </c>
      <c r="J137" s="259">
        <f>H137*I137</f>
        <v>1098.3</v>
      </c>
      <c r="K137" s="226"/>
      <c r="L137" s="226"/>
      <c r="M137" s="226"/>
      <c r="N137" s="226"/>
      <c r="O137" s="226"/>
      <c r="P137" s="226"/>
      <c r="Q137" s="226"/>
      <c r="R137" s="226"/>
      <c r="S137" s="226"/>
      <c r="T137" s="226"/>
      <c r="U137" s="226"/>
      <c r="V137" s="226"/>
      <c r="W137" s="226"/>
      <c r="X137" s="226"/>
      <c r="Y137" s="226"/>
      <c r="Z137" s="226"/>
      <c r="AA137" s="226"/>
      <c r="AB137" s="226"/>
      <c r="AC137" s="226"/>
      <c r="AD137" s="226"/>
      <c r="AE137" s="226"/>
      <c r="AF137" s="226"/>
      <c r="AG137" s="226"/>
      <c r="AH137" s="226"/>
      <c r="AI137" s="226"/>
      <c r="AJ137" s="226"/>
      <c r="AK137" s="226"/>
      <c r="AL137" s="226"/>
      <c r="AM137" s="226"/>
      <c r="AN137" s="226"/>
      <c r="AO137" s="226"/>
      <c r="AP137" s="226"/>
      <c r="AQ137" s="226"/>
      <c r="AR137" s="226"/>
      <c r="AS137" s="226"/>
      <c r="AT137" s="226"/>
      <c r="AU137" s="226"/>
      <c r="AV137" s="226"/>
      <c r="AW137" s="226"/>
      <c r="AX137" s="226"/>
      <c r="AY137" s="226"/>
      <c r="AZ137" s="226"/>
      <c r="BA137" s="226"/>
      <c r="BB137" s="226"/>
      <c r="BC137" s="226"/>
      <c r="BD137" s="226"/>
      <c r="BE137" s="226"/>
      <c r="BF137" s="226"/>
      <c r="BG137" s="226"/>
      <c r="BH137" s="226"/>
      <c r="BI137" s="226"/>
      <c r="BJ137" s="226"/>
      <c r="BK137" s="226"/>
      <c r="BL137" s="226"/>
      <c r="BM137" s="226"/>
      <c r="BN137" s="226"/>
      <c r="BO137" s="226"/>
      <c r="BP137" s="226"/>
      <c r="BQ137" s="226"/>
      <c r="BR137" s="226"/>
      <c r="BS137" s="226"/>
      <c r="BT137" s="226"/>
      <c r="BU137" s="226"/>
      <c r="BV137" s="226"/>
      <c r="BW137" s="226"/>
      <c r="BX137" s="226"/>
      <c r="BY137" s="226"/>
      <c r="BZ137" s="226"/>
      <c r="CA137" s="226"/>
      <c r="CB137" s="226"/>
      <c r="CC137" s="226"/>
      <c r="CD137" s="226"/>
      <c r="CE137" s="226"/>
      <c r="CF137" s="226"/>
      <c r="CG137" s="226"/>
      <c r="CH137" s="226"/>
      <c r="CI137" s="226"/>
      <c r="CJ137" s="226"/>
      <c r="CK137" s="226"/>
      <c r="CL137" s="226"/>
      <c r="CM137" s="226"/>
      <c r="CN137" s="226"/>
      <c r="CO137" s="226"/>
      <c r="CP137" s="226"/>
      <c r="CQ137" s="226"/>
      <c r="CR137" s="226"/>
      <c r="CS137" s="226"/>
      <c r="CT137" s="226"/>
      <c r="CU137" s="226"/>
      <c r="CV137" s="226"/>
      <c r="CW137" s="226"/>
      <c r="CX137" s="226"/>
      <c r="CY137" s="226"/>
      <c r="CZ137" s="226"/>
      <c r="DA137" s="226"/>
      <c r="DB137" s="226"/>
      <c r="DC137" s="226"/>
      <c r="DD137" s="226"/>
      <c r="DE137" s="226"/>
      <c r="DF137" s="226"/>
      <c r="DG137" s="226"/>
      <c r="DH137" s="226"/>
      <c r="DI137" s="226"/>
      <c r="DJ137" s="226"/>
      <c r="DK137" s="226"/>
      <c r="DL137" s="226"/>
      <c r="DM137" s="226"/>
      <c r="DN137" s="226"/>
      <c r="DO137" s="226"/>
      <c r="DP137" s="226"/>
      <c r="DQ137" s="226"/>
      <c r="DR137" s="226"/>
      <c r="DS137" s="226"/>
      <c r="DT137" s="226"/>
      <c r="DU137" s="226"/>
      <c r="DV137" s="226"/>
      <c r="DW137" s="226"/>
      <c r="DX137" s="226"/>
      <c r="DY137" s="226"/>
      <c r="DZ137" s="226"/>
      <c r="EA137" s="226"/>
      <c r="EB137" s="226"/>
      <c r="EC137" s="226"/>
      <c r="ED137" s="226"/>
      <c r="EE137" s="226"/>
      <c r="EF137" s="226"/>
      <c r="EG137" s="226"/>
      <c r="EH137" s="226"/>
      <c r="EI137" s="226"/>
      <c r="EJ137" s="226"/>
      <c r="EK137" s="226"/>
      <c r="EL137" s="226"/>
      <c r="EM137" s="226"/>
      <c r="EN137" s="226"/>
      <c r="EO137" s="226"/>
      <c r="EP137" s="226"/>
      <c r="EQ137" s="226"/>
      <c r="ER137" s="226"/>
      <c r="ES137" s="226"/>
      <c r="ET137" s="226"/>
      <c r="EU137" s="226"/>
      <c r="EV137" s="226"/>
      <c r="EW137" s="226"/>
      <c r="EX137" s="226"/>
      <c r="EY137" s="226"/>
      <c r="EZ137" s="226"/>
      <c r="FA137" s="226"/>
      <c r="FB137" s="226"/>
      <c r="FC137" s="226"/>
      <c r="FD137" s="226"/>
      <c r="FE137" s="226"/>
      <c r="FF137" s="226"/>
      <c r="FG137" s="226"/>
      <c r="FH137" s="226"/>
      <c r="FI137" s="226"/>
      <c r="FJ137" s="226"/>
      <c r="FK137" s="226"/>
      <c r="FL137" s="226"/>
      <c r="FM137" s="226"/>
      <c r="FN137" s="226"/>
      <c r="FO137" s="226"/>
      <c r="FP137" s="226"/>
      <c r="FQ137" s="226"/>
      <c r="FR137" s="226"/>
      <c r="FS137" s="226"/>
      <c r="FT137" s="226"/>
      <c r="FU137" s="226"/>
      <c r="FV137" s="226"/>
      <c r="FW137" s="226"/>
      <c r="FX137" s="226"/>
      <c r="FY137" s="226"/>
      <c r="FZ137" s="226"/>
      <c r="GA137" s="226"/>
      <c r="GB137" s="226"/>
      <c r="GC137" s="226"/>
      <c r="GD137" s="226"/>
      <c r="GE137" s="226"/>
      <c r="GF137" s="226"/>
      <c r="GG137" s="226"/>
    </row>
    <row r="138" spans="1:189" s="225" customFormat="1" ht="15.95" customHeight="1">
      <c r="A138" s="139">
        <v>517</v>
      </c>
      <c r="B138" s="197" t="s">
        <v>152</v>
      </c>
      <c r="C138" s="252"/>
      <c r="D138" s="78"/>
      <c r="E138" s="108"/>
      <c r="F138" s="65"/>
      <c r="H138" s="259"/>
      <c r="I138" s="265"/>
      <c r="J138" s="259"/>
      <c r="K138" s="226"/>
      <c r="L138" s="226"/>
      <c r="M138" s="226"/>
      <c r="N138" s="226"/>
      <c r="O138" s="226"/>
      <c r="P138" s="226"/>
      <c r="Q138" s="226"/>
      <c r="R138" s="226"/>
      <c r="S138" s="226"/>
      <c r="T138" s="226"/>
      <c r="U138" s="226"/>
      <c r="V138" s="226"/>
      <c r="W138" s="226"/>
      <c r="X138" s="226"/>
      <c r="Y138" s="226"/>
      <c r="Z138" s="226"/>
      <c r="AA138" s="226"/>
      <c r="AB138" s="226"/>
      <c r="AC138" s="226"/>
      <c r="AD138" s="226"/>
      <c r="AE138" s="226"/>
      <c r="AF138" s="226"/>
      <c r="AG138" s="226"/>
      <c r="AH138" s="226"/>
      <c r="AI138" s="226"/>
      <c r="AJ138" s="226"/>
      <c r="AK138" s="226"/>
      <c r="AL138" s="226"/>
      <c r="AM138" s="226"/>
      <c r="AN138" s="226"/>
      <c r="AO138" s="226"/>
      <c r="AP138" s="226"/>
      <c r="AQ138" s="226"/>
      <c r="AR138" s="226"/>
      <c r="AS138" s="226"/>
      <c r="AT138" s="226"/>
      <c r="AU138" s="226"/>
      <c r="AV138" s="226"/>
      <c r="AW138" s="226"/>
      <c r="AX138" s="226"/>
      <c r="AY138" s="226"/>
      <c r="AZ138" s="226"/>
      <c r="BA138" s="226"/>
      <c r="BB138" s="226"/>
      <c r="BC138" s="226"/>
      <c r="BD138" s="226"/>
      <c r="BE138" s="226"/>
      <c r="BF138" s="226"/>
      <c r="BG138" s="226"/>
      <c r="BH138" s="226"/>
      <c r="BI138" s="226"/>
      <c r="BJ138" s="226"/>
      <c r="BK138" s="226"/>
      <c r="BL138" s="226"/>
      <c r="BM138" s="226"/>
      <c r="BN138" s="226"/>
      <c r="BO138" s="226"/>
      <c r="BP138" s="226"/>
      <c r="BQ138" s="226"/>
      <c r="BR138" s="226"/>
      <c r="BS138" s="226"/>
      <c r="BT138" s="226"/>
      <c r="BU138" s="226"/>
      <c r="BV138" s="226"/>
      <c r="BW138" s="226"/>
      <c r="BX138" s="226"/>
      <c r="BY138" s="226"/>
      <c r="BZ138" s="226"/>
      <c r="CA138" s="226"/>
      <c r="CB138" s="226"/>
      <c r="CC138" s="226"/>
      <c r="CD138" s="226"/>
      <c r="CE138" s="226"/>
      <c r="CF138" s="226"/>
      <c r="CG138" s="226"/>
      <c r="CH138" s="226"/>
      <c r="CI138" s="226"/>
      <c r="CJ138" s="226"/>
      <c r="CK138" s="226"/>
      <c r="CL138" s="226"/>
      <c r="CM138" s="226"/>
      <c r="CN138" s="226"/>
      <c r="CO138" s="226"/>
      <c r="CP138" s="226"/>
      <c r="CQ138" s="226"/>
      <c r="CR138" s="226"/>
      <c r="CS138" s="226"/>
      <c r="CT138" s="226"/>
      <c r="CU138" s="226"/>
      <c r="CV138" s="226"/>
      <c r="CW138" s="226"/>
      <c r="CX138" s="226"/>
      <c r="CY138" s="226"/>
      <c r="CZ138" s="226"/>
      <c r="DA138" s="226"/>
      <c r="DB138" s="226"/>
      <c r="DC138" s="226"/>
      <c r="DD138" s="226"/>
      <c r="DE138" s="226"/>
      <c r="DF138" s="226"/>
      <c r="DG138" s="226"/>
      <c r="DH138" s="226"/>
      <c r="DI138" s="226"/>
      <c r="DJ138" s="226"/>
      <c r="DK138" s="226"/>
      <c r="DL138" s="226"/>
      <c r="DM138" s="226"/>
      <c r="DN138" s="226"/>
      <c r="DO138" s="226"/>
      <c r="DP138" s="226"/>
      <c r="DQ138" s="226"/>
      <c r="DR138" s="226"/>
      <c r="DS138" s="226"/>
      <c r="DT138" s="226"/>
      <c r="DU138" s="226"/>
      <c r="DV138" s="226"/>
      <c r="DW138" s="226"/>
      <c r="DX138" s="226"/>
      <c r="DY138" s="226"/>
      <c r="DZ138" s="226"/>
      <c r="EA138" s="226"/>
      <c r="EB138" s="226"/>
      <c r="EC138" s="226"/>
      <c r="ED138" s="226"/>
      <c r="EE138" s="226"/>
      <c r="EF138" s="226"/>
      <c r="EG138" s="226"/>
      <c r="EH138" s="226"/>
      <c r="EI138" s="226"/>
      <c r="EJ138" s="226"/>
      <c r="EK138" s="226"/>
      <c r="EL138" s="226"/>
      <c r="EM138" s="226"/>
      <c r="EN138" s="226"/>
      <c r="EO138" s="226"/>
      <c r="EP138" s="226"/>
      <c r="EQ138" s="226"/>
      <c r="ER138" s="226"/>
      <c r="ES138" s="226"/>
      <c r="ET138" s="226"/>
      <c r="EU138" s="226"/>
      <c r="EV138" s="226"/>
      <c r="EW138" s="226"/>
      <c r="EX138" s="226"/>
      <c r="EY138" s="226"/>
      <c r="EZ138" s="226"/>
      <c r="FA138" s="226"/>
      <c r="FB138" s="226"/>
      <c r="FC138" s="226"/>
      <c r="FD138" s="226"/>
      <c r="FE138" s="226"/>
      <c r="FF138" s="226"/>
      <c r="FG138" s="226"/>
      <c r="FH138" s="226"/>
      <c r="FI138" s="226"/>
      <c r="FJ138" s="226"/>
      <c r="FK138" s="226"/>
      <c r="FL138" s="226"/>
      <c r="FM138" s="226"/>
      <c r="FN138" s="226"/>
      <c r="FO138" s="226"/>
      <c r="FP138" s="226"/>
      <c r="FQ138" s="226"/>
      <c r="FR138" s="226"/>
      <c r="FS138" s="226"/>
      <c r="FT138" s="226"/>
      <c r="FU138" s="226"/>
      <c r="FV138" s="226"/>
      <c r="FW138" s="226"/>
      <c r="FX138" s="226"/>
      <c r="FY138" s="226"/>
      <c r="FZ138" s="226"/>
      <c r="GA138" s="226"/>
      <c r="GB138" s="226"/>
      <c r="GC138" s="226"/>
      <c r="GD138" s="226"/>
      <c r="GE138" s="226"/>
      <c r="GF138" s="226"/>
      <c r="GG138" s="226"/>
    </row>
    <row r="139" spans="1:189" s="225" customFormat="1" ht="15.95" customHeight="1">
      <c r="A139" s="143" t="s">
        <v>153</v>
      </c>
      <c r="B139" s="196" t="s">
        <v>276</v>
      </c>
      <c r="C139" s="251" t="s">
        <v>1</v>
      </c>
      <c r="D139" s="82">
        <f>J139</f>
        <v>0</v>
      </c>
      <c r="E139" s="107" t="e">
        <f>#REF!</f>
        <v>#REF!</v>
      </c>
      <c r="F139" s="64" t="e">
        <f>+D139*E139</f>
        <v>#REF!</v>
      </c>
      <c r="H139" s="259">
        <v>0</v>
      </c>
      <c r="I139" s="265">
        <v>1.05</v>
      </c>
      <c r="J139" s="259">
        <f>H139*I139</f>
        <v>0</v>
      </c>
      <c r="K139" s="226"/>
      <c r="L139" s="226"/>
      <c r="M139" s="226"/>
      <c r="N139" s="226"/>
      <c r="O139" s="226"/>
      <c r="P139" s="226"/>
      <c r="Q139" s="226"/>
      <c r="R139" s="226"/>
      <c r="S139" s="226"/>
      <c r="T139" s="226"/>
      <c r="U139" s="226"/>
      <c r="V139" s="226"/>
      <c r="W139" s="226"/>
      <c r="X139" s="226"/>
      <c r="Y139" s="226"/>
      <c r="Z139" s="226"/>
      <c r="AA139" s="226"/>
      <c r="AB139" s="226"/>
      <c r="AC139" s="226"/>
      <c r="AD139" s="226"/>
      <c r="AE139" s="226"/>
      <c r="AF139" s="226"/>
      <c r="AG139" s="226"/>
      <c r="AH139" s="226"/>
      <c r="AI139" s="226"/>
      <c r="AJ139" s="226"/>
      <c r="AK139" s="226"/>
      <c r="AL139" s="226"/>
      <c r="AM139" s="226"/>
      <c r="AN139" s="226"/>
      <c r="AO139" s="226"/>
      <c r="AP139" s="226"/>
      <c r="AQ139" s="226"/>
      <c r="AR139" s="226"/>
      <c r="AS139" s="226"/>
      <c r="AT139" s="226"/>
      <c r="AU139" s="226"/>
      <c r="AV139" s="226"/>
      <c r="AW139" s="226"/>
      <c r="AX139" s="226"/>
      <c r="AY139" s="226"/>
      <c r="AZ139" s="226"/>
      <c r="BA139" s="226"/>
      <c r="BB139" s="226"/>
      <c r="BC139" s="226"/>
      <c r="BD139" s="226"/>
      <c r="BE139" s="226"/>
      <c r="BF139" s="226"/>
      <c r="BG139" s="226"/>
      <c r="BH139" s="226"/>
      <c r="BI139" s="226"/>
      <c r="BJ139" s="226"/>
      <c r="BK139" s="226"/>
      <c r="BL139" s="226"/>
      <c r="BM139" s="226"/>
      <c r="BN139" s="226"/>
      <c r="BO139" s="226"/>
      <c r="BP139" s="226"/>
      <c r="BQ139" s="226"/>
      <c r="BR139" s="226"/>
      <c r="BS139" s="226"/>
      <c r="BT139" s="226"/>
      <c r="BU139" s="226"/>
      <c r="BV139" s="226"/>
      <c r="BW139" s="226"/>
      <c r="BX139" s="226"/>
      <c r="BY139" s="226"/>
      <c r="BZ139" s="226"/>
      <c r="CA139" s="226"/>
      <c r="CB139" s="226"/>
      <c r="CC139" s="226"/>
      <c r="CD139" s="226"/>
      <c r="CE139" s="226"/>
      <c r="CF139" s="226"/>
      <c r="CG139" s="226"/>
      <c r="CH139" s="226"/>
      <c r="CI139" s="226"/>
      <c r="CJ139" s="226"/>
      <c r="CK139" s="226"/>
      <c r="CL139" s="226"/>
      <c r="CM139" s="226"/>
      <c r="CN139" s="226"/>
      <c r="CO139" s="226"/>
      <c r="CP139" s="226"/>
      <c r="CQ139" s="226"/>
      <c r="CR139" s="226"/>
      <c r="CS139" s="226"/>
      <c r="CT139" s="226"/>
      <c r="CU139" s="226"/>
      <c r="CV139" s="226"/>
      <c r="CW139" s="226"/>
      <c r="CX139" s="226"/>
      <c r="CY139" s="226"/>
      <c r="CZ139" s="226"/>
      <c r="DA139" s="226"/>
      <c r="DB139" s="226"/>
      <c r="DC139" s="226"/>
      <c r="DD139" s="226"/>
      <c r="DE139" s="226"/>
      <c r="DF139" s="226"/>
      <c r="DG139" s="226"/>
      <c r="DH139" s="226"/>
      <c r="DI139" s="226"/>
      <c r="DJ139" s="226"/>
      <c r="DK139" s="226"/>
      <c r="DL139" s="226"/>
      <c r="DM139" s="226"/>
      <c r="DN139" s="226"/>
      <c r="DO139" s="226"/>
      <c r="DP139" s="226"/>
      <c r="DQ139" s="226"/>
      <c r="DR139" s="226"/>
      <c r="DS139" s="226"/>
      <c r="DT139" s="226"/>
      <c r="DU139" s="226"/>
      <c r="DV139" s="226"/>
      <c r="DW139" s="226"/>
      <c r="DX139" s="226"/>
      <c r="DY139" s="226"/>
      <c r="DZ139" s="226"/>
      <c r="EA139" s="226"/>
      <c r="EB139" s="226"/>
      <c r="EC139" s="226"/>
      <c r="ED139" s="226"/>
      <c r="EE139" s="226"/>
      <c r="EF139" s="226"/>
      <c r="EG139" s="226"/>
      <c r="EH139" s="226"/>
      <c r="EI139" s="226"/>
      <c r="EJ139" s="226"/>
      <c r="EK139" s="226"/>
      <c r="EL139" s="226"/>
      <c r="EM139" s="226"/>
      <c r="EN139" s="226"/>
      <c r="EO139" s="226"/>
      <c r="EP139" s="226"/>
      <c r="EQ139" s="226"/>
      <c r="ER139" s="226"/>
      <c r="ES139" s="226"/>
      <c r="ET139" s="226"/>
      <c r="EU139" s="226"/>
      <c r="EV139" s="226"/>
      <c r="EW139" s="226"/>
      <c r="EX139" s="226"/>
      <c r="EY139" s="226"/>
      <c r="EZ139" s="226"/>
      <c r="FA139" s="226"/>
      <c r="FB139" s="226"/>
      <c r="FC139" s="226"/>
      <c r="FD139" s="226"/>
      <c r="FE139" s="226"/>
      <c r="FF139" s="226"/>
      <c r="FG139" s="226"/>
      <c r="FH139" s="226"/>
      <c r="FI139" s="226"/>
      <c r="FJ139" s="226"/>
      <c r="FK139" s="226"/>
      <c r="FL139" s="226"/>
      <c r="FM139" s="226"/>
      <c r="FN139" s="226"/>
      <c r="FO139" s="226"/>
      <c r="FP139" s="226"/>
      <c r="FQ139" s="226"/>
      <c r="FR139" s="226"/>
      <c r="FS139" s="226"/>
      <c r="FT139" s="226"/>
      <c r="FU139" s="226"/>
      <c r="FV139" s="226"/>
      <c r="FW139" s="226"/>
      <c r="FX139" s="226"/>
      <c r="FY139" s="226"/>
      <c r="FZ139" s="226"/>
      <c r="GA139" s="226"/>
      <c r="GB139" s="226"/>
      <c r="GC139" s="226"/>
      <c r="GD139" s="226"/>
      <c r="GE139" s="226"/>
      <c r="GF139" s="226"/>
      <c r="GG139" s="226"/>
    </row>
    <row r="140" spans="1:189" s="225" customFormat="1" ht="15.95" customHeight="1">
      <c r="A140" s="139">
        <v>518</v>
      </c>
      <c r="B140" s="43" t="s">
        <v>180</v>
      </c>
      <c r="C140" s="252"/>
      <c r="D140" s="78"/>
      <c r="E140" s="108"/>
      <c r="F140" s="65"/>
      <c r="H140" s="259"/>
      <c r="I140" s="265"/>
      <c r="J140" s="259"/>
      <c r="K140" s="226"/>
      <c r="L140" s="226"/>
      <c r="M140" s="226"/>
      <c r="N140" s="226"/>
      <c r="O140" s="226"/>
      <c r="P140" s="226"/>
      <c r="Q140" s="226"/>
      <c r="R140" s="226"/>
      <c r="S140" s="226"/>
      <c r="T140" s="226"/>
      <c r="U140" s="226"/>
      <c r="V140" s="226"/>
      <c r="W140" s="226"/>
      <c r="X140" s="226"/>
      <c r="Y140" s="226"/>
      <c r="Z140" s="226"/>
      <c r="AA140" s="226"/>
      <c r="AB140" s="226"/>
      <c r="AC140" s="226"/>
      <c r="AD140" s="226"/>
      <c r="AE140" s="226"/>
      <c r="AF140" s="226"/>
      <c r="AG140" s="226"/>
      <c r="AH140" s="226"/>
      <c r="AI140" s="226"/>
      <c r="AJ140" s="226"/>
      <c r="AK140" s="226"/>
      <c r="AL140" s="226"/>
      <c r="AM140" s="226"/>
      <c r="AN140" s="226"/>
      <c r="AO140" s="226"/>
      <c r="AP140" s="226"/>
      <c r="AQ140" s="226"/>
      <c r="AR140" s="226"/>
      <c r="AS140" s="226"/>
      <c r="AT140" s="226"/>
      <c r="AU140" s="226"/>
      <c r="AV140" s="226"/>
      <c r="AW140" s="226"/>
      <c r="AX140" s="226"/>
      <c r="AY140" s="226"/>
      <c r="AZ140" s="226"/>
      <c r="BA140" s="226"/>
      <c r="BB140" s="226"/>
      <c r="BC140" s="226"/>
      <c r="BD140" s="226"/>
      <c r="BE140" s="226"/>
      <c r="BF140" s="226"/>
      <c r="BG140" s="226"/>
      <c r="BH140" s="226"/>
      <c r="BI140" s="226"/>
      <c r="BJ140" s="226"/>
      <c r="BK140" s="226"/>
      <c r="BL140" s="226"/>
      <c r="BM140" s="226"/>
      <c r="BN140" s="226"/>
      <c r="BO140" s="226"/>
      <c r="BP140" s="226"/>
      <c r="BQ140" s="226"/>
      <c r="BR140" s="226"/>
      <c r="BS140" s="226"/>
      <c r="BT140" s="226"/>
      <c r="BU140" s="226"/>
      <c r="BV140" s="226"/>
      <c r="BW140" s="226"/>
      <c r="BX140" s="226"/>
      <c r="BY140" s="226"/>
      <c r="BZ140" s="226"/>
      <c r="CA140" s="226"/>
      <c r="CB140" s="226"/>
      <c r="CC140" s="226"/>
      <c r="CD140" s="226"/>
      <c r="CE140" s="226"/>
      <c r="CF140" s="226"/>
      <c r="CG140" s="226"/>
      <c r="CH140" s="226"/>
      <c r="CI140" s="226"/>
      <c r="CJ140" s="226"/>
      <c r="CK140" s="226"/>
      <c r="CL140" s="226"/>
      <c r="CM140" s="226"/>
      <c r="CN140" s="226"/>
      <c r="CO140" s="226"/>
      <c r="CP140" s="226"/>
      <c r="CQ140" s="226"/>
      <c r="CR140" s="226"/>
      <c r="CS140" s="226"/>
      <c r="CT140" s="226"/>
      <c r="CU140" s="226"/>
      <c r="CV140" s="226"/>
      <c r="CW140" s="226"/>
      <c r="CX140" s="226"/>
      <c r="CY140" s="226"/>
      <c r="CZ140" s="226"/>
      <c r="DA140" s="226"/>
      <c r="DB140" s="226"/>
      <c r="DC140" s="226"/>
      <c r="DD140" s="226"/>
      <c r="DE140" s="226"/>
      <c r="DF140" s="226"/>
      <c r="DG140" s="226"/>
      <c r="DH140" s="226"/>
      <c r="DI140" s="226"/>
      <c r="DJ140" s="226"/>
      <c r="DK140" s="226"/>
      <c r="DL140" s="226"/>
      <c r="DM140" s="226"/>
      <c r="DN140" s="226"/>
      <c r="DO140" s="226"/>
      <c r="DP140" s="226"/>
      <c r="DQ140" s="226"/>
      <c r="DR140" s="226"/>
      <c r="DS140" s="226"/>
      <c r="DT140" s="226"/>
      <c r="DU140" s="226"/>
      <c r="DV140" s="226"/>
      <c r="DW140" s="226"/>
      <c r="DX140" s="226"/>
      <c r="DY140" s="226"/>
      <c r="DZ140" s="226"/>
      <c r="EA140" s="226"/>
      <c r="EB140" s="226"/>
      <c r="EC140" s="226"/>
      <c r="ED140" s="226"/>
      <c r="EE140" s="226"/>
      <c r="EF140" s="226"/>
      <c r="EG140" s="226"/>
      <c r="EH140" s="226"/>
      <c r="EI140" s="226"/>
      <c r="EJ140" s="226"/>
      <c r="EK140" s="226"/>
      <c r="EL140" s="226"/>
      <c r="EM140" s="226"/>
      <c r="EN140" s="226"/>
      <c r="EO140" s="226"/>
      <c r="EP140" s="226"/>
      <c r="EQ140" s="226"/>
      <c r="ER140" s="226"/>
      <c r="ES140" s="226"/>
      <c r="ET140" s="226"/>
      <c r="EU140" s="226"/>
      <c r="EV140" s="226"/>
      <c r="EW140" s="226"/>
      <c r="EX140" s="226"/>
      <c r="EY140" s="226"/>
      <c r="EZ140" s="226"/>
      <c r="FA140" s="226"/>
      <c r="FB140" s="226"/>
      <c r="FC140" s="226"/>
      <c r="FD140" s="226"/>
      <c r="FE140" s="226"/>
      <c r="FF140" s="226"/>
      <c r="FG140" s="226"/>
      <c r="FH140" s="226"/>
      <c r="FI140" s="226"/>
      <c r="FJ140" s="226"/>
      <c r="FK140" s="226"/>
      <c r="FL140" s="226"/>
      <c r="FM140" s="226"/>
      <c r="FN140" s="226"/>
      <c r="FO140" s="226"/>
      <c r="FP140" s="226"/>
      <c r="FQ140" s="226"/>
      <c r="FR140" s="226"/>
      <c r="FS140" s="226"/>
      <c r="FT140" s="226"/>
      <c r="FU140" s="226"/>
      <c r="FV140" s="226"/>
      <c r="FW140" s="226"/>
      <c r="FX140" s="226"/>
      <c r="FY140" s="226"/>
      <c r="FZ140" s="226"/>
      <c r="GA140" s="226"/>
      <c r="GB140" s="226"/>
      <c r="GC140" s="226"/>
      <c r="GD140" s="226"/>
      <c r="GE140" s="226"/>
      <c r="GF140" s="226"/>
      <c r="GG140" s="226"/>
    </row>
    <row r="141" spans="1:189" s="225" customFormat="1" ht="15.95" customHeight="1">
      <c r="A141" s="139" t="s">
        <v>179</v>
      </c>
      <c r="B141" s="230" t="s">
        <v>181</v>
      </c>
      <c r="C141" s="252" t="s">
        <v>1</v>
      </c>
      <c r="D141" s="138">
        <f>J141</f>
        <v>0</v>
      </c>
      <c r="E141" s="108" t="e">
        <f>#REF!</f>
        <v>#REF!</v>
      </c>
      <c r="F141" s="65" t="e">
        <f>+D141*E141</f>
        <v>#REF!</v>
      </c>
      <c r="H141" s="259">
        <v>0</v>
      </c>
      <c r="I141" s="265">
        <v>1.05</v>
      </c>
      <c r="J141" s="259">
        <f>H141*I141</f>
        <v>0</v>
      </c>
      <c r="K141" s="226"/>
      <c r="L141" s="226"/>
      <c r="M141" s="226"/>
      <c r="N141" s="226"/>
      <c r="O141" s="226"/>
      <c r="P141" s="226"/>
      <c r="Q141" s="226"/>
      <c r="R141" s="226"/>
      <c r="S141" s="226"/>
      <c r="T141" s="226"/>
      <c r="U141" s="226"/>
      <c r="V141" s="226"/>
      <c r="W141" s="226"/>
      <c r="X141" s="226"/>
      <c r="Y141" s="226"/>
      <c r="Z141" s="226"/>
      <c r="AA141" s="226"/>
      <c r="AB141" s="226"/>
      <c r="AC141" s="226"/>
      <c r="AD141" s="226"/>
      <c r="AE141" s="226"/>
      <c r="AF141" s="226"/>
      <c r="AG141" s="226"/>
      <c r="AH141" s="226"/>
      <c r="AI141" s="226"/>
      <c r="AJ141" s="226"/>
      <c r="AK141" s="226"/>
      <c r="AL141" s="226"/>
      <c r="AM141" s="226"/>
      <c r="AN141" s="226"/>
      <c r="AO141" s="226"/>
      <c r="AP141" s="226"/>
      <c r="AQ141" s="226"/>
      <c r="AR141" s="226"/>
      <c r="AS141" s="226"/>
      <c r="AT141" s="226"/>
      <c r="AU141" s="226"/>
      <c r="AV141" s="226"/>
      <c r="AW141" s="226"/>
      <c r="AX141" s="226"/>
      <c r="AY141" s="226"/>
      <c r="AZ141" s="226"/>
      <c r="BA141" s="226"/>
      <c r="BB141" s="226"/>
      <c r="BC141" s="226"/>
      <c r="BD141" s="226"/>
      <c r="BE141" s="226"/>
      <c r="BF141" s="226"/>
      <c r="BG141" s="226"/>
      <c r="BH141" s="226"/>
      <c r="BI141" s="226"/>
      <c r="BJ141" s="226"/>
      <c r="BK141" s="226"/>
      <c r="BL141" s="226"/>
      <c r="BM141" s="226"/>
      <c r="BN141" s="226"/>
      <c r="BO141" s="226"/>
      <c r="BP141" s="226"/>
      <c r="BQ141" s="226"/>
      <c r="BR141" s="226"/>
      <c r="BS141" s="226"/>
      <c r="BT141" s="226"/>
      <c r="BU141" s="226"/>
      <c r="BV141" s="226"/>
      <c r="BW141" s="226"/>
      <c r="BX141" s="226"/>
      <c r="BY141" s="226"/>
      <c r="BZ141" s="226"/>
      <c r="CA141" s="226"/>
      <c r="CB141" s="226"/>
      <c r="CC141" s="226"/>
      <c r="CD141" s="226"/>
      <c r="CE141" s="226"/>
      <c r="CF141" s="226"/>
      <c r="CG141" s="226"/>
      <c r="CH141" s="226"/>
      <c r="CI141" s="226"/>
      <c r="CJ141" s="226"/>
      <c r="CK141" s="226"/>
      <c r="CL141" s="226"/>
      <c r="CM141" s="226"/>
      <c r="CN141" s="226"/>
      <c r="CO141" s="226"/>
      <c r="CP141" s="226"/>
      <c r="CQ141" s="226"/>
      <c r="CR141" s="226"/>
      <c r="CS141" s="226"/>
      <c r="CT141" s="226"/>
      <c r="CU141" s="226"/>
      <c r="CV141" s="226"/>
      <c r="CW141" s="226"/>
      <c r="CX141" s="226"/>
      <c r="CY141" s="226"/>
      <c r="CZ141" s="226"/>
      <c r="DA141" s="226"/>
      <c r="DB141" s="226"/>
      <c r="DC141" s="226"/>
      <c r="DD141" s="226"/>
      <c r="DE141" s="226"/>
      <c r="DF141" s="226"/>
      <c r="DG141" s="226"/>
      <c r="DH141" s="226"/>
      <c r="DI141" s="226"/>
      <c r="DJ141" s="226"/>
      <c r="DK141" s="226"/>
      <c r="DL141" s="226"/>
      <c r="DM141" s="226"/>
      <c r="DN141" s="226"/>
      <c r="DO141" s="226"/>
      <c r="DP141" s="226"/>
      <c r="DQ141" s="226"/>
      <c r="DR141" s="226"/>
      <c r="DS141" s="226"/>
      <c r="DT141" s="226"/>
      <c r="DU141" s="226"/>
      <c r="DV141" s="226"/>
      <c r="DW141" s="226"/>
      <c r="DX141" s="226"/>
      <c r="DY141" s="226"/>
      <c r="DZ141" s="226"/>
      <c r="EA141" s="226"/>
      <c r="EB141" s="226"/>
      <c r="EC141" s="226"/>
      <c r="ED141" s="226"/>
      <c r="EE141" s="226"/>
      <c r="EF141" s="226"/>
      <c r="EG141" s="226"/>
      <c r="EH141" s="226"/>
      <c r="EI141" s="226"/>
      <c r="EJ141" s="226"/>
      <c r="EK141" s="226"/>
      <c r="EL141" s="226"/>
      <c r="EM141" s="226"/>
      <c r="EN141" s="226"/>
      <c r="EO141" s="226"/>
      <c r="EP141" s="226"/>
      <c r="EQ141" s="226"/>
      <c r="ER141" s="226"/>
      <c r="ES141" s="226"/>
      <c r="ET141" s="226"/>
      <c r="EU141" s="226"/>
      <c r="EV141" s="226"/>
      <c r="EW141" s="226"/>
      <c r="EX141" s="226"/>
      <c r="EY141" s="226"/>
      <c r="EZ141" s="226"/>
      <c r="FA141" s="226"/>
      <c r="FB141" s="226"/>
      <c r="FC141" s="226"/>
      <c r="FD141" s="226"/>
      <c r="FE141" s="226"/>
      <c r="FF141" s="226"/>
      <c r="FG141" s="226"/>
      <c r="FH141" s="226"/>
      <c r="FI141" s="226"/>
      <c r="FJ141" s="226"/>
      <c r="FK141" s="226"/>
      <c r="FL141" s="226"/>
      <c r="FM141" s="226"/>
      <c r="FN141" s="226"/>
      <c r="FO141" s="226"/>
      <c r="FP141" s="226"/>
      <c r="FQ141" s="226"/>
      <c r="FR141" s="226"/>
      <c r="FS141" s="226"/>
      <c r="FT141" s="226"/>
      <c r="FU141" s="226"/>
      <c r="FV141" s="226"/>
      <c r="FW141" s="226"/>
      <c r="FX141" s="226"/>
      <c r="FY141" s="226"/>
      <c r="FZ141" s="226"/>
      <c r="GA141" s="226"/>
      <c r="GB141" s="226"/>
      <c r="GC141" s="226"/>
      <c r="GD141" s="226"/>
      <c r="GE141" s="226"/>
      <c r="GF141" s="226"/>
      <c r="GG141" s="226"/>
    </row>
    <row r="142" spans="1:189" s="225" customFormat="1" ht="15.95" customHeight="1">
      <c r="A142" s="36" t="s">
        <v>183</v>
      </c>
      <c r="B142" s="196" t="s">
        <v>182</v>
      </c>
      <c r="C142" s="254" t="s">
        <v>1</v>
      </c>
      <c r="D142" s="82">
        <f>J142</f>
        <v>0</v>
      </c>
      <c r="E142" s="107" t="e">
        <f>#REF!</f>
        <v>#REF!</v>
      </c>
      <c r="F142" s="64" t="e">
        <f>+D142*E142</f>
        <v>#REF!</v>
      </c>
      <c r="H142" s="259"/>
      <c r="I142" s="265">
        <v>1.05</v>
      </c>
      <c r="J142" s="259">
        <f>H142*I142</f>
        <v>0</v>
      </c>
      <c r="K142" s="226"/>
      <c r="L142" s="226">
        <f>17500*657</f>
        <v>11497500</v>
      </c>
      <c r="M142" s="226"/>
      <c r="N142" s="226"/>
      <c r="O142" s="226"/>
      <c r="P142" s="226"/>
      <c r="Q142" s="226"/>
      <c r="R142" s="226"/>
      <c r="S142" s="226"/>
      <c r="T142" s="226"/>
      <c r="U142" s="226"/>
      <c r="V142" s="226"/>
      <c r="W142" s="226"/>
      <c r="X142" s="226"/>
      <c r="Y142" s="226"/>
      <c r="Z142" s="226"/>
      <c r="AA142" s="226"/>
      <c r="AB142" s="226"/>
      <c r="AC142" s="226"/>
      <c r="AD142" s="226"/>
      <c r="AE142" s="226"/>
      <c r="AF142" s="226"/>
      <c r="AG142" s="226"/>
      <c r="AH142" s="226"/>
      <c r="AI142" s="226"/>
      <c r="AJ142" s="226"/>
      <c r="AK142" s="226"/>
      <c r="AL142" s="226"/>
      <c r="AM142" s="226"/>
      <c r="AN142" s="226"/>
      <c r="AO142" s="226"/>
      <c r="AP142" s="226"/>
      <c r="AQ142" s="226"/>
      <c r="AR142" s="226"/>
      <c r="AS142" s="226"/>
      <c r="AT142" s="226"/>
      <c r="AU142" s="226"/>
      <c r="AV142" s="226"/>
      <c r="AW142" s="226"/>
      <c r="AX142" s="226"/>
      <c r="AY142" s="226"/>
      <c r="AZ142" s="226"/>
      <c r="BA142" s="226"/>
      <c r="BB142" s="226"/>
      <c r="BC142" s="226"/>
      <c r="BD142" s="226"/>
      <c r="BE142" s="226"/>
      <c r="BF142" s="226"/>
      <c r="BG142" s="226"/>
      <c r="BH142" s="226"/>
      <c r="BI142" s="226"/>
      <c r="BJ142" s="226"/>
      <c r="BK142" s="226"/>
      <c r="BL142" s="226"/>
      <c r="BM142" s="226"/>
      <c r="BN142" s="226"/>
      <c r="BO142" s="226"/>
      <c r="BP142" s="226"/>
      <c r="BQ142" s="226"/>
      <c r="BR142" s="226"/>
      <c r="BS142" s="226"/>
      <c r="BT142" s="226"/>
      <c r="BU142" s="226"/>
      <c r="BV142" s="226"/>
      <c r="BW142" s="226"/>
      <c r="BX142" s="226"/>
      <c r="BY142" s="226"/>
      <c r="BZ142" s="226"/>
      <c r="CA142" s="226"/>
      <c r="CB142" s="226"/>
      <c r="CC142" s="226"/>
      <c r="CD142" s="226"/>
      <c r="CE142" s="226"/>
      <c r="CF142" s="226"/>
      <c r="CG142" s="226"/>
      <c r="CH142" s="226"/>
      <c r="CI142" s="226"/>
      <c r="CJ142" s="226"/>
      <c r="CK142" s="226"/>
      <c r="CL142" s="226"/>
      <c r="CM142" s="226"/>
      <c r="CN142" s="226"/>
      <c r="CO142" s="226"/>
      <c r="CP142" s="226"/>
      <c r="CQ142" s="226"/>
      <c r="CR142" s="226"/>
      <c r="CS142" s="226"/>
      <c r="CT142" s="226"/>
      <c r="CU142" s="226"/>
      <c r="CV142" s="226"/>
      <c r="CW142" s="226"/>
      <c r="CX142" s="226"/>
      <c r="CY142" s="226"/>
      <c r="CZ142" s="226"/>
      <c r="DA142" s="226"/>
      <c r="DB142" s="226"/>
      <c r="DC142" s="226"/>
      <c r="DD142" s="226"/>
      <c r="DE142" s="226"/>
      <c r="DF142" s="226"/>
      <c r="DG142" s="226"/>
      <c r="DH142" s="226"/>
      <c r="DI142" s="226"/>
      <c r="DJ142" s="226"/>
      <c r="DK142" s="226"/>
      <c r="DL142" s="226"/>
      <c r="DM142" s="226"/>
      <c r="DN142" s="226"/>
      <c r="DO142" s="226"/>
      <c r="DP142" s="226"/>
      <c r="DQ142" s="226"/>
      <c r="DR142" s="226"/>
      <c r="DS142" s="226"/>
      <c r="DT142" s="226"/>
      <c r="DU142" s="226"/>
      <c r="DV142" s="226"/>
      <c r="DW142" s="226"/>
      <c r="DX142" s="226"/>
      <c r="DY142" s="226"/>
      <c r="DZ142" s="226"/>
      <c r="EA142" s="226"/>
      <c r="EB142" s="226"/>
      <c r="EC142" s="226"/>
      <c r="ED142" s="226"/>
      <c r="EE142" s="226"/>
      <c r="EF142" s="226"/>
      <c r="EG142" s="226"/>
      <c r="EH142" s="226"/>
      <c r="EI142" s="226"/>
      <c r="EJ142" s="226"/>
      <c r="EK142" s="226"/>
      <c r="EL142" s="226"/>
      <c r="EM142" s="226"/>
      <c r="EN142" s="226"/>
      <c r="EO142" s="226"/>
      <c r="EP142" s="226"/>
      <c r="EQ142" s="226"/>
      <c r="ER142" s="226"/>
      <c r="ES142" s="226"/>
      <c r="ET142" s="226"/>
      <c r="EU142" s="226"/>
      <c r="EV142" s="226"/>
      <c r="EW142" s="226"/>
      <c r="EX142" s="226"/>
      <c r="EY142" s="226"/>
      <c r="EZ142" s="226"/>
      <c r="FA142" s="226"/>
      <c r="FB142" s="226"/>
      <c r="FC142" s="226"/>
      <c r="FD142" s="226"/>
      <c r="FE142" s="226"/>
      <c r="FF142" s="226"/>
      <c r="FG142" s="226"/>
      <c r="FH142" s="226"/>
      <c r="FI142" s="226"/>
      <c r="FJ142" s="226"/>
      <c r="FK142" s="226"/>
      <c r="FL142" s="226"/>
      <c r="FM142" s="226"/>
      <c r="FN142" s="226"/>
      <c r="FO142" s="226"/>
      <c r="FP142" s="226"/>
      <c r="FQ142" s="226"/>
      <c r="FR142" s="226"/>
      <c r="FS142" s="226"/>
      <c r="FT142" s="226"/>
      <c r="FU142" s="226"/>
      <c r="FV142" s="226"/>
      <c r="FW142" s="226"/>
      <c r="FX142" s="226"/>
      <c r="FY142" s="226"/>
      <c r="FZ142" s="226"/>
      <c r="GA142" s="226"/>
      <c r="GB142" s="226"/>
      <c r="GC142" s="226"/>
      <c r="GD142" s="226"/>
      <c r="GE142" s="226"/>
      <c r="GF142" s="226"/>
      <c r="GG142" s="226"/>
    </row>
    <row r="143" spans="1:189" ht="24.75" customHeight="1">
      <c r="A143" s="431"/>
      <c r="B143" s="239"/>
      <c r="C143" s="95"/>
      <c r="D143" s="92"/>
      <c r="E143" s="93" t="s">
        <v>113</v>
      </c>
      <c r="F143" s="94" t="e">
        <f>SUM(F94:F142)</f>
        <v>#REF!</v>
      </c>
    </row>
    <row r="144" spans="1:189" ht="15.95" customHeight="1">
      <c r="A144" s="406"/>
      <c r="B144" s="12"/>
      <c r="C144" s="13"/>
      <c r="D144" s="76"/>
      <c r="F144" s="66"/>
      <c r="L144" s="129">
        <f>17500/22</f>
        <v>795.4545454545455</v>
      </c>
    </row>
    <row r="145" spans="1:10" ht="24" customHeight="1">
      <c r="A145" s="436" t="s">
        <v>17</v>
      </c>
      <c r="B145" s="3"/>
      <c r="C145" s="52" t="s">
        <v>98</v>
      </c>
      <c r="D145" s="86" t="s">
        <v>99</v>
      </c>
      <c r="E145" s="241" t="s">
        <v>100</v>
      </c>
      <c r="F145" s="241" t="s">
        <v>114</v>
      </c>
    </row>
    <row r="146" spans="1:10" ht="15.95" customHeight="1">
      <c r="A146" s="232" t="s">
        <v>18</v>
      </c>
      <c r="B146" s="125" t="s">
        <v>96</v>
      </c>
      <c r="C146" s="233"/>
      <c r="D146" s="234"/>
      <c r="E146" s="109"/>
      <c r="F146" s="63"/>
    </row>
    <row r="147" spans="1:10" ht="15.95" customHeight="1">
      <c r="A147" s="17" t="s">
        <v>192</v>
      </c>
      <c r="B147" s="39" t="s">
        <v>193</v>
      </c>
      <c r="C147" s="235" t="s">
        <v>27</v>
      </c>
      <c r="D147" s="235">
        <f>J147</f>
        <v>0</v>
      </c>
      <c r="E147" s="108" t="e">
        <f>#REF!</f>
        <v>#REF!</v>
      </c>
      <c r="F147" s="65" t="e">
        <f>+D147*E147</f>
        <v>#REF!</v>
      </c>
      <c r="H147" s="255">
        <v>0</v>
      </c>
      <c r="I147" s="262">
        <v>1.05</v>
      </c>
      <c r="J147" s="255">
        <f>ROUND(H147*I147,0)</f>
        <v>0</v>
      </c>
    </row>
    <row r="148" spans="1:10" ht="15.95" customHeight="1">
      <c r="A148" s="17" t="s">
        <v>194</v>
      </c>
      <c r="B148" s="39" t="s">
        <v>196</v>
      </c>
      <c r="C148" s="153" t="s">
        <v>27</v>
      </c>
      <c r="D148" s="108">
        <f>D147</f>
        <v>0</v>
      </c>
      <c r="E148" s="108" t="e">
        <f>#REF!</f>
        <v>#REF!</v>
      </c>
      <c r="F148" s="65" t="e">
        <f>+D148*E148</f>
        <v>#REF!</v>
      </c>
    </row>
    <row r="149" spans="1:10" ht="15.95" customHeight="1">
      <c r="A149" s="17" t="s">
        <v>195</v>
      </c>
      <c r="B149" s="39" t="s">
        <v>238</v>
      </c>
      <c r="C149" s="153" t="s">
        <v>237</v>
      </c>
      <c r="D149" s="108">
        <f>D148</f>
        <v>0</v>
      </c>
      <c r="E149" s="108" t="e">
        <f>#REF!</f>
        <v>#REF!</v>
      </c>
      <c r="F149" s="65" t="e">
        <f>+D149*E149</f>
        <v>#REF!</v>
      </c>
    </row>
    <row r="150" spans="1:10" ht="15.95" customHeight="1">
      <c r="A150" s="17" t="s">
        <v>236</v>
      </c>
      <c r="B150" s="39" t="s">
        <v>287</v>
      </c>
      <c r="C150" s="153" t="s">
        <v>27</v>
      </c>
      <c r="D150" s="108">
        <f>D148</f>
        <v>0</v>
      </c>
      <c r="E150" s="108" t="e">
        <f>#REF!</f>
        <v>#REF!</v>
      </c>
      <c r="F150" s="65" t="e">
        <f>+D150*E150</f>
        <v>#REF!</v>
      </c>
    </row>
    <row r="151" spans="1:10" ht="15.95" customHeight="1">
      <c r="A151" s="232" t="s">
        <v>208</v>
      </c>
      <c r="B151" s="125" t="s">
        <v>154</v>
      </c>
      <c r="C151" s="233"/>
      <c r="D151" s="234"/>
      <c r="E151" s="109"/>
      <c r="F151" s="63"/>
    </row>
    <row r="152" spans="1:10" ht="15" customHeight="1">
      <c r="A152" s="17"/>
      <c r="B152" s="39"/>
      <c r="C152" s="235" t="s">
        <v>1</v>
      </c>
      <c r="D152" s="235">
        <f>J152</f>
        <v>0</v>
      </c>
      <c r="E152" s="108" t="e">
        <f>#REF!</f>
        <v>#REF!</v>
      </c>
      <c r="F152" s="65" t="e">
        <f>+D152*E152</f>
        <v>#REF!</v>
      </c>
      <c r="H152" s="255">
        <v>0</v>
      </c>
      <c r="I152" s="262">
        <v>1.05</v>
      </c>
      <c r="J152" s="255">
        <f>ROUND(H152*I152,0)</f>
        <v>0</v>
      </c>
    </row>
    <row r="153" spans="1:10" ht="15.95" customHeight="1">
      <c r="A153" s="232" t="s">
        <v>209</v>
      </c>
      <c r="B153" s="125" t="s">
        <v>155</v>
      </c>
      <c r="C153" s="233"/>
      <c r="D153" s="234"/>
      <c r="E153" s="109"/>
      <c r="F153" s="63"/>
    </row>
    <row r="154" spans="1:10" ht="15" customHeight="1">
      <c r="A154" s="17"/>
      <c r="B154" s="39"/>
      <c r="C154" s="235" t="s">
        <v>1</v>
      </c>
      <c r="D154" s="235">
        <f>D152</f>
        <v>0</v>
      </c>
      <c r="E154" s="108" t="e">
        <f>#REF!</f>
        <v>#REF!</v>
      </c>
      <c r="F154" s="65" t="e">
        <f>+D154*E154</f>
        <v>#REF!</v>
      </c>
      <c r="H154" s="255">
        <v>0</v>
      </c>
      <c r="I154" s="262">
        <v>1.05</v>
      </c>
      <c r="J154" s="255">
        <f>ROUND(H154*I154,0)</f>
        <v>0</v>
      </c>
    </row>
    <row r="155" spans="1:10" ht="15.95" customHeight="1">
      <c r="A155" s="232">
        <v>604</v>
      </c>
      <c r="B155" s="43" t="s">
        <v>164</v>
      </c>
      <c r="C155" s="133"/>
      <c r="D155" s="133"/>
      <c r="E155" s="133"/>
      <c r="F155" s="109"/>
    </row>
    <row r="156" spans="1:10" ht="15.95" customHeight="1">
      <c r="A156" s="47" t="s">
        <v>224</v>
      </c>
      <c r="B156" s="123" t="s">
        <v>223</v>
      </c>
      <c r="C156" s="261" t="s">
        <v>27</v>
      </c>
      <c r="D156" s="151">
        <v>0</v>
      </c>
      <c r="E156" s="151" t="e">
        <f>#REF!</f>
        <v>#REF!</v>
      </c>
      <c r="F156" s="108" t="e">
        <f>+D156*E156</f>
        <v>#REF!</v>
      </c>
    </row>
    <row r="157" spans="1:10" ht="15.95" customHeight="1">
      <c r="A157" s="260" t="s">
        <v>225</v>
      </c>
      <c r="B157" s="24" t="s">
        <v>226</v>
      </c>
      <c r="C157" s="154" t="s">
        <v>27</v>
      </c>
      <c r="D157" s="134">
        <v>0</v>
      </c>
      <c r="E157" s="134" t="e">
        <f>#REF!</f>
        <v>#REF!</v>
      </c>
      <c r="F157" s="107" t="e">
        <f>+D157*E157</f>
        <v>#REF!</v>
      </c>
    </row>
    <row r="158" spans="1:10" ht="15.95" customHeight="1">
      <c r="A158" s="47">
        <v>605</v>
      </c>
      <c r="B158" s="26" t="s">
        <v>156</v>
      </c>
      <c r="C158" s="151"/>
      <c r="D158" s="151"/>
      <c r="E158" s="151"/>
      <c r="F158" s="109"/>
    </row>
    <row r="159" spans="1:10" ht="15.95" customHeight="1">
      <c r="A159" s="444"/>
      <c r="B159" s="24"/>
      <c r="C159" s="191" t="s">
        <v>95</v>
      </c>
      <c r="D159" s="134">
        <f>+J159</f>
        <v>2829</v>
      </c>
      <c r="E159" s="134" t="e">
        <f>#REF!</f>
        <v>#REF!</v>
      </c>
      <c r="F159" s="107" t="e">
        <f>+D159*E159</f>
        <v>#REF!</v>
      </c>
      <c r="H159" s="255">
        <v>2572</v>
      </c>
      <c r="I159" s="262">
        <v>1.1000000000000001</v>
      </c>
      <c r="J159" s="255">
        <f>ROUND(H159*I159,0)</f>
        <v>2829</v>
      </c>
    </row>
    <row r="160" spans="1:10" ht="15.95" customHeight="1">
      <c r="A160" s="47">
        <v>608</v>
      </c>
      <c r="B160" s="26" t="s">
        <v>157</v>
      </c>
      <c r="C160" s="305"/>
      <c r="D160" s="161"/>
      <c r="E160" s="161"/>
      <c r="F160" s="161"/>
    </row>
    <row r="161" spans="1:190" ht="15.95" customHeight="1">
      <c r="A161" s="444"/>
      <c r="B161" s="9"/>
      <c r="C161" s="168" t="s">
        <v>1</v>
      </c>
      <c r="D161" s="185"/>
      <c r="E161" s="185"/>
      <c r="F161" s="185"/>
    </row>
    <row r="162" spans="1:190" ht="15.95" customHeight="1">
      <c r="A162" s="47">
        <v>609</v>
      </c>
      <c r="B162" s="27" t="s">
        <v>158</v>
      </c>
      <c r="C162" s="305"/>
      <c r="D162" s="161"/>
      <c r="E162" s="161"/>
      <c r="F162" s="161"/>
    </row>
    <row r="163" spans="1:190" ht="15.95" customHeight="1">
      <c r="A163" s="444"/>
      <c r="B163" s="9"/>
      <c r="C163" s="168" t="s">
        <v>95</v>
      </c>
      <c r="D163" s="185">
        <f>+J163</f>
        <v>415.8</v>
      </c>
      <c r="E163" s="185" t="e">
        <f>#REF!</f>
        <v>#REF!</v>
      </c>
      <c r="F163" s="107" t="e">
        <f>+D163*E163</f>
        <v>#REF!</v>
      </c>
      <c r="H163" s="255">
        <f>+D72*L163</f>
        <v>378</v>
      </c>
      <c r="I163" s="262">
        <v>1.1000000000000001</v>
      </c>
      <c r="J163" s="255">
        <f>+H163*I163</f>
        <v>415.8</v>
      </c>
      <c r="K163" s="255" t="s">
        <v>555</v>
      </c>
      <c r="L163" s="199">
        <f>+'Zb1'!L165</f>
        <v>0.2</v>
      </c>
      <c r="GH163" s="129"/>
    </row>
    <row r="164" spans="1:190" ht="15.95" customHeight="1">
      <c r="A164" s="47">
        <v>610</v>
      </c>
      <c r="B164" s="27" t="s">
        <v>293</v>
      </c>
      <c r="C164" s="162"/>
      <c r="D164" s="140"/>
      <c r="E164" s="140"/>
      <c r="F164" s="140"/>
    </row>
    <row r="165" spans="1:190" ht="15.95" customHeight="1">
      <c r="A165" s="444"/>
      <c r="B165" s="9"/>
      <c r="C165" s="168" t="s">
        <v>292</v>
      </c>
      <c r="D165" s="185">
        <v>1</v>
      </c>
      <c r="E165" s="185" t="e">
        <f>#REF!</f>
        <v>#REF!</v>
      </c>
      <c r="F165" s="107" t="e">
        <f>+D165*E165</f>
        <v>#REF!</v>
      </c>
    </row>
    <row r="166" spans="1:190" ht="15.95" customHeight="1">
      <c r="A166" s="47" t="e">
        <f>+#REF!</f>
        <v>#REF!</v>
      </c>
      <c r="B166" s="27" t="e">
        <f>+#REF!</f>
        <v>#REF!</v>
      </c>
      <c r="C166" s="162"/>
      <c r="D166" s="140"/>
      <c r="E166" s="140"/>
      <c r="F166" s="140"/>
    </row>
    <row r="167" spans="1:190" ht="15.95" customHeight="1">
      <c r="A167" s="444"/>
      <c r="B167" s="9"/>
      <c r="C167" s="168" t="s">
        <v>27</v>
      </c>
      <c r="D167" s="185"/>
      <c r="E167" s="185" t="e">
        <f>+#REF!</f>
        <v>#REF!</v>
      </c>
      <c r="F167" s="107" t="e">
        <f>+D167*E167</f>
        <v>#REF!</v>
      </c>
    </row>
    <row r="168" spans="1:190" ht="24.75" customHeight="1">
      <c r="C168" s="95"/>
      <c r="D168" s="92"/>
      <c r="E168" s="93" t="s">
        <v>112</v>
      </c>
      <c r="F168" s="94" t="e">
        <f>SUM(F146:F165)</f>
        <v>#REF!</v>
      </c>
    </row>
    <row r="169" spans="1:190" ht="12" customHeight="1">
      <c r="D169" s="75"/>
      <c r="E169" s="62"/>
      <c r="F169" s="62"/>
    </row>
    <row r="170" spans="1:190" ht="25.5" customHeight="1">
      <c r="C170" s="95"/>
      <c r="D170" s="92"/>
      <c r="E170" s="93" t="s">
        <v>279</v>
      </c>
      <c r="F170" s="96" t="e">
        <f>+F60+F73+F91+F143+F168</f>
        <v>#REF!</v>
      </c>
    </row>
    <row r="172" spans="1:190" ht="24.75" customHeight="1">
      <c r="A172" s="436" t="s">
        <v>115</v>
      </c>
      <c r="B172" s="33"/>
      <c r="C172" s="52" t="s">
        <v>98</v>
      </c>
      <c r="D172" s="70" t="s">
        <v>99</v>
      </c>
      <c r="E172" s="241" t="s">
        <v>100</v>
      </c>
      <c r="F172" s="241" t="s">
        <v>116</v>
      </c>
    </row>
    <row r="173" spans="1:190" ht="15.95" customHeight="1">
      <c r="A173" s="437" t="s">
        <v>117</v>
      </c>
      <c r="B173" s="27" t="s">
        <v>118</v>
      </c>
      <c r="C173" s="34"/>
      <c r="D173" s="72"/>
      <c r="E173" s="109"/>
      <c r="F173" s="63"/>
    </row>
    <row r="174" spans="1:190" ht="15.95" customHeight="1">
      <c r="A174" s="36"/>
      <c r="B174" s="31"/>
      <c r="C174" s="32" t="s">
        <v>119</v>
      </c>
      <c r="D174" s="73">
        <v>0</v>
      </c>
      <c r="E174" s="113">
        <v>25000000</v>
      </c>
      <c r="F174" s="64">
        <f>+D174*E174</f>
        <v>0</v>
      </c>
    </row>
    <row r="175" spans="1:190" ht="15.95" customHeight="1">
      <c r="A175" s="437" t="s">
        <v>120</v>
      </c>
      <c r="B175" s="6" t="s">
        <v>121</v>
      </c>
      <c r="C175" s="7"/>
      <c r="D175" s="74"/>
      <c r="E175" s="108"/>
      <c r="F175" s="65"/>
    </row>
    <row r="176" spans="1:190" ht="15.95" customHeight="1">
      <c r="A176" s="36"/>
      <c r="B176" s="31"/>
      <c r="C176" s="32" t="s">
        <v>119</v>
      </c>
      <c r="D176" s="73">
        <v>0</v>
      </c>
      <c r="E176" s="113">
        <v>50000000</v>
      </c>
      <c r="F176" s="64">
        <f>+D176*E176</f>
        <v>0</v>
      </c>
    </row>
    <row r="177" spans="1:189" ht="23.25" customHeight="1">
      <c r="A177" s="407"/>
      <c r="B177" s="27"/>
      <c r="C177" s="95"/>
      <c r="D177" s="92"/>
      <c r="E177" s="93" t="s">
        <v>122</v>
      </c>
      <c r="F177" s="94">
        <f>SUM(F174:F176)</f>
        <v>0</v>
      </c>
    </row>
    <row r="179" spans="1:189" s="287" customFormat="1" ht="25.5" customHeight="1">
      <c r="A179" s="445"/>
      <c r="C179" s="288"/>
      <c r="D179" s="289"/>
      <c r="E179" s="290" t="s">
        <v>289</v>
      </c>
      <c r="F179" s="96" t="e">
        <f>F177+F170+F32</f>
        <v>#REF!</v>
      </c>
      <c r="H179" s="291"/>
      <c r="I179" s="292"/>
      <c r="J179" s="291"/>
      <c r="K179" s="293"/>
      <c r="L179" s="293"/>
      <c r="M179" s="293"/>
      <c r="N179" s="293"/>
      <c r="O179" s="293"/>
      <c r="P179" s="293"/>
      <c r="Q179" s="293"/>
      <c r="R179" s="293"/>
      <c r="S179" s="293"/>
      <c r="T179" s="293"/>
      <c r="U179" s="293"/>
      <c r="V179" s="293"/>
      <c r="W179" s="293"/>
      <c r="X179" s="293"/>
      <c r="Y179" s="293"/>
      <c r="Z179" s="293"/>
      <c r="AA179" s="293"/>
      <c r="AB179" s="293"/>
      <c r="AC179" s="293"/>
      <c r="AD179" s="293"/>
      <c r="AE179" s="293"/>
      <c r="AF179" s="293"/>
      <c r="AG179" s="293"/>
      <c r="AH179" s="293"/>
      <c r="AI179" s="293"/>
      <c r="AJ179" s="293"/>
      <c r="AK179" s="293"/>
      <c r="AL179" s="293"/>
      <c r="AM179" s="293"/>
      <c r="AN179" s="293"/>
      <c r="AO179" s="293"/>
      <c r="AP179" s="293"/>
      <c r="AQ179" s="293"/>
      <c r="AR179" s="293"/>
      <c r="AS179" s="293"/>
      <c r="AT179" s="293"/>
      <c r="AU179" s="293"/>
      <c r="AV179" s="293"/>
      <c r="AW179" s="293"/>
      <c r="AX179" s="293"/>
      <c r="AY179" s="293"/>
      <c r="AZ179" s="293"/>
      <c r="BA179" s="293"/>
      <c r="BB179" s="293"/>
      <c r="BC179" s="293"/>
      <c r="BD179" s="293"/>
      <c r="BE179" s="293"/>
      <c r="BF179" s="293"/>
      <c r="BG179" s="293"/>
      <c r="BH179" s="293"/>
      <c r="BI179" s="293"/>
      <c r="BJ179" s="293"/>
      <c r="BK179" s="293"/>
      <c r="BL179" s="293"/>
      <c r="BM179" s="293"/>
      <c r="BN179" s="293"/>
      <c r="BO179" s="293"/>
      <c r="BP179" s="293"/>
      <c r="BQ179" s="293"/>
      <c r="BR179" s="293"/>
      <c r="BS179" s="293"/>
      <c r="BT179" s="293"/>
      <c r="BU179" s="293"/>
      <c r="BV179" s="293"/>
      <c r="BW179" s="293"/>
      <c r="BX179" s="293"/>
      <c r="BY179" s="293"/>
      <c r="BZ179" s="293"/>
      <c r="CA179" s="293"/>
      <c r="CB179" s="293"/>
      <c r="CC179" s="293"/>
      <c r="CD179" s="293"/>
      <c r="CE179" s="293"/>
      <c r="CF179" s="293"/>
      <c r="CG179" s="293"/>
      <c r="CH179" s="293"/>
      <c r="CI179" s="293"/>
      <c r="CJ179" s="293"/>
      <c r="CK179" s="293"/>
      <c r="CL179" s="293"/>
      <c r="CM179" s="293"/>
      <c r="CN179" s="293"/>
      <c r="CO179" s="293"/>
      <c r="CP179" s="293"/>
      <c r="CQ179" s="293"/>
      <c r="CR179" s="293"/>
      <c r="CS179" s="293"/>
      <c r="CT179" s="293"/>
      <c r="CU179" s="293"/>
      <c r="CV179" s="293"/>
      <c r="CW179" s="293"/>
      <c r="CX179" s="293"/>
      <c r="CY179" s="293"/>
      <c r="CZ179" s="293"/>
      <c r="DA179" s="293"/>
      <c r="DB179" s="293"/>
      <c r="DC179" s="293"/>
      <c r="DD179" s="293"/>
      <c r="DE179" s="293"/>
      <c r="DF179" s="293"/>
      <c r="DG179" s="293"/>
      <c r="DH179" s="293"/>
      <c r="DI179" s="293"/>
      <c r="DJ179" s="293"/>
      <c r="DK179" s="293"/>
      <c r="DL179" s="293"/>
      <c r="DM179" s="293"/>
      <c r="DN179" s="293"/>
      <c r="DO179" s="293"/>
      <c r="DP179" s="293"/>
      <c r="DQ179" s="293"/>
      <c r="DR179" s="293"/>
      <c r="DS179" s="293"/>
      <c r="DT179" s="293"/>
      <c r="DU179" s="293"/>
      <c r="DV179" s="293"/>
      <c r="DW179" s="293"/>
      <c r="DX179" s="293"/>
      <c r="DY179" s="293"/>
      <c r="DZ179" s="293"/>
      <c r="EA179" s="293"/>
      <c r="EB179" s="293"/>
      <c r="EC179" s="293"/>
      <c r="ED179" s="293"/>
      <c r="EE179" s="293"/>
      <c r="EF179" s="293"/>
      <c r="EG179" s="293"/>
      <c r="EH179" s="293"/>
      <c r="EI179" s="293"/>
      <c r="EJ179" s="293"/>
      <c r="EK179" s="293"/>
      <c r="EL179" s="293"/>
      <c r="EM179" s="293"/>
      <c r="EN179" s="293"/>
      <c r="EO179" s="293"/>
      <c r="EP179" s="293"/>
      <c r="EQ179" s="293"/>
      <c r="ER179" s="293"/>
      <c r="ES179" s="293"/>
      <c r="ET179" s="293"/>
      <c r="EU179" s="293"/>
      <c r="EV179" s="293"/>
      <c r="EW179" s="293"/>
      <c r="EX179" s="293"/>
      <c r="EY179" s="293"/>
      <c r="EZ179" s="293"/>
      <c r="FA179" s="293"/>
      <c r="FB179" s="293"/>
      <c r="FC179" s="293"/>
      <c r="FD179" s="293"/>
      <c r="FE179" s="293"/>
      <c r="FF179" s="293"/>
      <c r="FG179" s="293"/>
      <c r="FH179" s="293"/>
      <c r="FI179" s="293"/>
      <c r="FJ179" s="293"/>
      <c r="FK179" s="293"/>
      <c r="FL179" s="293"/>
      <c r="FM179" s="293"/>
      <c r="FN179" s="293"/>
      <c r="FO179" s="293"/>
      <c r="FP179" s="293"/>
      <c r="FQ179" s="293"/>
      <c r="FR179" s="293"/>
      <c r="FS179" s="293"/>
      <c r="FT179" s="293"/>
      <c r="FU179" s="293"/>
      <c r="FV179" s="293"/>
      <c r="FW179" s="293"/>
      <c r="FX179" s="293"/>
      <c r="FY179" s="293"/>
      <c r="FZ179" s="293"/>
      <c r="GA179" s="293"/>
      <c r="GB179" s="293"/>
      <c r="GC179" s="293"/>
      <c r="GD179" s="293"/>
      <c r="GE179" s="293"/>
      <c r="GF179" s="293"/>
      <c r="GG179" s="293"/>
    </row>
    <row r="190" spans="1:189" ht="19.5">
      <c r="A190" s="434"/>
      <c r="D190" s="62"/>
      <c r="E190" s="62"/>
      <c r="F190" s="99"/>
    </row>
    <row r="191" spans="1:189" ht="26.25">
      <c r="B191" s="1859"/>
      <c r="C191" s="1859"/>
      <c r="D191" s="1859"/>
      <c r="E191" s="1859"/>
      <c r="F191" s="1859"/>
    </row>
  </sheetData>
  <mergeCells count="2">
    <mergeCell ref="A2:F2"/>
    <mergeCell ref="B191:F191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  <rowBreaks count="2" manualBreakCount="2">
    <brk id="33" max="6" man="1"/>
    <brk id="73" max="6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1" tint="4.9989318521683403E-2"/>
  </sheetPr>
  <dimension ref="A1:GG192"/>
  <sheetViews>
    <sheetView topLeftCell="A25" zoomScale="80" zoomScaleNormal="80" workbookViewId="0">
      <selection activeCell="F177" sqref="F177"/>
    </sheetView>
  </sheetViews>
  <sheetFormatPr baseColWidth="10" defaultColWidth="9.140625" defaultRowHeight="14.25"/>
  <cols>
    <col min="1" max="1" width="12.85546875" style="1194" customWidth="1"/>
    <col min="2" max="2" width="95.42578125" style="176" customWidth="1"/>
    <col min="3" max="3" width="12" style="176" customWidth="1"/>
    <col min="4" max="4" width="15.7109375" style="176" customWidth="1"/>
    <col min="5" max="5" width="19.85546875" style="176" customWidth="1"/>
    <col min="6" max="6" width="26" style="176" customWidth="1"/>
    <col min="7" max="7" width="18.140625" style="44" customWidth="1"/>
    <col min="8" max="8" width="16" style="1144" bestFit="1" customWidth="1"/>
    <col min="9" max="9" width="15" style="1145" bestFit="1" customWidth="1"/>
    <col min="10" max="10" width="16" style="1144" bestFit="1" customWidth="1"/>
    <col min="11" max="11" width="21.42578125" style="1146" bestFit="1" customWidth="1"/>
    <col min="12" max="12" width="18.85546875" style="1146" customWidth="1"/>
    <col min="13" max="13" width="13.7109375" style="1146" bestFit="1" customWidth="1"/>
    <col min="14" max="189" width="9.140625" style="1146"/>
    <col min="190" max="16384" width="9.140625" style="44"/>
  </cols>
  <sheetData>
    <row r="1" spans="1:11" ht="20.25" thickBot="1">
      <c r="A1" s="1912" t="e">
        <f>+#REF!</f>
        <v>#REF!</v>
      </c>
      <c r="B1" s="1913"/>
      <c r="C1" s="1913"/>
      <c r="D1" s="1913"/>
      <c r="E1" s="1913"/>
      <c r="F1" s="1914"/>
    </row>
    <row r="2" spans="1:11" ht="25.5" thickBot="1">
      <c r="A2" s="1856" t="s">
        <v>709</v>
      </c>
      <c r="B2" s="1857"/>
      <c r="C2" s="1857"/>
      <c r="D2" s="1857"/>
      <c r="E2" s="1857"/>
      <c r="F2" s="1858"/>
      <c r="G2" s="1147"/>
    </row>
    <row r="3" spans="1:11" s="1146" customFormat="1" ht="17.100000000000001" customHeight="1">
      <c r="A3" s="1105"/>
      <c r="B3" s="961"/>
      <c r="C3" s="961"/>
      <c r="D3" s="1106"/>
      <c r="E3" s="1107" t="s">
        <v>344</v>
      </c>
      <c r="F3" s="908"/>
      <c r="G3" s="44"/>
      <c r="H3" s="1144"/>
      <c r="I3" s="1145"/>
      <c r="J3" s="1144"/>
    </row>
    <row r="4" spans="1:11" s="1146" customFormat="1" ht="17.100000000000001" customHeight="1">
      <c r="A4" s="1105"/>
      <c r="B4" s="961"/>
      <c r="C4" s="961"/>
      <c r="D4" s="1106"/>
      <c r="E4" s="1107" t="s">
        <v>362</v>
      </c>
      <c r="F4" s="908">
        <f>(940-710)*0</f>
        <v>0</v>
      </c>
      <c r="G4" s="44"/>
      <c r="H4" s="1144"/>
      <c r="I4" s="1145"/>
      <c r="J4" s="1144"/>
    </row>
    <row r="5" spans="1:11" s="1146" customFormat="1" ht="17.100000000000001" customHeight="1">
      <c r="A5" s="1105"/>
      <c r="B5" s="961"/>
      <c r="C5" s="961"/>
      <c r="D5" s="1106"/>
      <c r="E5" s="1107" t="s">
        <v>349</v>
      </c>
      <c r="F5" s="908">
        <f>(925-700+(403)*2 +950*1.2)*0</f>
        <v>0</v>
      </c>
      <c r="G5" s="44"/>
      <c r="H5" s="1144"/>
      <c r="I5" s="1145"/>
      <c r="J5" s="1144"/>
    </row>
    <row r="6" spans="1:11" s="1146" customFormat="1" ht="17.100000000000001" customHeight="1">
      <c r="A6" s="1105"/>
      <c r="B6" s="961"/>
      <c r="C6" s="961"/>
      <c r="D6" s="1106"/>
      <c r="E6" s="1107" t="s">
        <v>345</v>
      </c>
      <c r="F6" s="908">
        <f>(1225-925+(400-0)+(700-400))*0.4</f>
        <v>400</v>
      </c>
      <c r="G6" s="44"/>
      <c r="H6" s="1144"/>
      <c r="I6" s="1145"/>
      <c r="J6" s="1144"/>
    </row>
    <row r="7" spans="1:11" s="1146" customFormat="1" ht="17.100000000000001" customHeight="1">
      <c r="A7" s="1105"/>
      <c r="B7" s="961"/>
      <c r="C7" s="961"/>
      <c r="D7" s="1106"/>
      <c r="E7" s="1107" t="s">
        <v>347</v>
      </c>
      <c r="F7" s="908">
        <f>(940-710+(150+143+120+74+42)*2+20*2*10)*0.8</f>
        <v>1350.4</v>
      </c>
      <c r="G7" s="44"/>
      <c r="H7" s="1144"/>
      <c r="I7" s="1145"/>
      <c r="J7" s="1144"/>
    </row>
    <row r="8" spans="1:11" s="1146" customFormat="1" ht="17.100000000000001" customHeight="1">
      <c r="A8" s="1105"/>
      <c r="B8" s="961"/>
      <c r="C8" s="961"/>
      <c r="D8" s="1106"/>
      <c r="E8" s="1107" t="s">
        <v>346</v>
      </c>
      <c r="F8" s="908"/>
      <c r="G8" s="44"/>
      <c r="H8" s="1144"/>
      <c r="I8" s="1145"/>
      <c r="J8" s="1144"/>
      <c r="K8" s="1146">
        <f>877*25/10</f>
        <v>2192.5</v>
      </c>
    </row>
    <row r="9" spans="1:11" s="1146" customFormat="1" ht="17.100000000000001" customHeight="1">
      <c r="A9" s="1105"/>
      <c r="B9" s="961"/>
      <c r="C9" s="961"/>
      <c r="D9" s="1106"/>
      <c r="E9" s="1107" t="s">
        <v>707</v>
      </c>
      <c r="F9" s="908">
        <f>325+30</f>
        <v>355</v>
      </c>
      <c r="G9" s="44" t="s">
        <v>679</v>
      </c>
      <c r="H9" s="1144"/>
      <c r="I9" s="1145"/>
      <c r="J9" s="1144"/>
    </row>
    <row r="10" spans="1:11" s="1146" customFormat="1" ht="17.100000000000001" customHeight="1">
      <c r="A10" s="1105"/>
      <c r="B10" s="961"/>
      <c r="C10" s="961"/>
      <c r="D10" s="1106"/>
      <c r="E10" s="1107" t="s">
        <v>594</v>
      </c>
      <c r="F10" s="908">
        <f>675-F9</f>
        <v>320</v>
      </c>
      <c r="G10" s="44">
        <v>810</v>
      </c>
      <c r="H10" s="1144"/>
      <c r="I10" s="1145"/>
      <c r="J10" s="1144"/>
    </row>
    <row r="11" spans="1:11" s="1146" customFormat="1" ht="17.100000000000001" customHeight="1">
      <c r="A11" s="1105"/>
      <c r="B11" s="961"/>
      <c r="C11" s="961"/>
      <c r="D11" s="1106"/>
      <c r="E11" s="1107" t="s">
        <v>708</v>
      </c>
      <c r="F11" s="908">
        <f>1480-F10-F9</f>
        <v>805</v>
      </c>
      <c r="G11" s="44"/>
      <c r="H11" s="1144" t="s">
        <v>659</v>
      </c>
      <c r="I11" s="1145"/>
      <c r="J11" s="1144" t="s">
        <v>660</v>
      </c>
    </row>
    <row r="12" spans="1:11" s="1146" customFormat="1" ht="17.100000000000001" customHeight="1">
      <c r="A12" s="1105"/>
      <c r="B12" s="961"/>
      <c r="C12" s="961"/>
      <c r="D12" s="1106"/>
      <c r="E12" s="1107" t="s">
        <v>671</v>
      </c>
      <c r="F12" s="908">
        <f>(1525-1135)*0</f>
        <v>0</v>
      </c>
      <c r="G12" s="44"/>
      <c r="H12" s="1144"/>
      <c r="I12" s="1145">
        <f>840/30</f>
        <v>28</v>
      </c>
      <c r="J12" s="1144"/>
    </row>
    <row r="13" spans="1:11" s="1146" customFormat="1" ht="17.100000000000001" customHeight="1">
      <c r="A13" s="1105"/>
      <c r="B13" s="961"/>
      <c r="C13" s="961"/>
      <c r="D13" s="1106"/>
      <c r="E13" s="1107" t="s">
        <v>657</v>
      </c>
      <c r="F13" s="908"/>
      <c r="G13" s="44">
        <v>9.84</v>
      </c>
      <c r="H13" s="1144">
        <f>+F13*G13</f>
        <v>0</v>
      </c>
      <c r="I13" s="1145">
        <v>4</v>
      </c>
      <c r="J13" s="1144">
        <f>+F13*I13</f>
        <v>0</v>
      </c>
    </row>
    <row r="14" spans="1:11" s="1146" customFormat="1" ht="17.100000000000001" customHeight="1">
      <c r="A14" s="1105"/>
      <c r="B14" s="961"/>
      <c r="C14" s="961"/>
      <c r="D14" s="1106"/>
      <c r="E14" s="1107" t="s">
        <v>658</v>
      </c>
      <c r="F14" s="908"/>
      <c r="G14" s="44">
        <v>9.84</v>
      </c>
      <c r="H14" s="1144">
        <f t="shared" ref="H14:H17" si="0">+F14*G14</f>
        <v>0</v>
      </c>
      <c r="I14" s="1145">
        <v>5</v>
      </c>
      <c r="J14" s="1144">
        <f t="shared" ref="J14:J20" si="1">+F14*I14</f>
        <v>0</v>
      </c>
    </row>
    <row r="15" spans="1:11" s="1146" customFormat="1" ht="17.100000000000001" customHeight="1">
      <c r="A15" s="1105"/>
      <c r="B15" s="961"/>
      <c r="C15" s="961"/>
      <c r="D15" s="1106"/>
      <c r="E15" s="1107" t="s">
        <v>352</v>
      </c>
      <c r="F15" s="908">
        <v>700</v>
      </c>
      <c r="G15" s="44">
        <v>9.84</v>
      </c>
      <c r="H15" s="1144">
        <f t="shared" si="0"/>
        <v>6888</v>
      </c>
      <c r="I15" s="1145">
        <v>3.5</v>
      </c>
      <c r="J15" s="1144">
        <f t="shared" si="1"/>
        <v>2450</v>
      </c>
    </row>
    <row r="16" spans="1:11" s="1146" customFormat="1" ht="17.100000000000001" customHeight="1">
      <c r="A16" s="1105"/>
      <c r="B16" s="961"/>
      <c r="C16" s="961"/>
      <c r="D16" s="1106"/>
      <c r="E16" s="1107" t="s">
        <v>350</v>
      </c>
      <c r="F16" s="908"/>
      <c r="G16" s="44">
        <v>11.84</v>
      </c>
      <c r="H16" s="1144">
        <f t="shared" si="0"/>
        <v>0</v>
      </c>
      <c r="I16" s="1145">
        <f>20-11-2</f>
        <v>7</v>
      </c>
      <c r="J16" s="1144">
        <f t="shared" si="1"/>
        <v>0</v>
      </c>
    </row>
    <row r="17" spans="1:189" s="1146" customFormat="1" ht="17.100000000000001" customHeight="1">
      <c r="A17" s="1105"/>
      <c r="B17" s="961"/>
      <c r="C17" s="961"/>
      <c r="D17" s="1106"/>
      <c r="E17" s="1107" t="s">
        <v>351</v>
      </c>
      <c r="F17" s="908"/>
      <c r="G17" s="44">
        <v>9.84</v>
      </c>
      <c r="H17" s="1144">
        <f t="shared" si="0"/>
        <v>0</v>
      </c>
      <c r="I17" s="1145">
        <f>2*2</f>
        <v>4</v>
      </c>
      <c r="J17" s="1144">
        <f t="shared" si="1"/>
        <v>0</v>
      </c>
    </row>
    <row r="18" spans="1:189" s="1146" customFormat="1" ht="24" customHeight="1">
      <c r="A18" s="1607" t="s">
        <v>661</v>
      </c>
      <c r="B18" s="1607" t="s">
        <v>584</v>
      </c>
      <c r="C18" s="1607" t="s">
        <v>98</v>
      </c>
      <c r="D18" s="1607" t="s">
        <v>99</v>
      </c>
      <c r="E18" s="1592" t="s">
        <v>100</v>
      </c>
      <c r="F18" s="1592" t="s">
        <v>680</v>
      </c>
      <c r="G18" s="44"/>
      <c r="H18" s="1144">
        <f>SUM(H13:H17)</f>
        <v>6888</v>
      </c>
      <c r="I18" s="1145"/>
      <c r="J18" s="1144">
        <f>SUM(J13:J17)</f>
        <v>2450</v>
      </c>
    </row>
    <row r="19" spans="1:189" s="1317" customFormat="1" ht="24.95" customHeight="1">
      <c r="A19" s="1905" t="e">
        <f>+#REF!</f>
        <v>#REF!</v>
      </c>
      <c r="B19" s="1906"/>
      <c r="C19" s="1906"/>
      <c r="D19" s="1906"/>
      <c r="E19" s="1906"/>
      <c r="F19" s="1907"/>
      <c r="H19" s="1317">
        <f>+H18+9.84*20*(50-35)</f>
        <v>9840</v>
      </c>
      <c r="J19" s="1317">
        <f>+J18+3*2*F15</f>
        <v>6650</v>
      </c>
    </row>
    <row r="20" spans="1:189" s="1152" customFormat="1" ht="30" customHeight="1">
      <c r="A20" s="1610" t="e">
        <f>+#REF!</f>
        <v>#REF!</v>
      </c>
      <c r="B20" s="1611" t="e">
        <f>+#REF!</f>
        <v>#REF!</v>
      </c>
      <c r="C20" s="809"/>
      <c r="D20" s="712"/>
      <c r="E20" s="1613"/>
      <c r="F20" s="650"/>
      <c r="G20" s="1149"/>
      <c r="H20" s="1150"/>
      <c r="I20" s="1151"/>
      <c r="J20" s="1150">
        <f t="shared" si="1"/>
        <v>0</v>
      </c>
    </row>
    <row r="21" spans="1:189" s="1152" customFormat="1" ht="15.95" customHeight="1">
      <c r="A21" s="1418"/>
      <c r="B21" s="467"/>
      <c r="C21" s="714" t="e">
        <f>#REF!</f>
        <v>#REF!</v>
      </c>
      <c r="D21" s="714">
        <v>1</v>
      </c>
      <c r="E21" s="547" t="e">
        <f>J21</f>
        <v>#REF!</v>
      </c>
      <c r="F21" s="547" t="e">
        <f>+D21*E21</f>
        <v>#REF!</v>
      </c>
      <c r="G21" s="1149"/>
      <c r="H21" s="1153" t="e">
        <f>+F166*0.1</f>
        <v>#REF!</v>
      </c>
      <c r="I21" s="1151">
        <v>1</v>
      </c>
      <c r="J21" s="1150" t="e">
        <f>H21*I21</f>
        <v>#REF!</v>
      </c>
    </row>
    <row r="22" spans="1:189" s="1152" customFormat="1">
      <c r="A22" s="649" t="e">
        <f>+#REF!</f>
        <v>#REF!</v>
      </c>
      <c r="B22" s="1541" t="e">
        <f>+#REF!</f>
        <v>#REF!</v>
      </c>
      <c r="C22" s="1138"/>
      <c r="D22" s="543"/>
      <c r="E22" s="544"/>
      <c r="F22" s="544"/>
      <c r="G22" s="1149"/>
      <c r="H22" s="1150"/>
      <c r="I22" s="1151"/>
      <c r="J22" s="1150"/>
    </row>
    <row r="23" spans="1:189" s="1152" customFormat="1">
      <c r="A23" s="1418"/>
      <c r="B23" s="1612"/>
      <c r="C23" s="714" t="e">
        <f>#REF!</f>
        <v>#REF!</v>
      </c>
      <c r="D23" s="714">
        <v>1</v>
      </c>
      <c r="E23" s="547" t="e">
        <f>+H23</f>
        <v>#REF!</v>
      </c>
      <c r="F23" s="547" t="e">
        <f>+D23*E23</f>
        <v>#REF!</v>
      </c>
      <c r="G23" s="1149"/>
      <c r="H23" s="1150" t="e">
        <f>+F21*0.11</f>
        <v>#REF!</v>
      </c>
      <c r="I23" s="1151">
        <v>1.1000000000000001</v>
      </c>
      <c r="J23" s="1150" t="e">
        <f>H23*I23</f>
        <v>#REF!</v>
      </c>
    </row>
    <row r="24" spans="1:189" s="1152" customFormat="1" ht="18.75">
      <c r="A24" s="1120"/>
      <c r="B24" s="1121"/>
      <c r="C24" s="1608"/>
      <c r="D24" s="636"/>
      <c r="E24" s="1609" t="s">
        <v>108</v>
      </c>
      <c r="F24" s="1122" t="e">
        <f>SUM(F20:F23)</f>
        <v>#REF!</v>
      </c>
      <c r="G24" s="1149"/>
      <c r="H24" s="1150">
        <f>SUM(F13:F17)</f>
        <v>700</v>
      </c>
      <c r="I24" s="1151"/>
      <c r="J24" s="1150"/>
    </row>
    <row r="25" spans="1:189" s="1146" customFormat="1">
      <c r="A25" s="1113"/>
      <c r="B25" s="926"/>
      <c r="C25" s="926"/>
      <c r="D25" s="1114"/>
      <c r="E25" s="1115"/>
      <c r="F25" s="1115"/>
      <c r="G25" s="44"/>
      <c r="H25" s="1144"/>
      <c r="I25" s="1145"/>
      <c r="J25" s="1144"/>
    </row>
    <row r="26" spans="1:189" s="1146" customFormat="1" ht="24.95" customHeight="1">
      <c r="A26" s="1905" t="e">
        <f>+#REF!</f>
        <v>#REF!</v>
      </c>
      <c r="B26" s="1906"/>
      <c r="C26" s="1906"/>
      <c r="D26" s="1906"/>
      <c r="E26" s="1906"/>
      <c r="F26" s="1907"/>
      <c r="G26" s="44"/>
      <c r="H26" s="1144"/>
      <c r="I26" s="1145"/>
      <c r="J26" s="1144"/>
    </row>
    <row r="27" spans="1:189" s="1146" customFormat="1">
      <c r="A27" s="745" t="e">
        <f>+#REF!</f>
        <v>#REF!</v>
      </c>
      <c r="B27" s="768" t="e">
        <f>+#REF!</f>
        <v>#REF!</v>
      </c>
      <c r="C27" s="1136"/>
      <c r="D27" s="1926">
        <v>1</v>
      </c>
      <c r="E27" s="1926">
        <v>850000000</v>
      </c>
      <c r="F27" s="1926">
        <f>+D27*E27</f>
        <v>850000000</v>
      </c>
      <c r="H27" s="1144"/>
      <c r="I27" s="1145"/>
      <c r="J27" s="1144"/>
      <c r="N27" s="1146">
        <f>1.7*3</f>
        <v>5.0999999999999996</v>
      </c>
    </row>
    <row r="28" spans="1:189" s="1146" customFormat="1">
      <c r="A28" s="1418"/>
      <c r="B28" s="715"/>
      <c r="C28" s="1480" t="e">
        <f>#REF!</f>
        <v>#REF!</v>
      </c>
      <c r="D28" s="1927"/>
      <c r="E28" s="1927"/>
      <c r="F28" s="1927"/>
      <c r="G28" s="1154" t="e">
        <f>+#REF!</f>
        <v>#REF!</v>
      </c>
      <c r="H28" s="1144" t="e">
        <f>+F166</f>
        <v>#REF!</v>
      </c>
      <c r="I28" s="44">
        <v>0.02</v>
      </c>
      <c r="J28" s="1144"/>
    </row>
    <row r="29" spans="1:189" s="1158" customFormat="1">
      <c r="A29" s="745" t="e">
        <f>+#REF!</f>
        <v>#REF!</v>
      </c>
      <c r="B29" s="768" t="e">
        <f>+#REF!</f>
        <v>#REF!</v>
      </c>
      <c r="C29" s="1137"/>
      <c r="D29" s="1927"/>
      <c r="E29" s="1927"/>
      <c r="F29" s="1927"/>
      <c r="G29" s="1154"/>
      <c r="H29" s="1155"/>
      <c r="I29" s="1156"/>
      <c r="J29" s="1155"/>
      <c r="K29" s="1157"/>
      <c r="L29" s="1157"/>
      <c r="M29" s="1157"/>
      <c r="N29" s="1157"/>
      <c r="O29" s="1157"/>
      <c r="P29" s="1157"/>
      <c r="Q29" s="1157"/>
      <c r="R29" s="1157"/>
      <c r="S29" s="1157"/>
      <c r="T29" s="1157"/>
      <c r="U29" s="1157"/>
      <c r="V29" s="1157"/>
      <c r="W29" s="1157"/>
      <c r="X29" s="1157"/>
      <c r="Y29" s="1157"/>
      <c r="Z29" s="1157"/>
      <c r="AA29" s="1157"/>
      <c r="AB29" s="1157"/>
      <c r="AC29" s="1157"/>
      <c r="AD29" s="1157"/>
      <c r="AE29" s="1157"/>
      <c r="AF29" s="1157"/>
      <c r="AG29" s="1157"/>
      <c r="AH29" s="1157"/>
      <c r="AI29" s="1157"/>
      <c r="AJ29" s="1157"/>
      <c r="AK29" s="1157"/>
      <c r="AL29" s="1157"/>
      <c r="AM29" s="1157"/>
      <c r="AN29" s="1157"/>
      <c r="AO29" s="1157"/>
      <c r="AP29" s="1157"/>
      <c r="AQ29" s="1157"/>
      <c r="AR29" s="1157"/>
      <c r="AS29" s="1157"/>
      <c r="AT29" s="1157"/>
      <c r="AU29" s="1157"/>
      <c r="AV29" s="1157"/>
      <c r="AW29" s="1157"/>
      <c r="AX29" s="1157"/>
      <c r="AY29" s="1157"/>
      <c r="AZ29" s="1157"/>
      <c r="BA29" s="1157"/>
      <c r="BB29" s="1157"/>
      <c r="BC29" s="1157"/>
      <c r="BD29" s="1157"/>
      <c r="BE29" s="1157"/>
      <c r="BF29" s="1157"/>
      <c r="BG29" s="1157"/>
      <c r="BH29" s="1157"/>
      <c r="BI29" s="1157"/>
      <c r="BJ29" s="1157"/>
      <c r="BK29" s="1157"/>
      <c r="BL29" s="1157"/>
      <c r="BM29" s="1157"/>
      <c r="BN29" s="1157"/>
      <c r="BO29" s="1157"/>
      <c r="BP29" s="1157"/>
      <c r="BQ29" s="1157"/>
      <c r="BR29" s="1157"/>
      <c r="BS29" s="1157"/>
      <c r="BT29" s="1157"/>
      <c r="BU29" s="1157"/>
      <c r="BV29" s="1157"/>
      <c r="BW29" s="1157"/>
      <c r="BX29" s="1157"/>
      <c r="BY29" s="1157"/>
      <c r="BZ29" s="1157"/>
      <c r="CA29" s="1157"/>
      <c r="CB29" s="1157"/>
      <c r="CC29" s="1157"/>
      <c r="CD29" s="1157"/>
      <c r="CE29" s="1157"/>
      <c r="CF29" s="1157"/>
      <c r="CG29" s="1157"/>
      <c r="CH29" s="1157"/>
      <c r="CI29" s="1157"/>
      <c r="CJ29" s="1157"/>
      <c r="CK29" s="1157"/>
      <c r="CL29" s="1157"/>
      <c r="CM29" s="1157"/>
      <c r="CN29" s="1157"/>
      <c r="CO29" s="1157"/>
      <c r="CP29" s="1157"/>
      <c r="CQ29" s="1157"/>
      <c r="CR29" s="1157"/>
      <c r="CS29" s="1157"/>
      <c r="CT29" s="1157"/>
      <c r="CU29" s="1157"/>
      <c r="CV29" s="1157"/>
      <c r="CW29" s="1157"/>
      <c r="CX29" s="1157"/>
      <c r="CY29" s="1157"/>
      <c r="CZ29" s="1157"/>
      <c r="DA29" s="1157"/>
      <c r="DB29" s="1157"/>
      <c r="DC29" s="1157"/>
      <c r="DD29" s="1157"/>
      <c r="DE29" s="1157"/>
      <c r="DF29" s="1157"/>
      <c r="DG29" s="1157"/>
      <c r="DH29" s="1157"/>
      <c r="DI29" s="1157"/>
      <c r="DJ29" s="1157"/>
      <c r="DK29" s="1157"/>
      <c r="DL29" s="1157"/>
      <c r="DM29" s="1157"/>
      <c r="DN29" s="1157"/>
      <c r="DO29" s="1157"/>
      <c r="DP29" s="1157"/>
      <c r="DQ29" s="1157"/>
      <c r="DR29" s="1157"/>
      <c r="DS29" s="1157"/>
      <c r="DT29" s="1157"/>
      <c r="DU29" s="1157"/>
      <c r="DV29" s="1157"/>
      <c r="DW29" s="1157"/>
      <c r="DX29" s="1157"/>
      <c r="DY29" s="1157"/>
      <c r="DZ29" s="1157"/>
      <c r="EA29" s="1157"/>
      <c r="EB29" s="1157"/>
      <c r="EC29" s="1157"/>
      <c r="ED29" s="1157"/>
      <c r="EE29" s="1157"/>
      <c r="EF29" s="1157"/>
      <c r="EG29" s="1157"/>
      <c r="EH29" s="1157"/>
      <c r="EI29" s="1157"/>
      <c r="EJ29" s="1157"/>
      <c r="EK29" s="1157"/>
      <c r="EL29" s="1157"/>
      <c r="EM29" s="1157"/>
      <c r="EN29" s="1157"/>
      <c r="EO29" s="1157"/>
      <c r="EP29" s="1157"/>
      <c r="EQ29" s="1157"/>
      <c r="ER29" s="1157"/>
      <c r="ES29" s="1157"/>
      <c r="ET29" s="1157"/>
      <c r="EU29" s="1157"/>
      <c r="EV29" s="1157"/>
      <c r="EW29" s="1157"/>
      <c r="EX29" s="1157"/>
      <c r="EY29" s="1157"/>
      <c r="EZ29" s="1157"/>
      <c r="FA29" s="1157"/>
      <c r="FB29" s="1157"/>
      <c r="FC29" s="1157"/>
      <c r="FD29" s="1157"/>
      <c r="FE29" s="1157"/>
      <c r="FF29" s="1157"/>
      <c r="FG29" s="1157"/>
      <c r="FH29" s="1157"/>
      <c r="FI29" s="1157"/>
      <c r="FJ29" s="1157"/>
      <c r="FK29" s="1157"/>
      <c r="FL29" s="1157"/>
      <c r="FM29" s="1157"/>
      <c r="FN29" s="1157"/>
      <c r="FO29" s="1157"/>
      <c r="FP29" s="1157"/>
      <c r="FQ29" s="1157"/>
      <c r="FR29" s="1157"/>
      <c r="FS29" s="1157"/>
      <c r="FT29" s="1157"/>
      <c r="FU29" s="1157"/>
      <c r="FV29" s="1157"/>
      <c r="FW29" s="1157"/>
      <c r="FX29" s="1157"/>
      <c r="FY29" s="1157"/>
      <c r="FZ29" s="1157"/>
      <c r="GA29" s="1157"/>
      <c r="GB29" s="1157"/>
      <c r="GC29" s="1157"/>
      <c r="GD29" s="1157"/>
      <c r="GE29" s="1157"/>
      <c r="GF29" s="1157"/>
      <c r="GG29" s="1157"/>
    </row>
    <row r="30" spans="1:189" s="1158" customFormat="1">
      <c r="A30" s="1418"/>
      <c r="B30" s="715"/>
      <c r="C30" s="1481" t="e">
        <f>#REF!</f>
        <v>#REF!</v>
      </c>
      <c r="D30" s="1927"/>
      <c r="E30" s="1927"/>
      <c r="F30" s="1927"/>
      <c r="G30" s="1154" t="e">
        <f t="shared" ref="G30" si="2">+H30*I30</f>
        <v>#REF!</v>
      </c>
      <c r="H30" s="1155" t="e">
        <f>+H28</f>
        <v>#REF!</v>
      </c>
      <c r="I30" s="1156">
        <v>0.02</v>
      </c>
      <c r="J30" s="1155" t="e">
        <f>H30*I30</f>
        <v>#REF!</v>
      </c>
      <c r="K30" s="1157"/>
      <c r="L30" s="1157"/>
      <c r="M30" s="1157"/>
      <c r="N30" s="1157"/>
      <c r="O30" s="1157"/>
      <c r="P30" s="1157"/>
      <c r="Q30" s="1157"/>
      <c r="R30" s="1157"/>
      <c r="S30" s="1157"/>
      <c r="T30" s="1157"/>
      <c r="U30" s="1157"/>
      <c r="V30" s="1157"/>
      <c r="W30" s="1157"/>
      <c r="X30" s="1157"/>
      <c r="Y30" s="1157"/>
      <c r="Z30" s="1157"/>
      <c r="AA30" s="1157"/>
      <c r="AB30" s="1157"/>
      <c r="AC30" s="1157"/>
      <c r="AD30" s="1157"/>
      <c r="AE30" s="1157"/>
      <c r="AF30" s="1157"/>
      <c r="AG30" s="1157"/>
      <c r="AH30" s="1157"/>
      <c r="AI30" s="1157"/>
      <c r="AJ30" s="1157"/>
      <c r="AK30" s="1157"/>
      <c r="AL30" s="1157"/>
      <c r="AM30" s="1157"/>
      <c r="AN30" s="1157"/>
      <c r="AO30" s="1157"/>
      <c r="AP30" s="1157"/>
      <c r="AQ30" s="1157"/>
      <c r="AR30" s="1157"/>
      <c r="AS30" s="1157"/>
      <c r="AT30" s="1157"/>
      <c r="AU30" s="1157"/>
      <c r="AV30" s="1157"/>
      <c r="AW30" s="1157"/>
      <c r="AX30" s="1157"/>
      <c r="AY30" s="1157"/>
      <c r="AZ30" s="1157"/>
      <c r="BA30" s="1157"/>
      <c r="BB30" s="1157"/>
      <c r="BC30" s="1157"/>
      <c r="BD30" s="1157"/>
      <c r="BE30" s="1157"/>
      <c r="BF30" s="1157"/>
      <c r="BG30" s="1157"/>
      <c r="BH30" s="1157"/>
      <c r="BI30" s="1157"/>
      <c r="BJ30" s="1157"/>
      <c r="BK30" s="1157"/>
      <c r="BL30" s="1157"/>
      <c r="BM30" s="1157"/>
      <c r="BN30" s="1157"/>
      <c r="BO30" s="1157"/>
      <c r="BP30" s="1157"/>
      <c r="BQ30" s="1157"/>
      <c r="BR30" s="1157"/>
      <c r="BS30" s="1157"/>
      <c r="BT30" s="1157"/>
      <c r="BU30" s="1157"/>
      <c r="BV30" s="1157"/>
      <c r="BW30" s="1157"/>
      <c r="BX30" s="1157"/>
      <c r="BY30" s="1157"/>
      <c r="BZ30" s="1157"/>
      <c r="CA30" s="1157"/>
      <c r="CB30" s="1157"/>
      <c r="CC30" s="1157"/>
      <c r="CD30" s="1157"/>
      <c r="CE30" s="1157"/>
      <c r="CF30" s="1157"/>
      <c r="CG30" s="1157"/>
      <c r="CH30" s="1157"/>
      <c r="CI30" s="1157"/>
      <c r="CJ30" s="1157"/>
      <c r="CK30" s="1157"/>
      <c r="CL30" s="1157"/>
      <c r="CM30" s="1157"/>
      <c r="CN30" s="1157"/>
      <c r="CO30" s="1157"/>
      <c r="CP30" s="1157"/>
      <c r="CQ30" s="1157"/>
      <c r="CR30" s="1157"/>
      <c r="CS30" s="1157"/>
      <c r="CT30" s="1157"/>
      <c r="CU30" s="1157"/>
      <c r="CV30" s="1157"/>
      <c r="CW30" s="1157"/>
      <c r="CX30" s="1157"/>
      <c r="CY30" s="1157"/>
      <c r="CZ30" s="1157"/>
      <c r="DA30" s="1157"/>
      <c r="DB30" s="1157"/>
      <c r="DC30" s="1157"/>
      <c r="DD30" s="1157"/>
      <c r="DE30" s="1157"/>
      <c r="DF30" s="1157"/>
      <c r="DG30" s="1157"/>
      <c r="DH30" s="1157"/>
      <c r="DI30" s="1157"/>
      <c r="DJ30" s="1157"/>
      <c r="DK30" s="1157"/>
      <c r="DL30" s="1157"/>
      <c r="DM30" s="1157"/>
      <c r="DN30" s="1157"/>
      <c r="DO30" s="1157"/>
      <c r="DP30" s="1157"/>
      <c r="DQ30" s="1157"/>
      <c r="DR30" s="1157"/>
      <c r="DS30" s="1157"/>
      <c r="DT30" s="1157"/>
      <c r="DU30" s="1157"/>
      <c r="DV30" s="1157"/>
      <c r="DW30" s="1157"/>
      <c r="DX30" s="1157"/>
      <c r="DY30" s="1157"/>
      <c r="DZ30" s="1157"/>
      <c r="EA30" s="1157"/>
      <c r="EB30" s="1157"/>
      <c r="EC30" s="1157"/>
      <c r="ED30" s="1157"/>
      <c r="EE30" s="1157"/>
      <c r="EF30" s="1157"/>
      <c r="EG30" s="1157"/>
      <c r="EH30" s="1157"/>
      <c r="EI30" s="1157"/>
      <c r="EJ30" s="1157"/>
      <c r="EK30" s="1157"/>
      <c r="EL30" s="1157"/>
      <c r="EM30" s="1157"/>
      <c r="EN30" s="1157"/>
      <c r="EO30" s="1157"/>
      <c r="EP30" s="1157"/>
      <c r="EQ30" s="1157"/>
      <c r="ER30" s="1157"/>
      <c r="ES30" s="1157"/>
      <c r="ET30" s="1157"/>
      <c r="EU30" s="1157"/>
      <c r="EV30" s="1157"/>
      <c r="EW30" s="1157"/>
      <c r="EX30" s="1157"/>
      <c r="EY30" s="1157"/>
      <c r="EZ30" s="1157"/>
      <c r="FA30" s="1157"/>
      <c r="FB30" s="1157"/>
      <c r="FC30" s="1157"/>
      <c r="FD30" s="1157"/>
      <c r="FE30" s="1157"/>
      <c r="FF30" s="1157"/>
      <c r="FG30" s="1157"/>
      <c r="FH30" s="1157"/>
      <c r="FI30" s="1157"/>
      <c r="FJ30" s="1157"/>
      <c r="FK30" s="1157"/>
      <c r="FL30" s="1157"/>
      <c r="FM30" s="1157"/>
      <c r="FN30" s="1157"/>
      <c r="FO30" s="1157"/>
      <c r="FP30" s="1157"/>
      <c r="FQ30" s="1157"/>
      <c r="FR30" s="1157"/>
      <c r="FS30" s="1157"/>
      <c r="FT30" s="1157"/>
      <c r="FU30" s="1157"/>
      <c r="FV30" s="1157"/>
      <c r="FW30" s="1157"/>
      <c r="FX30" s="1157"/>
      <c r="FY30" s="1157"/>
      <c r="FZ30" s="1157"/>
      <c r="GA30" s="1157"/>
      <c r="GB30" s="1157"/>
      <c r="GC30" s="1157"/>
      <c r="GD30" s="1157"/>
      <c r="GE30" s="1157"/>
      <c r="GF30" s="1157"/>
      <c r="GG30" s="1157"/>
    </row>
    <row r="31" spans="1:189">
      <c r="A31" s="745" t="e">
        <f>+#REF!</f>
        <v>#REF!</v>
      </c>
      <c r="B31" s="768" t="e">
        <f>+#REF!</f>
        <v>#REF!</v>
      </c>
      <c r="C31" s="1136"/>
      <c r="D31" s="1927"/>
      <c r="E31" s="1927"/>
      <c r="F31" s="1927"/>
      <c r="G31" s="1154"/>
    </row>
    <row r="32" spans="1:189">
      <c r="A32" s="1418"/>
      <c r="B32" s="715"/>
      <c r="C32" s="1480" t="e">
        <f>#REF!</f>
        <v>#REF!</v>
      </c>
      <c r="D32" s="1927"/>
      <c r="E32" s="1927"/>
      <c r="F32" s="1927"/>
      <c r="G32" s="1154" t="e">
        <f>+#REF!</f>
        <v>#REF!</v>
      </c>
      <c r="H32" s="1144" t="e">
        <f>+H30</f>
        <v>#REF!</v>
      </c>
      <c r="I32" s="1145">
        <v>0.01</v>
      </c>
    </row>
    <row r="33" spans="1:189">
      <c r="A33" s="745" t="e">
        <f>+#REF!</f>
        <v>#REF!</v>
      </c>
      <c r="B33" s="768" t="e">
        <f>+#REF!</f>
        <v>#REF!</v>
      </c>
      <c r="C33" s="1136"/>
      <c r="D33" s="1927"/>
      <c r="E33" s="1927"/>
      <c r="F33" s="1927"/>
      <c r="G33" s="1154"/>
    </row>
    <row r="34" spans="1:189">
      <c r="A34" s="1418"/>
      <c r="B34" s="715"/>
      <c r="C34" s="1480" t="e">
        <f>#REF!</f>
        <v>#REF!</v>
      </c>
      <c r="D34" s="1927"/>
      <c r="E34" s="1927"/>
      <c r="F34" s="1927"/>
      <c r="H34" s="1144" t="e">
        <f>H23/50*50%</f>
        <v>#REF!</v>
      </c>
      <c r="I34" s="1156">
        <v>1.05</v>
      </c>
      <c r="J34" s="1155" t="e">
        <f>H34*I34</f>
        <v>#REF!</v>
      </c>
    </row>
    <row r="35" spans="1:189" ht="30" customHeight="1">
      <c r="A35" s="745" t="e">
        <f>+#REF!</f>
        <v>#REF!</v>
      </c>
      <c r="B35" s="1614" t="e">
        <f>+#REF!</f>
        <v>#REF!</v>
      </c>
      <c r="C35" s="1136"/>
      <c r="D35" s="1927"/>
      <c r="E35" s="1927"/>
      <c r="F35" s="1927"/>
      <c r="H35" s="1144" t="e">
        <f>H23/25*50%</f>
        <v>#REF!</v>
      </c>
      <c r="I35" s="1156">
        <v>1.05</v>
      </c>
      <c r="J35" s="1155" t="e">
        <f>H35*I35</f>
        <v>#REF!</v>
      </c>
    </row>
    <row r="36" spans="1:189">
      <c r="A36" s="1418"/>
      <c r="B36" s="715"/>
      <c r="C36" s="1480" t="e">
        <f>#REF!</f>
        <v>#REF!</v>
      </c>
      <c r="D36" s="1928"/>
      <c r="E36" s="1928"/>
      <c r="F36" s="1928"/>
      <c r="G36" s="1154" t="e">
        <f>SUM(G28:G32)</f>
        <v>#REF!</v>
      </c>
      <c r="H36" s="1144">
        <v>20</v>
      </c>
      <c r="I36" s="1156">
        <v>1.05</v>
      </c>
      <c r="J36" s="1155">
        <f>H36*I36</f>
        <v>21</v>
      </c>
    </row>
    <row r="37" spans="1:189">
      <c r="A37" s="745" t="e">
        <f>+#REF!</f>
        <v>#REF!</v>
      </c>
      <c r="B37" s="768" t="e">
        <f>+#REF!</f>
        <v>#REF!</v>
      </c>
      <c r="C37" s="1136"/>
      <c r="D37" s="544"/>
      <c r="E37" s="1136"/>
      <c r="F37" s="544"/>
      <c r="H37" s="1144" t="e">
        <f>30%*H23</f>
        <v>#REF!</v>
      </c>
      <c r="I37" s="1156">
        <v>1.05</v>
      </c>
      <c r="J37" s="1155" t="e">
        <f>H37*I37</f>
        <v>#REF!</v>
      </c>
    </row>
    <row r="38" spans="1:189">
      <c r="A38" s="1418"/>
      <c r="B38" s="715"/>
      <c r="C38" s="1480" t="e">
        <f>#REF!</f>
        <v>#REF!</v>
      </c>
      <c r="D38" s="547">
        <v>20</v>
      </c>
      <c r="E38" s="963" t="e">
        <f>+#REF!</f>
        <v>#REF!</v>
      </c>
      <c r="F38" s="547" t="e">
        <f t="shared" ref="F38" si="3">+D38*E38</f>
        <v>#REF!</v>
      </c>
    </row>
    <row r="39" spans="1:189" ht="18.75">
      <c r="A39" s="1123"/>
      <c r="B39" s="1124"/>
      <c r="C39" s="1608"/>
      <c r="D39" s="636"/>
      <c r="E39" s="1609" t="s">
        <v>106</v>
      </c>
      <c r="F39" s="1122" t="e">
        <f>SUM(F27:F38)</f>
        <v>#REF!</v>
      </c>
    </row>
    <row r="40" spans="1:189" ht="15" customHeight="1">
      <c r="A40" s="1123"/>
      <c r="B40" s="1124"/>
      <c r="C40" s="1124"/>
      <c r="D40" s="1124"/>
      <c r="E40" s="1124"/>
      <c r="F40" s="1124"/>
    </row>
    <row r="41" spans="1:189" ht="24.95" customHeight="1">
      <c r="A41" s="1123"/>
      <c r="B41" s="1124"/>
      <c r="C41" s="1608"/>
      <c r="D41" s="636"/>
      <c r="E41" s="1609" t="s">
        <v>107</v>
      </c>
      <c r="F41" s="1122" t="e">
        <f>+F24+F39</f>
        <v>#REF!</v>
      </c>
    </row>
    <row r="42" spans="1:189" ht="15" customHeight="1">
      <c r="A42" s="1123"/>
      <c r="B42" s="1124"/>
      <c r="C42" s="1124"/>
      <c r="D42" s="1124"/>
      <c r="E42" s="1124"/>
      <c r="F42" s="1124"/>
    </row>
    <row r="43" spans="1:189" ht="24.95" customHeight="1">
      <c r="A43" s="1905" t="e">
        <f>+#REF!</f>
        <v>#REF!</v>
      </c>
      <c r="B43" s="1906"/>
      <c r="C43" s="1906"/>
      <c r="D43" s="1906"/>
      <c r="E43" s="1906"/>
      <c r="F43" s="1907"/>
    </row>
    <row r="44" spans="1:189" s="1149" customFormat="1" ht="15.95" customHeight="1">
      <c r="A44" s="745" t="e">
        <f>+#REF!</f>
        <v>#REF!</v>
      </c>
      <c r="B44" s="768" t="e">
        <f>+#REF!</f>
        <v>#REF!</v>
      </c>
      <c r="C44" s="1534"/>
      <c r="D44" s="543"/>
      <c r="E44" s="544"/>
      <c r="F44" s="544"/>
      <c r="H44" s="1150"/>
      <c r="I44" s="1151"/>
      <c r="J44" s="1150"/>
      <c r="K44" s="1152"/>
      <c r="L44" s="1152"/>
      <c r="M44" s="1152"/>
      <c r="N44" s="1152"/>
      <c r="O44" s="1152"/>
      <c r="P44" s="1152"/>
      <c r="Q44" s="1152"/>
      <c r="R44" s="1152"/>
      <c r="S44" s="1152"/>
      <c r="T44" s="1152"/>
      <c r="U44" s="1152"/>
      <c r="V44" s="1152"/>
      <c r="W44" s="1152"/>
      <c r="X44" s="1152"/>
      <c r="Y44" s="1152"/>
      <c r="Z44" s="1152"/>
      <c r="AA44" s="1152"/>
      <c r="AB44" s="1152"/>
      <c r="AC44" s="1152"/>
      <c r="AD44" s="1152"/>
      <c r="AE44" s="1152"/>
      <c r="AF44" s="1152"/>
      <c r="AG44" s="1152"/>
      <c r="AH44" s="1152"/>
      <c r="AI44" s="1152"/>
      <c r="AJ44" s="1152"/>
      <c r="AK44" s="1152"/>
      <c r="AL44" s="1152"/>
      <c r="AM44" s="1152"/>
      <c r="AN44" s="1152"/>
      <c r="AO44" s="1152"/>
      <c r="AP44" s="1152"/>
      <c r="AQ44" s="1152"/>
      <c r="AR44" s="1152"/>
      <c r="AS44" s="1152"/>
      <c r="AT44" s="1152"/>
      <c r="AU44" s="1152"/>
      <c r="AV44" s="1152"/>
      <c r="AW44" s="1152"/>
      <c r="AX44" s="1152"/>
      <c r="AY44" s="1152"/>
      <c r="AZ44" s="1152"/>
      <c r="BA44" s="1152"/>
      <c r="BB44" s="1152"/>
      <c r="BC44" s="1152"/>
      <c r="BD44" s="1152"/>
      <c r="BE44" s="1152"/>
      <c r="BF44" s="1152"/>
      <c r="BG44" s="1152"/>
      <c r="BH44" s="1152"/>
      <c r="BI44" s="1152"/>
      <c r="BJ44" s="1152"/>
      <c r="BK44" s="1152"/>
      <c r="BL44" s="1152"/>
      <c r="BM44" s="1152"/>
      <c r="BN44" s="1152"/>
      <c r="BO44" s="1152"/>
      <c r="BP44" s="1152"/>
      <c r="BQ44" s="1152"/>
      <c r="BR44" s="1152"/>
      <c r="BS44" s="1152"/>
      <c r="BT44" s="1152"/>
      <c r="BU44" s="1152"/>
      <c r="BV44" s="1152"/>
      <c r="BW44" s="1152"/>
      <c r="BX44" s="1152"/>
      <c r="BY44" s="1152"/>
      <c r="BZ44" s="1152"/>
      <c r="CA44" s="1152"/>
      <c r="CB44" s="1152"/>
      <c r="CC44" s="1152"/>
      <c r="CD44" s="1152"/>
      <c r="CE44" s="1152"/>
      <c r="CF44" s="1152"/>
      <c r="CG44" s="1152"/>
      <c r="CH44" s="1152"/>
      <c r="CI44" s="1152"/>
      <c r="CJ44" s="1152"/>
      <c r="CK44" s="1152"/>
      <c r="CL44" s="1152"/>
      <c r="CM44" s="1152"/>
      <c r="CN44" s="1152"/>
      <c r="CO44" s="1152"/>
      <c r="CP44" s="1152"/>
      <c r="CQ44" s="1152"/>
      <c r="CR44" s="1152"/>
      <c r="CS44" s="1152"/>
      <c r="CT44" s="1152"/>
      <c r="CU44" s="1152"/>
      <c r="CV44" s="1152"/>
      <c r="CW44" s="1152"/>
      <c r="CX44" s="1152"/>
      <c r="CY44" s="1152"/>
      <c r="CZ44" s="1152"/>
      <c r="DA44" s="1152"/>
      <c r="DB44" s="1152"/>
      <c r="DC44" s="1152"/>
      <c r="DD44" s="1152"/>
      <c r="DE44" s="1152"/>
      <c r="DF44" s="1152"/>
      <c r="DG44" s="1152"/>
      <c r="DH44" s="1152"/>
      <c r="DI44" s="1152"/>
      <c r="DJ44" s="1152"/>
      <c r="DK44" s="1152"/>
      <c r="DL44" s="1152"/>
      <c r="DM44" s="1152"/>
      <c r="DN44" s="1152"/>
      <c r="DO44" s="1152"/>
      <c r="DP44" s="1152"/>
      <c r="DQ44" s="1152"/>
      <c r="DR44" s="1152"/>
      <c r="DS44" s="1152"/>
      <c r="DT44" s="1152"/>
      <c r="DU44" s="1152"/>
      <c r="DV44" s="1152"/>
      <c r="DW44" s="1152"/>
      <c r="DX44" s="1152"/>
      <c r="DY44" s="1152"/>
      <c r="DZ44" s="1152"/>
      <c r="EA44" s="1152"/>
      <c r="EB44" s="1152"/>
      <c r="EC44" s="1152"/>
      <c r="ED44" s="1152"/>
      <c r="EE44" s="1152"/>
      <c r="EF44" s="1152"/>
      <c r="EG44" s="1152"/>
      <c r="EH44" s="1152"/>
      <c r="EI44" s="1152"/>
      <c r="EJ44" s="1152"/>
      <c r="EK44" s="1152"/>
      <c r="EL44" s="1152"/>
      <c r="EM44" s="1152"/>
      <c r="EN44" s="1152"/>
      <c r="EO44" s="1152"/>
      <c r="EP44" s="1152"/>
      <c r="EQ44" s="1152"/>
      <c r="ER44" s="1152"/>
      <c r="ES44" s="1152"/>
      <c r="ET44" s="1152"/>
      <c r="EU44" s="1152"/>
      <c r="EV44" s="1152"/>
      <c r="EW44" s="1152"/>
      <c r="EX44" s="1152"/>
      <c r="EY44" s="1152"/>
      <c r="EZ44" s="1152"/>
      <c r="FA44" s="1152"/>
      <c r="FB44" s="1152"/>
      <c r="FC44" s="1152"/>
      <c r="FD44" s="1152"/>
      <c r="FE44" s="1152"/>
      <c r="FF44" s="1152"/>
      <c r="FG44" s="1152"/>
      <c r="FH44" s="1152"/>
      <c r="FI44" s="1152"/>
      <c r="FJ44" s="1152"/>
      <c r="FK44" s="1152"/>
      <c r="FL44" s="1152"/>
      <c r="FM44" s="1152"/>
      <c r="FN44" s="1152"/>
      <c r="FO44" s="1152"/>
      <c r="FP44" s="1152"/>
      <c r="FQ44" s="1152"/>
      <c r="FR44" s="1152"/>
      <c r="FS44" s="1152"/>
      <c r="FT44" s="1152"/>
      <c r="FU44" s="1152"/>
      <c r="FV44" s="1152"/>
      <c r="FW44" s="1152"/>
      <c r="FX44" s="1152"/>
      <c r="FY44" s="1152"/>
      <c r="FZ44" s="1152"/>
      <c r="GA44" s="1152"/>
      <c r="GB44" s="1152"/>
      <c r="GC44" s="1152"/>
      <c r="GD44" s="1152"/>
      <c r="GE44" s="1152"/>
      <c r="GF44" s="1152"/>
      <c r="GG44" s="1152"/>
    </row>
    <row r="45" spans="1:189" s="1149" customFormat="1" ht="15.95" customHeight="1">
      <c r="A45" s="639"/>
      <c r="B45" s="467"/>
      <c r="C45" s="1554" t="e">
        <f>#REF!</f>
        <v>#REF!</v>
      </c>
      <c r="D45" s="1521">
        <v>1</v>
      </c>
      <c r="E45" s="547">
        <f>25672373</f>
        <v>25672373</v>
      </c>
      <c r="F45" s="547">
        <f>+D45*E45</f>
        <v>25672373</v>
      </c>
      <c r="H45" s="1150"/>
      <c r="I45" s="1151"/>
      <c r="J45" s="1150"/>
      <c r="K45" s="1152"/>
      <c r="L45" s="1152"/>
      <c r="M45" s="1152"/>
      <c r="N45" s="1152"/>
      <c r="O45" s="1152"/>
      <c r="P45" s="1152"/>
      <c r="Q45" s="1152"/>
      <c r="R45" s="1152"/>
      <c r="S45" s="1152"/>
      <c r="T45" s="1152"/>
      <c r="U45" s="1152"/>
      <c r="V45" s="1152"/>
      <c r="W45" s="1152"/>
      <c r="X45" s="1152"/>
      <c r="Y45" s="1152"/>
      <c r="Z45" s="1152"/>
      <c r="AA45" s="1152"/>
      <c r="AB45" s="1152"/>
      <c r="AC45" s="1152"/>
      <c r="AD45" s="1152"/>
      <c r="AE45" s="1152"/>
      <c r="AF45" s="1152"/>
      <c r="AG45" s="1152"/>
      <c r="AH45" s="1152"/>
      <c r="AI45" s="1152"/>
      <c r="AJ45" s="1152"/>
      <c r="AK45" s="1152"/>
      <c r="AL45" s="1152"/>
      <c r="AM45" s="1152"/>
      <c r="AN45" s="1152"/>
      <c r="AO45" s="1152"/>
      <c r="AP45" s="1152"/>
      <c r="AQ45" s="1152"/>
      <c r="AR45" s="1152"/>
      <c r="AS45" s="1152"/>
      <c r="AT45" s="1152"/>
      <c r="AU45" s="1152"/>
      <c r="AV45" s="1152"/>
      <c r="AW45" s="1152"/>
      <c r="AX45" s="1152"/>
      <c r="AY45" s="1152"/>
      <c r="AZ45" s="1152"/>
      <c r="BA45" s="1152"/>
      <c r="BB45" s="1152"/>
      <c r="BC45" s="1152"/>
      <c r="BD45" s="1152"/>
      <c r="BE45" s="1152"/>
      <c r="BF45" s="1152"/>
      <c r="BG45" s="1152"/>
      <c r="BH45" s="1152"/>
      <c r="BI45" s="1152"/>
      <c r="BJ45" s="1152"/>
      <c r="BK45" s="1152"/>
      <c r="BL45" s="1152"/>
      <c r="BM45" s="1152"/>
      <c r="BN45" s="1152"/>
      <c r="BO45" s="1152"/>
      <c r="BP45" s="1152"/>
      <c r="BQ45" s="1152"/>
      <c r="BR45" s="1152"/>
      <c r="BS45" s="1152"/>
      <c r="BT45" s="1152"/>
      <c r="BU45" s="1152"/>
      <c r="BV45" s="1152"/>
      <c r="BW45" s="1152"/>
      <c r="BX45" s="1152"/>
      <c r="BY45" s="1152"/>
      <c r="BZ45" s="1152"/>
      <c r="CA45" s="1152"/>
      <c r="CB45" s="1152"/>
      <c r="CC45" s="1152"/>
      <c r="CD45" s="1152"/>
      <c r="CE45" s="1152"/>
      <c r="CF45" s="1152"/>
      <c r="CG45" s="1152"/>
      <c r="CH45" s="1152"/>
      <c r="CI45" s="1152"/>
      <c r="CJ45" s="1152"/>
      <c r="CK45" s="1152"/>
      <c r="CL45" s="1152"/>
      <c r="CM45" s="1152"/>
      <c r="CN45" s="1152"/>
      <c r="CO45" s="1152"/>
      <c r="CP45" s="1152"/>
      <c r="CQ45" s="1152"/>
      <c r="CR45" s="1152"/>
      <c r="CS45" s="1152"/>
      <c r="CT45" s="1152"/>
      <c r="CU45" s="1152"/>
      <c r="CV45" s="1152"/>
      <c r="CW45" s="1152"/>
      <c r="CX45" s="1152"/>
      <c r="CY45" s="1152"/>
      <c r="CZ45" s="1152"/>
      <c r="DA45" s="1152"/>
      <c r="DB45" s="1152"/>
      <c r="DC45" s="1152"/>
      <c r="DD45" s="1152"/>
      <c r="DE45" s="1152"/>
      <c r="DF45" s="1152"/>
      <c r="DG45" s="1152"/>
      <c r="DH45" s="1152"/>
      <c r="DI45" s="1152"/>
      <c r="DJ45" s="1152"/>
      <c r="DK45" s="1152"/>
      <c r="DL45" s="1152"/>
      <c r="DM45" s="1152"/>
      <c r="DN45" s="1152"/>
      <c r="DO45" s="1152"/>
      <c r="DP45" s="1152"/>
      <c r="DQ45" s="1152"/>
      <c r="DR45" s="1152"/>
      <c r="DS45" s="1152"/>
      <c r="DT45" s="1152"/>
      <c r="DU45" s="1152"/>
      <c r="DV45" s="1152"/>
      <c r="DW45" s="1152"/>
      <c r="DX45" s="1152"/>
      <c r="DY45" s="1152"/>
      <c r="DZ45" s="1152"/>
      <c r="EA45" s="1152"/>
      <c r="EB45" s="1152"/>
      <c r="EC45" s="1152"/>
      <c r="ED45" s="1152"/>
      <c r="EE45" s="1152"/>
      <c r="EF45" s="1152"/>
      <c r="EG45" s="1152"/>
      <c r="EH45" s="1152"/>
      <c r="EI45" s="1152"/>
      <c r="EJ45" s="1152"/>
      <c r="EK45" s="1152"/>
      <c r="EL45" s="1152"/>
      <c r="EM45" s="1152"/>
      <c r="EN45" s="1152"/>
      <c r="EO45" s="1152"/>
      <c r="EP45" s="1152"/>
      <c r="EQ45" s="1152"/>
      <c r="ER45" s="1152"/>
      <c r="ES45" s="1152"/>
      <c r="ET45" s="1152"/>
      <c r="EU45" s="1152"/>
      <c r="EV45" s="1152"/>
      <c r="EW45" s="1152"/>
      <c r="EX45" s="1152"/>
      <c r="EY45" s="1152"/>
      <c r="EZ45" s="1152"/>
      <c r="FA45" s="1152"/>
      <c r="FB45" s="1152"/>
      <c r="FC45" s="1152"/>
      <c r="FD45" s="1152"/>
      <c r="FE45" s="1152"/>
      <c r="FF45" s="1152"/>
      <c r="FG45" s="1152"/>
      <c r="FH45" s="1152"/>
      <c r="FI45" s="1152"/>
      <c r="FJ45" s="1152"/>
      <c r="FK45" s="1152"/>
      <c r="FL45" s="1152"/>
      <c r="FM45" s="1152"/>
      <c r="FN45" s="1152"/>
      <c r="FO45" s="1152"/>
      <c r="FP45" s="1152"/>
      <c r="FQ45" s="1152"/>
      <c r="FR45" s="1152"/>
      <c r="FS45" s="1152"/>
      <c r="FT45" s="1152"/>
      <c r="FU45" s="1152"/>
      <c r="FV45" s="1152"/>
      <c r="FW45" s="1152"/>
      <c r="FX45" s="1152"/>
      <c r="FY45" s="1152"/>
      <c r="FZ45" s="1152"/>
      <c r="GA45" s="1152"/>
      <c r="GB45" s="1152"/>
      <c r="GC45" s="1152"/>
      <c r="GD45" s="1152"/>
      <c r="GE45" s="1152"/>
      <c r="GF45" s="1152"/>
      <c r="GG45" s="1152"/>
    </row>
    <row r="46" spans="1:189" s="1149" customFormat="1" ht="15.95" customHeight="1">
      <c r="A46" s="745" t="e">
        <f>+#REF!</f>
        <v>#REF!</v>
      </c>
      <c r="B46" s="768" t="e">
        <f>+#REF!</f>
        <v>#REF!</v>
      </c>
      <c r="C46" s="1534"/>
      <c r="D46" s="543"/>
      <c r="E46" s="544"/>
      <c r="F46" s="544"/>
      <c r="H46" s="1150"/>
      <c r="I46" s="1151"/>
      <c r="J46" s="1150"/>
      <c r="K46" s="1152"/>
      <c r="L46" s="1152"/>
      <c r="M46" s="1152"/>
      <c r="N46" s="1152"/>
      <c r="O46" s="1152"/>
      <c r="P46" s="1152"/>
      <c r="Q46" s="1152"/>
      <c r="R46" s="1152"/>
      <c r="S46" s="1152"/>
      <c r="T46" s="1152"/>
      <c r="U46" s="1152"/>
      <c r="V46" s="1152"/>
      <c r="W46" s="1152"/>
      <c r="X46" s="1152"/>
      <c r="Y46" s="1152"/>
      <c r="Z46" s="1152"/>
      <c r="AA46" s="1152"/>
      <c r="AB46" s="1152"/>
      <c r="AC46" s="1152"/>
      <c r="AD46" s="1152"/>
      <c r="AE46" s="1152"/>
      <c r="AF46" s="1152"/>
      <c r="AG46" s="1152"/>
      <c r="AH46" s="1152"/>
      <c r="AI46" s="1152"/>
      <c r="AJ46" s="1152"/>
      <c r="AK46" s="1152"/>
      <c r="AL46" s="1152"/>
      <c r="AM46" s="1152"/>
      <c r="AN46" s="1152"/>
      <c r="AO46" s="1152"/>
      <c r="AP46" s="1152"/>
      <c r="AQ46" s="1152"/>
      <c r="AR46" s="1152"/>
      <c r="AS46" s="1152"/>
      <c r="AT46" s="1152"/>
      <c r="AU46" s="1152"/>
      <c r="AV46" s="1152"/>
      <c r="AW46" s="1152"/>
      <c r="AX46" s="1152"/>
      <c r="AY46" s="1152"/>
      <c r="AZ46" s="1152"/>
      <c r="BA46" s="1152"/>
      <c r="BB46" s="1152"/>
      <c r="BC46" s="1152"/>
      <c r="BD46" s="1152"/>
      <c r="BE46" s="1152"/>
      <c r="BF46" s="1152"/>
      <c r="BG46" s="1152"/>
      <c r="BH46" s="1152"/>
      <c r="BI46" s="1152"/>
      <c r="BJ46" s="1152"/>
      <c r="BK46" s="1152"/>
      <c r="BL46" s="1152"/>
      <c r="BM46" s="1152"/>
      <c r="BN46" s="1152"/>
      <c r="BO46" s="1152"/>
      <c r="BP46" s="1152"/>
      <c r="BQ46" s="1152"/>
      <c r="BR46" s="1152"/>
      <c r="BS46" s="1152"/>
      <c r="BT46" s="1152"/>
      <c r="BU46" s="1152"/>
      <c r="BV46" s="1152"/>
      <c r="BW46" s="1152"/>
      <c r="BX46" s="1152"/>
      <c r="BY46" s="1152"/>
      <c r="BZ46" s="1152"/>
      <c r="CA46" s="1152"/>
      <c r="CB46" s="1152"/>
      <c r="CC46" s="1152"/>
      <c r="CD46" s="1152"/>
      <c r="CE46" s="1152"/>
      <c r="CF46" s="1152"/>
      <c r="CG46" s="1152"/>
      <c r="CH46" s="1152"/>
      <c r="CI46" s="1152"/>
      <c r="CJ46" s="1152"/>
      <c r="CK46" s="1152"/>
      <c r="CL46" s="1152"/>
      <c r="CM46" s="1152"/>
      <c r="CN46" s="1152"/>
      <c r="CO46" s="1152"/>
      <c r="CP46" s="1152"/>
      <c r="CQ46" s="1152"/>
      <c r="CR46" s="1152"/>
      <c r="CS46" s="1152"/>
      <c r="CT46" s="1152"/>
      <c r="CU46" s="1152"/>
      <c r="CV46" s="1152"/>
      <c r="CW46" s="1152"/>
      <c r="CX46" s="1152"/>
      <c r="CY46" s="1152"/>
      <c r="CZ46" s="1152"/>
      <c r="DA46" s="1152"/>
      <c r="DB46" s="1152"/>
      <c r="DC46" s="1152"/>
      <c r="DD46" s="1152"/>
      <c r="DE46" s="1152"/>
      <c r="DF46" s="1152"/>
      <c r="DG46" s="1152"/>
      <c r="DH46" s="1152"/>
      <c r="DI46" s="1152"/>
      <c r="DJ46" s="1152"/>
      <c r="DK46" s="1152"/>
      <c r="DL46" s="1152"/>
      <c r="DM46" s="1152"/>
      <c r="DN46" s="1152"/>
      <c r="DO46" s="1152"/>
      <c r="DP46" s="1152"/>
      <c r="DQ46" s="1152"/>
      <c r="DR46" s="1152"/>
      <c r="DS46" s="1152"/>
      <c r="DT46" s="1152"/>
      <c r="DU46" s="1152"/>
      <c r="DV46" s="1152"/>
      <c r="DW46" s="1152"/>
      <c r="DX46" s="1152"/>
      <c r="DY46" s="1152"/>
      <c r="DZ46" s="1152"/>
      <c r="EA46" s="1152"/>
      <c r="EB46" s="1152"/>
      <c r="EC46" s="1152"/>
      <c r="ED46" s="1152"/>
      <c r="EE46" s="1152"/>
      <c r="EF46" s="1152"/>
      <c r="EG46" s="1152"/>
      <c r="EH46" s="1152"/>
      <c r="EI46" s="1152"/>
      <c r="EJ46" s="1152"/>
      <c r="EK46" s="1152"/>
      <c r="EL46" s="1152"/>
      <c r="EM46" s="1152"/>
      <c r="EN46" s="1152"/>
      <c r="EO46" s="1152"/>
      <c r="EP46" s="1152"/>
      <c r="EQ46" s="1152"/>
      <c r="ER46" s="1152"/>
      <c r="ES46" s="1152"/>
      <c r="ET46" s="1152"/>
      <c r="EU46" s="1152"/>
      <c r="EV46" s="1152"/>
      <c r="EW46" s="1152"/>
      <c r="EX46" s="1152"/>
      <c r="EY46" s="1152"/>
      <c r="EZ46" s="1152"/>
      <c r="FA46" s="1152"/>
      <c r="FB46" s="1152"/>
      <c r="FC46" s="1152"/>
      <c r="FD46" s="1152"/>
      <c r="FE46" s="1152"/>
      <c r="FF46" s="1152"/>
      <c r="FG46" s="1152"/>
      <c r="FH46" s="1152"/>
      <c r="FI46" s="1152"/>
      <c r="FJ46" s="1152"/>
      <c r="FK46" s="1152"/>
      <c r="FL46" s="1152"/>
      <c r="FM46" s="1152"/>
      <c r="FN46" s="1152"/>
      <c r="FO46" s="1152"/>
      <c r="FP46" s="1152"/>
      <c r="FQ46" s="1152"/>
      <c r="FR46" s="1152"/>
      <c r="FS46" s="1152"/>
      <c r="FT46" s="1152"/>
      <c r="FU46" s="1152"/>
      <c r="FV46" s="1152"/>
      <c r="FW46" s="1152"/>
      <c r="FX46" s="1152"/>
      <c r="FY46" s="1152"/>
      <c r="FZ46" s="1152"/>
      <c r="GA46" s="1152"/>
      <c r="GB46" s="1152"/>
      <c r="GC46" s="1152"/>
      <c r="GD46" s="1152"/>
      <c r="GE46" s="1152"/>
      <c r="GF46" s="1152"/>
      <c r="GG46" s="1152"/>
    </row>
    <row r="47" spans="1:189" s="1149" customFormat="1" ht="15.95" customHeight="1">
      <c r="A47" s="1615" t="e">
        <f>+#REF!</f>
        <v>#REF!</v>
      </c>
      <c r="B47" s="467" t="e">
        <f>+#REF!</f>
        <v>#REF!</v>
      </c>
      <c r="C47" s="1554" t="e">
        <f>#REF!</f>
        <v>#REF!</v>
      </c>
      <c r="D47" s="1521">
        <f>J47</f>
        <v>18720</v>
      </c>
      <c r="E47" s="547" t="e">
        <f>#REF!</f>
        <v>#REF!</v>
      </c>
      <c r="F47" s="547" t="e">
        <f>+D47*E47</f>
        <v>#REF!</v>
      </c>
      <c r="H47" s="1153">
        <f>+(1480-H24)*20</f>
        <v>15600</v>
      </c>
      <c r="I47" s="1151">
        <v>1.2</v>
      </c>
      <c r="J47" s="1150">
        <f>H47*I47</f>
        <v>18720</v>
      </c>
      <c r="K47" s="1152"/>
      <c r="L47" s="1152"/>
      <c r="M47" s="1152"/>
      <c r="N47" s="1152"/>
      <c r="O47" s="1152"/>
      <c r="P47" s="1152"/>
      <c r="Q47" s="1152"/>
      <c r="R47" s="1152"/>
      <c r="S47" s="1152"/>
      <c r="T47" s="1152"/>
      <c r="U47" s="1152"/>
      <c r="V47" s="1152"/>
      <c r="W47" s="1152"/>
      <c r="X47" s="1152"/>
      <c r="Y47" s="1152"/>
      <c r="Z47" s="1152"/>
      <c r="AA47" s="1152"/>
      <c r="AB47" s="1152"/>
      <c r="AC47" s="1152"/>
      <c r="AD47" s="1152"/>
      <c r="AE47" s="1152"/>
      <c r="AF47" s="1152"/>
      <c r="AG47" s="1152"/>
      <c r="AH47" s="1152"/>
      <c r="AI47" s="1152"/>
      <c r="AJ47" s="1152"/>
      <c r="AK47" s="1152"/>
      <c r="AL47" s="1152"/>
      <c r="AM47" s="1152"/>
      <c r="AN47" s="1152"/>
      <c r="AO47" s="1152"/>
      <c r="AP47" s="1152"/>
      <c r="AQ47" s="1152"/>
      <c r="AR47" s="1152"/>
      <c r="AS47" s="1152"/>
      <c r="AT47" s="1152"/>
      <c r="AU47" s="1152"/>
      <c r="AV47" s="1152"/>
      <c r="AW47" s="1152"/>
      <c r="AX47" s="1152"/>
      <c r="AY47" s="1152"/>
      <c r="AZ47" s="1152"/>
      <c r="BA47" s="1152"/>
      <c r="BB47" s="1152"/>
      <c r="BC47" s="1152"/>
      <c r="BD47" s="1152"/>
      <c r="BE47" s="1152"/>
      <c r="BF47" s="1152"/>
      <c r="BG47" s="1152"/>
      <c r="BH47" s="1152"/>
      <c r="BI47" s="1152"/>
      <c r="BJ47" s="1152"/>
      <c r="BK47" s="1152"/>
      <c r="BL47" s="1152"/>
      <c r="BM47" s="1152"/>
      <c r="BN47" s="1152"/>
      <c r="BO47" s="1152"/>
      <c r="BP47" s="1152"/>
      <c r="BQ47" s="1152"/>
      <c r="BR47" s="1152"/>
      <c r="BS47" s="1152"/>
      <c r="BT47" s="1152"/>
      <c r="BU47" s="1152"/>
      <c r="BV47" s="1152"/>
      <c r="BW47" s="1152"/>
      <c r="BX47" s="1152"/>
      <c r="BY47" s="1152"/>
      <c r="BZ47" s="1152"/>
      <c r="CA47" s="1152"/>
      <c r="CB47" s="1152"/>
      <c r="CC47" s="1152"/>
      <c r="CD47" s="1152"/>
      <c r="CE47" s="1152"/>
      <c r="CF47" s="1152"/>
      <c r="CG47" s="1152"/>
      <c r="CH47" s="1152"/>
      <c r="CI47" s="1152"/>
      <c r="CJ47" s="1152"/>
      <c r="CK47" s="1152"/>
      <c r="CL47" s="1152"/>
      <c r="CM47" s="1152"/>
      <c r="CN47" s="1152"/>
      <c r="CO47" s="1152"/>
      <c r="CP47" s="1152"/>
      <c r="CQ47" s="1152"/>
      <c r="CR47" s="1152"/>
      <c r="CS47" s="1152"/>
      <c r="CT47" s="1152"/>
      <c r="CU47" s="1152"/>
      <c r="CV47" s="1152"/>
      <c r="CW47" s="1152"/>
      <c r="CX47" s="1152"/>
      <c r="CY47" s="1152"/>
      <c r="CZ47" s="1152"/>
      <c r="DA47" s="1152"/>
      <c r="DB47" s="1152"/>
      <c r="DC47" s="1152"/>
      <c r="DD47" s="1152"/>
      <c r="DE47" s="1152"/>
      <c r="DF47" s="1152"/>
      <c r="DG47" s="1152"/>
      <c r="DH47" s="1152"/>
      <c r="DI47" s="1152"/>
      <c r="DJ47" s="1152"/>
      <c r="DK47" s="1152"/>
      <c r="DL47" s="1152"/>
      <c r="DM47" s="1152"/>
      <c r="DN47" s="1152"/>
      <c r="DO47" s="1152"/>
      <c r="DP47" s="1152"/>
      <c r="DQ47" s="1152"/>
      <c r="DR47" s="1152"/>
      <c r="DS47" s="1152"/>
      <c r="DT47" s="1152"/>
      <c r="DU47" s="1152"/>
      <c r="DV47" s="1152"/>
      <c r="DW47" s="1152"/>
      <c r="DX47" s="1152"/>
      <c r="DY47" s="1152"/>
      <c r="DZ47" s="1152"/>
      <c r="EA47" s="1152"/>
      <c r="EB47" s="1152"/>
      <c r="EC47" s="1152"/>
      <c r="ED47" s="1152"/>
      <c r="EE47" s="1152"/>
      <c r="EF47" s="1152"/>
      <c r="EG47" s="1152"/>
      <c r="EH47" s="1152"/>
      <c r="EI47" s="1152"/>
      <c r="EJ47" s="1152"/>
      <c r="EK47" s="1152"/>
      <c r="EL47" s="1152"/>
      <c r="EM47" s="1152"/>
      <c r="EN47" s="1152"/>
      <c r="EO47" s="1152"/>
      <c r="EP47" s="1152"/>
      <c r="EQ47" s="1152"/>
      <c r="ER47" s="1152"/>
      <c r="ES47" s="1152"/>
      <c r="ET47" s="1152"/>
      <c r="EU47" s="1152"/>
      <c r="EV47" s="1152"/>
      <c r="EW47" s="1152"/>
      <c r="EX47" s="1152"/>
      <c r="EY47" s="1152"/>
      <c r="EZ47" s="1152"/>
      <c r="FA47" s="1152"/>
      <c r="FB47" s="1152"/>
      <c r="FC47" s="1152"/>
      <c r="FD47" s="1152"/>
      <c r="FE47" s="1152"/>
      <c r="FF47" s="1152"/>
      <c r="FG47" s="1152"/>
      <c r="FH47" s="1152"/>
      <c r="FI47" s="1152"/>
      <c r="FJ47" s="1152"/>
      <c r="FK47" s="1152"/>
      <c r="FL47" s="1152"/>
      <c r="FM47" s="1152"/>
      <c r="FN47" s="1152"/>
      <c r="FO47" s="1152"/>
      <c r="FP47" s="1152"/>
      <c r="FQ47" s="1152"/>
      <c r="FR47" s="1152"/>
      <c r="FS47" s="1152"/>
      <c r="FT47" s="1152"/>
      <c r="FU47" s="1152"/>
      <c r="FV47" s="1152"/>
      <c r="FW47" s="1152"/>
      <c r="FX47" s="1152"/>
      <c r="FY47" s="1152"/>
      <c r="FZ47" s="1152"/>
      <c r="GA47" s="1152"/>
      <c r="GB47" s="1152"/>
      <c r="GC47" s="1152"/>
      <c r="GD47" s="1152"/>
      <c r="GE47" s="1152"/>
      <c r="GF47" s="1152"/>
      <c r="GG47" s="1152"/>
    </row>
    <row r="48" spans="1:189" s="1149" customFormat="1" ht="15.95" customHeight="1">
      <c r="A48" s="745" t="e">
        <f>+#REF!</f>
        <v>#REF!</v>
      </c>
      <c r="B48" s="768" t="e">
        <f>+#REF!</f>
        <v>#REF!</v>
      </c>
      <c r="C48" s="1534"/>
      <c r="D48" s="543"/>
      <c r="E48" s="544"/>
      <c r="F48" s="544"/>
      <c r="H48" s="1150"/>
      <c r="I48" s="1151"/>
      <c r="J48" s="1150"/>
      <c r="K48" s="1152"/>
      <c r="L48" s="1152"/>
      <c r="M48" s="1152"/>
      <c r="N48" s="1152"/>
      <c r="O48" s="1152"/>
      <c r="P48" s="1152"/>
      <c r="Q48" s="1152"/>
      <c r="R48" s="1152"/>
      <c r="S48" s="1152"/>
      <c r="T48" s="1152"/>
      <c r="U48" s="1152"/>
      <c r="V48" s="1152"/>
      <c r="W48" s="1152"/>
      <c r="X48" s="1152"/>
      <c r="Y48" s="1152"/>
      <c r="Z48" s="1152"/>
      <c r="AA48" s="1152"/>
      <c r="AB48" s="1152"/>
      <c r="AC48" s="1152"/>
      <c r="AD48" s="1152"/>
      <c r="AE48" s="1152"/>
      <c r="AF48" s="1152"/>
      <c r="AG48" s="1152"/>
      <c r="AH48" s="1152"/>
      <c r="AI48" s="1152"/>
      <c r="AJ48" s="1152"/>
      <c r="AK48" s="1152"/>
      <c r="AL48" s="1152"/>
      <c r="AM48" s="1152"/>
      <c r="AN48" s="1152"/>
      <c r="AO48" s="1152"/>
      <c r="AP48" s="1152"/>
      <c r="AQ48" s="1152"/>
      <c r="AR48" s="1152"/>
      <c r="AS48" s="1152"/>
      <c r="AT48" s="1152"/>
      <c r="AU48" s="1152"/>
      <c r="AV48" s="1152"/>
      <c r="AW48" s="1152"/>
      <c r="AX48" s="1152"/>
      <c r="AY48" s="1152"/>
      <c r="AZ48" s="1152"/>
      <c r="BA48" s="1152"/>
      <c r="BB48" s="1152"/>
      <c r="BC48" s="1152"/>
      <c r="BD48" s="1152"/>
      <c r="BE48" s="1152"/>
      <c r="BF48" s="1152"/>
      <c r="BG48" s="1152"/>
      <c r="BH48" s="1152"/>
      <c r="BI48" s="1152"/>
      <c r="BJ48" s="1152"/>
      <c r="BK48" s="1152"/>
      <c r="BL48" s="1152"/>
      <c r="BM48" s="1152"/>
      <c r="BN48" s="1152"/>
      <c r="BO48" s="1152"/>
      <c r="BP48" s="1152"/>
      <c r="BQ48" s="1152"/>
      <c r="BR48" s="1152"/>
      <c r="BS48" s="1152"/>
      <c r="BT48" s="1152"/>
      <c r="BU48" s="1152"/>
      <c r="BV48" s="1152"/>
      <c r="BW48" s="1152"/>
      <c r="BX48" s="1152"/>
      <c r="BY48" s="1152"/>
      <c r="BZ48" s="1152"/>
      <c r="CA48" s="1152"/>
      <c r="CB48" s="1152"/>
      <c r="CC48" s="1152"/>
      <c r="CD48" s="1152"/>
      <c r="CE48" s="1152"/>
      <c r="CF48" s="1152"/>
      <c r="CG48" s="1152"/>
      <c r="CH48" s="1152"/>
      <c r="CI48" s="1152"/>
      <c r="CJ48" s="1152"/>
      <c r="CK48" s="1152"/>
      <c r="CL48" s="1152"/>
      <c r="CM48" s="1152"/>
      <c r="CN48" s="1152"/>
      <c r="CO48" s="1152"/>
      <c r="CP48" s="1152"/>
      <c r="CQ48" s="1152"/>
      <c r="CR48" s="1152"/>
      <c r="CS48" s="1152"/>
      <c r="CT48" s="1152"/>
      <c r="CU48" s="1152"/>
      <c r="CV48" s="1152"/>
      <c r="CW48" s="1152"/>
      <c r="CX48" s="1152"/>
      <c r="CY48" s="1152"/>
      <c r="CZ48" s="1152"/>
      <c r="DA48" s="1152"/>
      <c r="DB48" s="1152"/>
      <c r="DC48" s="1152"/>
      <c r="DD48" s="1152"/>
      <c r="DE48" s="1152"/>
      <c r="DF48" s="1152"/>
      <c r="DG48" s="1152"/>
      <c r="DH48" s="1152"/>
      <c r="DI48" s="1152"/>
      <c r="DJ48" s="1152"/>
      <c r="DK48" s="1152"/>
      <c r="DL48" s="1152"/>
      <c r="DM48" s="1152"/>
      <c r="DN48" s="1152"/>
      <c r="DO48" s="1152"/>
      <c r="DP48" s="1152"/>
      <c r="DQ48" s="1152"/>
      <c r="DR48" s="1152"/>
      <c r="DS48" s="1152"/>
      <c r="DT48" s="1152"/>
      <c r="DU48" s="1152"/>
      <c r="DV48" s="1152"/>
      <c r="DW48" s="1152"/>
      <c r="DX48" s="1152"/>
      <c r="DY48" s="1152"/>
      <c r="DZ48" s="1152"/>
      <c r="EA48" s="1152"/>
      <c r="EB48" s="1152"/>
      <c r="EC48" s="1152"/>
      <c r="ED48" s="1152"/>
      <c r="EE48" s="1152"/>
      <c r="EF48" s="1152"/>
      <c r="EG48" s="1152"/>
      <c r="EH48" s="1152"/>
      <c r="EI48" s="1152"/>
      <c r="EJ48" s="1152"/>
      <c r="EK48" s="1152"/>
      <c r="EL48" s="1152"/>
      <c r="EM48" s="1152"/>
      <c r="EN48" s="1152"/>
      <c r="EO48" s="1152"/>
      <c r="EP48" s="1152"/>
      <c r="EQ48" s="1152"/>
      <c r="ER48" s="1152"/>
      <c r="ES48" s="1152"/>
      <c r="ET48" s="1152"/>
      <c r="EU48" s="1152"/>
      <c r="EV48" s="1152"/>
      <c r="EW48" s="1152"/>
      <c r="EX48" s="1152"/>
      <c r="EY48" s="1152"/>
      <c r="EZ48" s="1152"/>
      <c r="FA48" s="1152"/>
      <c r="FB48" s="1152"/>
      <c r="FC48" s="1152"/>
      <c r="FD48" s="1152"/>
      <c r="FE48" s="1152"/>
      <c r="FF48" s="1152"/>
      <c r="FG48" s="1152"/>
      <c r="FH48" s="1152"/>
      <c r="FI48" s="1152"/>
      <c r="FJ48" s="1152"/>
      <c r="FK48" s="1152"/>
      <c r="FL48" s="1152"/>
      <c r="FM48" s="1152"/>
      <c r="FN48" s="1152"/>
      <c r="FO48" s="1152"/>
      <c r="FP48" s="1152"/>
      <c r="FQ48" s="1152"/>
      <c r="FR48" s="1152"/>
      <c r="FS48" s="1152"/>
      <c r="FT48" s="1152"/>
      <c r="FU48" s="1152"/>
      <c r="FV48" s="1152"/>
      <c r="FW48" s="1152"/>
      <c r="FX48" s="1152"/>
      <c r="FY48" s="1152"/>
      <c r="FZ48" s="1152"/>
      <c r="GA48" s="1152"/>
      <c r="GB48" s="1152"/>
      <c r="GC48" s="1152"/>
      <c r="GD48" s="1152"/>
      <c r="GE48" s="1152"/>
      <c r="GF48" s="1152"/>
      <c r="GG48" s="1152"/>
    </row>
    <row r="49" spans="1:189" s="1149" customFormat="1" ht="15.95" customHeight="1">
      <c r="A49" s="639"/>
      <c r="B49" s="467"/>
      <c r="C49" s="1554" t="e">
        <f>#REF!</f>
        <v>#REF!</v>
      </c>
      <c r="D49" s="1521">
        <f>J49</f>
        <v>22.05</v>
      </c>
      <c r="E49" s="547" t="e">
        <f>#REF!</f>
        <v>#REF!</v>
      </c>
      <c r="F49" s="547" t="e">
        <f>+D49*E49</f>
        <v>#REF!</v>
      </c>
      <c r="H49" s="1150">
        <v>21</v>
      </c>
      <c r="I49" s="1151">
        <v>1.05</v>
      </c>
      <c r="J49" s="1150">
        <f>H49*I49</f>
        <v>22.05</v>
      </c>
      <c r="K49" s="1152"/>
      <c r="L49" s="1152"/>
      <c r="M49" s="1152"/>
      <c r="N49" s="1152"/>
      <c r="O49" s="1152"/>
      <c r="P49" s="1152"/>
      <c r="Q49" s="1152"/>
      <c r="R49" s="1152"/>
      <c r="S49" s="1152"/>
      <c r="T49" s="1152"/>
      <c r="U49" s="1152"/>
      <c r="V49" s="1152"/>
      <c r="W49" s="1152"/>
      <c r="X49" s="1152"/>
      <c r="Y49" s="1152"/>
      <c r="Z49" s="1152"/>
      <c r="AA49" s="1152"/>
      <c r="AB49" s="1152"/>
      <c r="AC49" s="1152"/>
      <c r="AD49" s="1152"/>
      <c r="AE49" s="1152"/>
      <c r="AF49" s="1152"/>
      <c r="AG49" s="1152"/>
      <c r="AH49" s="1152"/>
      <c r="AI49" s="1152"/>
      <c r="AJ49" s="1152"/>
      <c r="AK49" s="1152"/>
      <c r="AL49" s="1152"/>
      <c r="AM49" s="1152"/>
      <c r="AN49" s="1152"/>
      <c r="AO49" s="1152"/>
      <c r="AP49" s="1152"/>
      <c r="AQ49" s="1152"/>
      <c r="AR49" s="1152"/>
      <c r="AS49" s="1152"/>
      <c r="AT49" s="1152"/>
      <c r="AU49" s="1152"/>
      <c r="AV49" s="1152"/>
      <c r="AW49" s="1152"/>
      <c r="AX49" s="1152"/>
      <c r="AY49" s="1152"/>
      <c r="AZ49" s="1152"/>
      <c r="BA49" s="1152"/>
      <c r="BB49" s="1152"/>
      <c r="BC49" s="1152"/>
      <c r="BD49" s="1152"/>
      <c r="BE49" s="1152"/>
      <c r="BF49" s="1152"/>
      <c r="BG49" s="1152"/>
      <c r="BH49" s="1152"/>
      <c r="BI49" s="1152"/>
      <c r="BJ49" s="1152"/>
      <c r="BK49" s="1152"/>
      <c r="BL49" s="1152"/>
      <c r="BM49" s="1152"/>
      <c r="BN49" s="1152"/>
      <c r="BO49" s="1152"/>
      <c r="BP49" s="1152"/>
      <c r="BQ49" s="1152"/>
      <c r="BR49" s="1152"/>
      <c r="BS49" s="1152"/>
      <c r="BT49" s="1152"/>
      <c r="BU49" s="1152"/>
      <c r="BV49" s="1152"/>
      <c r="BW49" s="1152"/>
      <c r="BX49" s="1152"/>
      <c r="BY49" s="1152"/>
      <c r="BZ49" s="1152"/>
      <c r="CA49" s="1152"/>
      <c r="CB49" s="1152"/>
      <c r="CC49" s="1152"/>
      <c r="CD49" s="1152"/>
      <c r="CE49" s="1152"/>
      <c r="CF49" s="1152"/>
      <c r="CG49" s="1152"/>
      <c r="CH49" s="1152"/>
      <c r="CI49" s="1152"/>
      <c r="CJ49" s="1152"/>
      <c r="CK49" s="1152"/>
      <c r="CL49" s="1152"/>
      <c r="CM49" s="1152"/>
      <c r="CN49" s="1152"/>
      <c r="CO49" s="1152"/>
      <c r="CP49" s="1152"/>
      <c r="CQ49" s="1152"/>
      <c r="CR49" s="1152"/>
      <c r="CS49" s="1152"/>
      <c r="CT49" s="1152"/>
      <c r="CU49" s="1152"/>
      <c r="CV49" s="1152"/>
      <c r="CW49" s="1152"/>
      <c r="CX49" s="1152"/>
      <c r="CY49" s="1152"/>
      <c r="CZ49" s="1152"/>
      <c r="DA49" s="1152"/>
      <c r="DB49" s="1152"/>
      <c r="DC49" s="1152"/>
      <c r="DD49" s="1152"/>
      <c r="DE49" s="1152"/>
      <c r="DF49" s="1152"/>
      <c r="DG49" s="1152"/>
      <c r="DH49" s="1152"/>
      <c r="DI49" s="1152"/>
      <c r="DJ49" s="1152"/>
      <c r="DK49" s="1152"/>
      <c r="DL49" s="1152"/>
      <c r="DM49" s="1152"/>
      <c r="DN49" s="1152"/>
      <c r="DO49" s="1152"/>
      <c r="DP49" s="1152"/>
      <c r="DQ49" s="1152"/>
      <c r="DR49" s="1152"/>
      <c r="DS49" s="1152"/>
      <c r="DT49" s="1152"/>
      <c r="DU49" s="1152"/>
      <c r="DV49" s="1152"/>
      <c r="DW49" s="1152"/>
      <c r="DX49" s="1152"/>
      <c r="DY49" s="1152"/>
      <c r="DZ49" s="1152"/>
      <c r="EA49" s="1152"/>
      <c r="EB49" s="1152"/>
      <c r="EC49" s="1152"/>
      <c r="ED49" s="1152"/>
      <c r="EE49" s="1152"/>
      <c r="EF49" s="1152"/>
      <c r="EG49" s="1152"/>
      <c r="EH49" s="1152"/>
      <c r="EI49" s="1152"/>
      <c r="EJ49" s="1152"/>
      <c r="EK49" s="1152"/>
      <c r="EL49" s="1152"/>
      <c r="EM49" s="1152"/>
      <c r="EN49" s="1152"/>
      <c r="EO49" s="1152"/>
      <c r="EP49" s="1152"/>
      <c r="EQ49" s="1152"/>
      <c r="ER49" s="1152"/>
      <c r="ES49" s="1152"/>
      <c r="ET49" s="1152"/>
      <c r="EU49" s="1152"/>
      <c r="EV49" s="1152"/>
      <c r="EW49" s="1152"/>
      <c r="EX49" s="1152"/>
      <c r="EY49" s="1152"/>
      <c r="EZ49" s="1152"/>
      <c r="FA49" s="1152"/>
      <c r="FB49" s="1152"/>
      <c r="FC49" s="1152"/>
      <c r="FD49" s="1152"/>
      <c r="FE49" s="1152"/>
      <c r="FF49" s="1152"/>
      <c r="FG49" s="1152"/>
      <c r="FH49" s="1152"/>
      <c r="FI49" s="1152"/>
      <c r="FJ49" s="1152"/>
      <c r="FK49" s="1152"/>
      <c r="FL49" s="1152"/>
      <c r="FM49" s="1152"/>
      <c r="FN49" s="1152"/>
      <c r="FO49" s="1152"/>
      <c r="FP49" s="1152"/>
      <c r="FQ49" s="1152"/>
      <c r="FR49" s="1152"/>
      <c r="FS49" s="1152"/>
      <c r="FT49" s="1152"/>
      <c r="FU49" s="1152"/>
      <c r="FV49" s="1152"/>
      <c r="FW49" s="1152"/>
      <c r="FX49" s="1152"/>
      <c r="FY49" s="1152"/>
      <c r="FZ49" s="1152"/>
      <c r="GA49" s="1152"/>
      <c r="GB49" s="1152"/>
      <c r="GC49" s="1152"/>
      <c r="GD49" s="1152"/>
      <c r="GE49" s="1152"/>
      <c r="GF49" s="1152"/>
      <c r="GG49" s="1152"/>
    </row>
    <row r="50" spans="1:189" s="1149" customFormat="1" ht="15.95" customHeight="1">
      <c r="A50" s="745" t="e">
        <f>+#REF!</f>
        <v>#REF!</v>
      </c>
      <c r="B50" s="768" t="e">
        <f>+#REF!</f>
        <v>#REF!</v>
      </c>
      <c r="C50" s="1617"/>
      <c r="D50" s="954"/>
      <c r="E50" s="954"/>
      <c r="F50" s="954"/>
      <c r="H50" s="1150"/>
      <c r="I50" s="1151"/>
      <c r="J50" s="1150"/>
      <c r="K50" s="1152"/>
      <c r="L50" s="1152"/>
      <c r="M50" s="1152"/>
      <c r="N50" s="1152"/>
      <c r="O50" s="1152"/>
      <c r="P50" s="1152"/>
      <c r="Q50" s="1152"/>
      <c r="R50" s="1152"/>
      <c r="S50" s="1152"/>
      <c r="T50" s="1152"/>
      <c r="U50" s="1152"/>
      <c r="V50" s="1152"/>
      <c r="W50" s="1152"/>
      <c r="X50" s="1152"/>
      <c r="Y50" s="1152"/>
      <c r="Z50" s="1152"/>
      <c r="AA50" s="1152"/>
      <c r="AB50" s="1152"/>
      <c r="AC50" s="1152"/>
      <c r="AD50" s="1152"/>
      <c r="AE50" s="1152"/>
      <c r="AF50" s="1152"/>
      <c r="AG50" s="1152"/>
      <c r="AH50" s="1152"/>
      <c r="AI50" s="1152"/>
      <c r="AJ50" s="1152"/>
      <c r="AK50" s="1152"/>
      <c r="AL50" s="1152"/>
      <c r="AM50" s="1152"/>
      <c r="AN50" s="1152"/>
      <c r="AO50" s="1152"/>
      <c r="AP50" s="1152"/>
      <c r="AQ50" s="1152"/>
      <c r="AR50" s="1152"/>
      <c r="AS50" s="1152"/>
      <c r="AT50" s="1152"/>
      <c r="AU50" s="1152"/>
      <c r="AV50" s="1152"/>
      <c r="AW50" s="1152"/>
      <c r="AX50" s="1152"/>
      <c r="AY50" s="1152"/>
      <c r="AZ50" s="1152"/>
      <c r="BA50" s="1152"/>
      <c r="BB50" s="1152"/>
      <c r="BC50" s="1152"/>
      <c r="BD50" s="1152"/>
      <c r="BE50" s="1152"/>
      <c r="BF50" s="1152"/>
      <c r="BG50" s="1152"/>
      <c r="BH50" s="1152"/>
      <c r="BI50" s="1152"/>
      <c r="BJ50" s="1152"/>
      <c r="BK50" s="1152"/>
      <c r="BL50" s="1152"/>
      <c r="BM50" s="1152"/>
      <c r="BN50" s="1152"/>
      <c r="BO50" s="1152"/>
      <c r="BP50" s="1152"/>
      <c r="BQ50" s="1152"/>
      <c r="BR50" s="1152"/>
      <c r="BS50" s="1152"/>
      <c r="BT50" s="1152"/>
      <c r="BU50" s="1152"/>
      <c r="BV50" s="1152"/>
      <c r="BW50" s="1152"/>
      <c r="BX50" s="1152"/>
      <c r="BY50" s="1152"/>
      <c r="BZ50" s="1152"/>
      <c r="CA50" s="1152"/>
      <c r="CB50" s="1152"/>
      <c r="CC50" s="1152"/>
      <c r="CD50" s="1152"/>
      <c r="CE50" s="1152"/>
      <c r="CF50" s="1152"/>
      <c r="CG50" s="1152"/>
      <c r="CH50" s="1152"/>
      <c r="CI50" s="1152"/>
      <c r="CJ50" s="1152"/>
      <c r="CK50" s="1152"/>
      <c r="CL50" s="1152"/>
      <c r="CM50" s="1152"/>
      <c r="CN50" s="1152"/>
      <c r="CO50" s="1152"/>
      <c r="CP50" s="1152"/>
      <c r="CQ50" s="1152"/>
      <c r="CR50" s="1152"/>
      <c r="CS50" s="1152"/>
      <c r="CT50" s="1152"/>
      <c r="CU50" s="1152"/>
      <c r="CV50" s="1152"/>
      <c r="CW50" s="1152"/>
      <c r="CX50" s="1152"/>
      <c r="CY50" s="1152"/>
      <c r="CZ50" s="1152"/>
      <c r="DA50" s="1152"/>
      <c r="DB50" s="1152"/>
      <c r="DC50" s="1152"/>
      <c r="DD50" s="1152"/>
      <c r="DE50" s="1152"/>
      <c r="DF50" s="1152"/>
      <c r="DG50" s="1152"/>
      <c r="DH50" s="1152"/>
      <c r="DI50" s="1152"/>
      <c r="DJ50" s="1152"/>
      <c r="DK50" s="1152"/>
      <c r="DL50" s="1152"/>
      <c r="DM50" s="1152"/>
      <c r="DN50" s="1152"/>
      <c r="DO50" s="1152"/>
      <c r="DP50" s="1152"/>
      <c r="DQ50" s="1152"/>
      <c r="DR50" s="1152"/>
      <c r="DS50" s="1152"/>
      <c r="DT50" s="1152"/>
      <c r="DU50" s="1152"/>
      <c r="DV50" s="1152"/>
      <c r="DW50" s="1152"/>
      <c r="DX50" s="1152"/>
      <c r="DY50" s="1152"/>
      <c r="DZ50" s="1152"/>
      <c r="EA50" s="1152"/>
      <c r="EB50" s="1152"/>
      <c r="EC50" s="1152"/>
      <c r="ED50" s="1152"/>
      <c r="EE50" s="1152"/>
      <c r="EF50" s="1152"/>
      <c r="EG50" s="1152"/>
      <c r="EH50" s="1152"/>
      <c r="EI50" s="1152"/>
      <c r="EJ50" s="1152"/>
      <c r="EK50" s="1152"/>
      <c r="EL50" s="1152"/>
      <c r="EM50" s="1152"/>
      <c r="EN50" s="1152"/>
      <c r="EO50" s="1152"/>
      <c r="EP50" s="1152"/>
      <c r="EQ50" s="1152"/>
      <c r="ER50" s="1152"/>
      <c r="ES50" s="1152"/>
      <c r="ET50" s="1152"/>
      <c r="EU50" s="1152"/>
      <c r="EV50" s="1152"/>
      <c r="EW50" s="1152"/>
      <c r="EX50" s="1152"/>
      <c r="EY50" s="1152"/>
      <c r="EZ50" s="1152"/>
      <c r="FA50" s="1152"/>
      <c r="FB50" s="1152"/>
      <c r="FC50" s="1152"/>
      <c r="FD50" s="1152"/>
      <c r="FE50" s="1152"/>
      <c r="FF50" s="1152"/>
      <c r="FG50" s="1152"/>
      <c r="FH50" s="1152"/>
      <c r="FI50" s="1152"/>
      <c r="FJ50" s="1152"/>
      <c r="FK50" s="1152"/>
      <c r="FL50" s="1152"/>
      <c r="FM50" s="1152"/>
      <c r="FN50" s="1152"/>
      <c r="FO50" s="1152"/>
      <c r="FP50" s="1152"/>
      <c r="FQ50" s="1152"/>
      <c r="FR50" s="1152"/>
      <c r="FS50" s="1152"/>
      <c r="FT50" s="1152"/>
      <c r="FU50" s="1152"/>
      <c r="FV50" s="1152"/>
      <c r="FW50" s="1152"/>
      <c r="FX50" s="1152"/>
      <c r="FY50" s="1152"/>
      <c r="FZ50" s="1152"/>
      <c r="GA50" s="1152"/>
      <c r="GB50" s="1152"/>
      <c r="GC50" s="1152"/>
      <c r="GD50" s="1152"/>
      <c r="GE50" s="1152"/>
      <c r="GF50" s="1152"/>
      <c r="GG50" s="1152"/>
    </row>
    <row r="51" spans="1:189" s="1149" customFormat="1" ht="15.95" customHeight="1">
      <c r="A51" s="638" t="e">
        <f>+#REF!</f>
        <v>#REF!</v>
      </c>
      <c r="B51" s="1616" t="e">
        <f>+#REF!</f>
        <v>#REF!</v>
      </c>
      <c r="C51" s="1553" t="e">
        <f>#REF!</f>
        <v>#REF!</v>
      </c>
      <c r="D51" s="1139">
        <v>1</v>
      </c>
      <c r="E51" s="1520">
        <f>35555625</f>
        <v>35555625</v>
      </c>
      <c r="F51" s="1520">
        <f>+D51*E51</f>
        <v>35555625</v>
      </c>
      <c r="H51" s="1151">
        <v>1</v>
      </c>
      <c r="I51" s="1151">
        <f>1.05</f>
        <v>1.05</v>
      </c>
      <c r="J51" s="1151">
        <f>H51*I51</f>
        <v>1.05</v>
      </c>
      <c r="K51" s="1152"/>
      <c r="L51" s="1152"/>
      <c r="M51" s="1152"/>
      <c r="N51" s="1152"/>
      <c r="O51" s="1152"/>
      <c r="P51" s="1152"/>
      <c r="Q51" s="1152"/>
      <c r="R51" s="1152"/>
      <c r="S51" s="1152"/>
      <c r="T51" s="1152"/>
      <c r="U51" s="1152"/>
      <c r="V51" s="1152"/>
      <c r="W51" s="1152"/>
      <c r="X51" s="1152"/>
      <c r="Y51" s="1152"/>
      <c r="Z51" s="1152"/>
      <c r="AA51" s="1152"/>
      <c r="AB51" s="1152"/>
      <c r="AC51" s="1152"/>
      <c r="AD51" s="1152"/>
      <c r="AE51" s="1152"/>
      <c r="AF51" s="1152"/>
      <c r="AG51" s="1152"/>
      <c r="AH51" s="1152"/>
      <c r="AI51" s="1152"/>
      <c r="AJ51" s="1152"/>
      <c r="AK51" s="1152"/>
      <c r="AL51" s="1152"/>
      <c r="AM51" s="1152"/>
      <c r="AN51" s="1152"/>
      <c r="AO51" s="1152"/>
      <c r="AP51" s="1152"/>
      <c r="AQ51" s="1152"/>
      <c r="AR51" s="1152"/>
      <c r="AS51" s="1152"/>
      <c r="AT51" s="1152"/>
      <c r="AU51" s="1152"/>
      <c r="AV51" s="1152"/>
      <c r="AW51" s="1152"/>
      <c r="AX51" s="1152"/>
      <c r="AY51" s="1152"/>
      <c r="AZ51" s="1152"/>
      <c r="BA51" s="1152"/>
      <c r="BB51" s="1152"/>
      <c r="BC51" s="1152"/>
      <c r="BD51" s="1152"/>
      <c r="BE51" s="1152"/>
      <c r="BF51" s="1152"/>
      <c r="BG51" s="1152"/>
      <c r="BH51" s="1152"/>
      <c r="BI51" s="1152"/>
      <c r="BJ51" s="1152"/>
      <c r="BK51" s="1152"/>
      <c r="BL51" s="1152"/>
      <c r="BM51" s="1152"/>
      <c r="BN51" s="1152"/>
      <c r="BO51" s="1152"/>
      <c r="BP51" s="1152"/>
      <c r="BQ51" s="1152"/>
      <c r="BR51" s="1152"/>
      <c r="BS51" s="1152"/>
      <c r="BT51" s="1152"/>
      <c r="BU51" s="1152"/>
      <c r="BV51" s="1152"/>
      <c r="BW51" s="1152"/>
      <c r="BX51" s="1152"/>
      <c r="BY51" s="1152"/>
      <c r="BZ51" s="1152"/>
      <c r="CA51" s="1152"/>
      <c r="CB51" s="1152"/>
      <c r="CC51" s="1152"/>
      <c r="CD51" s="1152"/>
      <c r="CE51" s="1152"/>
      <c r="CF51" s="1152"/>
      <c r="CG51" s="1152"/>
      <c r="CH51" s="1152"/>
      <c r="CI51" s="1152"/>
      <c r="CJ51" s="1152"/>
      <c r="CK51" s="1152"/>
      <c r="CL51" s="1152"/>
      <c r="CM51" s="1152"/>
      <c r="CN51" s="1152"/>
      <c r="CO51" s="1152"/>
      <c r="CP51" s="1152"/>
      <c r="CQ51" s="1152"/>
      <c r="CR51" s="1152"/>
      <c r="CS51" s="1152"/>
      <c r="CT51" s="1152"/>
      <c r="CU51" s="1152"/>
      <c r="CV51" s="1152"/>
      <c r="CW51" s="1152"/>
      <c r="CX51" s="1152"/>
      <c r="CY51" s="1152"/>
      <c r="CZ51" s="1152"/>
      <c r="DA51" s="1152"/>
      <c r="DB51" s="1152"/>
      <c r="DC51" s="1152"/>
      <c r="DD51" s="1152"/>
      <c r="DE51" s="1152"/>
      <c r="DF51" s="1152"/>
      <c r="DG51" s="1152"/>
      <c r="DH51" s="1152"/>
      <c r="DI51" s="1152"/>
      <c r="DJ51" s="1152"/>
      <c r="DK51" s="1152"/>
      <c r="DL51" s="1152"/>
      <c r="DM51" s="1152"/>
      <c r="DN51" s="1152"/>
      <c r="DO51" s="1152"/>
      <c r="DP51" s="1152"/>
      <c r="DQ51" s="1152"/>
      <c r="DR51" s="1152"/>
      <c r="DS51" s="1152"/>
      <c r="DT51" s="1152"/>
      <c r="DU51" s="1152"/>
      <c r="DV51" s="1152"/>
      <c r="DW51" s="1152"/>
      <c r="DX51" s="1152"/>
      <c r="DY51" s="1152"/>
      <c r="DZ51" s="1152"/>
      <c r="EA51" s="1152"/>
      <c r="EB51" s="1152"/>
      <c r="EC51" s="1152"/>
      <c r="ED51" s="1152"/>
      <c r="EE51" s="1152"/>
      <c r="EF51" s="1152"/>
      <c r="EG51" s="1152"/>
      <c r="EH51" s="1152"/>
      <c r="EI51" s="1152"/>
      <c r="EJ51" s="1152"/>
      <c r="EK51" s="1152"/>
      <c r="EL51" s="1152"/>
      <c r="EM51" s="1152"/>
      <c r="EN51" s="1152"/>
      <c r="EO51" s="1152"/>
      <c r="EP51" s="1152"/>
      <c r="EQ51" s="1152"/>
      <c r="ER51" s="1152"/>
      <c r="ES51" s="1152"/>
      <c r="ET51" s="1152"/>
      <c r="EU51" s="1152"/>
      <c r="EV51" s="1152"/>
      <c r="EW51" s="1152"/>
      <c r="EX51" s="1152"/>
      <c r="EY51" s="1152"/>
      <c r="EZ51" s="1152"/>
      <c r="FA51" s="1152"/>
      <c r="FB51" s="1152"/>
      <c r="FC51" s="1152"/>
      <c r="FD51" s="1152"/>
      <c r="FE51" s="1152"/>
      <c r="FF51" s="1152"/>
      <c r="FG51" s="1152"/>
      <c r="FH51" s="1152"/>
      <c r="FI51" s="1152"/>
      <c r="FJ51" s="1152"/>
      <c r="FK51" s="1152"/>
      <c r="FL51" s="1152"/>
      <c r="FM51" s="1152"/>
      <c r="FN51" s="1152"/>
      <c r="FO51" s="1152"/>
      <c r="FP51" s="1152"/>
      <c r="FQ51" s="1152"/>
      <c r="FR51" s="1152"/>
      <c r="FS51" s="1152"/>
      <c r="FT51" s="1152"/>
      <c r="FU51" s="1152"/>
      <c r="FV51" s="1152"/>
      <c r="FW51" s="1152"/>
      <c r="FX51" s="1152"/>
      <c r="FY51" s="1152"/>
      <c r="FZ51" s="1152"/>
      <c r="GA51" s="1152"/>
      <c r="GB51" s="1152"/>
      <c r="GC51" s="1152"/>
      <c r="GD51" s="1152"/>
      <c r="GE51" s="1152"/>
      <c r="GF51" s="1152"/>
      <c r="GG51" s="1152"/>
    </row>
    <row r="52" spans="1:189" s="1149" customFormat="1" ht="15.95" customHeight="1">
      <c r="A52" s="638" t="e">
        <f>+#REF!</f>
        <v>#REF!</v>
      </c>
      <c r="B52" s="1616" t="e">
        <f>+#REF!</f>
        <v>#REF!</v>
      </c>
      <c r="C52" s="1553" t="e">
        <f>#REF!</f>
        <v>#REF!</v>
      </c>
      <c r="D52" s="1139">
        <v>1</v>
      </c>
      <c r="E52" s="1520">
        <f>28444500</f>
        <v>28444500</v>
      </c>
      <c r="F52" s="1520">
        <f>+D52*E52</f>
        <v>28444500</v>
      </c>
      <c r="H52" s="1151">
        <f>H51</f>
        <v>1</v>
      </c>
      <c r="I52" s="1151">
        <f>1.05</f>
        <v>1.05</v>
      </c>
      <c r="J52" s="1151">
        <f>H52*I52</f>
        <v>1.05</v>
      </c>
      <c r="K52" s="1152"/>
      <c r="L52" s="1152"/>
      <c r="M52" s="1152"/>
      <c r="N52" s="1152"/>
      <c r="O52" s="1152"/>
      <c r="P52" s="1152"/>
      <c r="Q52" s="1152"/>
      <c r="R52" s="1152"/>
      <c r="S52" s="1152"/>
      <c r="T52" s="1152"/>
      <c r="U52" s="1152"/>
      <c r="V52" s="1152"/>
      <c r="W52" s="1152"/>
      <c r="X52" s="1152"/>
      <c r="Y52" s="1152"/>
      <c r="Z52" s="1152"/>
      <c r="AA52" s="1152"/>
      <c r="AB52" s="1152"/>
      <c r="AC52" s="1152"/>
      <c r="AD52" s="1152"/>
      <c r="AE52" s="1152"/>
      <c r="AF52" s="1152"/>
      <c r="AG52" s="1152"/>
      <c r="AH52" s="1152"/>
      <c r="AI52" s="1152"/>
      <c r="AJ52" s="1152"/>
      <c r="AK52" s="1152"/>
      <c r="AL52" s="1152"/>
      <c r="AM52" s="1152"/>
      <c r="AN52" s="1152"/>
      <c r="AO52" s="1152"/>
      <c r="AP52" s="1152"/>
      <c r="AQ52" s="1152"/>
      <c r="AR52" s="1152"/>
      <c r="AS52" s="1152"/>
      <c r="AT52" s="1152"/>
      <c r="AU52" s="1152"/>
      <c r="AV52" s="1152"/>
      <c r="AW52" s="1152"/>
      <c r="AX52" s="1152"/>
      <c r="AY52" s="1152"/>
      <c r="AZ52" s="1152"/>
      <c r="BA52" s="1152"/>
      <c r="BB52" s="1152"/>
      <c r="BC52" s="1152"/>
      <c r="BD52" s="1152"/>
      <c r="BE52" s="1152"/>
      <c r="BF52" s="1152"/>
      <c r="BG52" s="1152"/>
      <c r="BH52" s="1152"/>
      <c r="BI52" s="1152"/>
      <c r="BJ52" s="1152"/>
      <c r="BK52" s="1152"/>
      <c r="BL52" s="1152"/>
      <c r="BM52" s="1152"/>
      <c r="BN52" s="1152"/>
      <c r="BO52" s="1152"/>
      <c r="BP52" s="1152"/>
      <c r="BQ52" s="1152"/>
      <c r="BR52" s="1152"/>
      <c r="BS52" s="1152"/>
      <c r="BT52" s="1152"/>
      <c r="BU52" s="1152"/>
      <c r="BV52" s="1152"/>
      <c r="BW52" s="1152"/>
      <c r="BX52" s="1152"/>
      <c r="BY52" s="1152"/>
      <c r="BZ52" s="1152"/>
      <c r="CA52" s="1152"/>
      <c r="CB52" s="1152"/>
      <c r="CC52" s="1152"/>
      <c r="CD52" s="1152"/>
      <c r="CE52" s="1152"/>
      <c r="CF52" s="1152"/>
      <c r="CG52" s="1152"/>
      <c r="CH52" s="1152"/>
      <c r="CI52" s="1152"/>
      <c r="CJ52" s="1152"/>
      <c r="CK52" s="1152"/>
      <c r="CL52" s="1152"/>
      <c r="CM52" s="1152"/>
      <c r="CN52" s="1152"/>
      <c r="CO52" s="1152"/>
      <c r="CP52" s="1152"/>
      <c r="CQ52" s="1152"/>
      <c r="CR52" s="1152"/>
      <c r="CS52" s="1152"/>
      <c r="CT52" s="1152"/>
      <c r="CU52" s="1152"/>
      <c r="CV52" s="1152"/>
      <c r="CW52" s="1152"/>
      <c r="CX52" s="1152"/>
      <c r="CY52" s="1152"/>
      <c r="CZ52" s="1152"/>
      <c r="DA52" s="1152"/>
      <c r="DB52" s="1152"/>
      <c r="DC52" s="1152"/>
      <c r="DD52" s="1152"/>
      <c r="DE52" s="1152"/>
      <c r="DF52" s="1152"/>
      <c r="DG52" s="1152"/>
      <c r="DH52" s="1152"/>
      <c r="DI52" s="1152"/>
      <c r="DJ52" s="1152"/>
      <c r="DK52" s="1152"/>
      <c r="DL52" s="1152"/>
      <c r="DM52" s="1152"/>
      <c r="DN52" s="1152"/>
      <c r="DO52" s="1152"/>
      <c r="DP52" s="1152"/>
      <c r="DQ52" s="1152"/>
      <c r="DR52" s="1152"/>
      <c r="DS52" s="1152"/>
      <c r="DT52" s="1152"/>
      <c r="DU52" s="1152"/>
      <c r="DV52" s="1152"/>
      <c r="DW52" s="1152"/>
      <c r="DX52" s="1152"/>
      <c r="DY52" s="1152"/>
      <c r="DZ52" s="1152"/>
      <c r="EA52" s="1152"/>
      <c r="EB52" s="1152"/>
      <c r="EC52" s="1152"/>
      <c r="ED52" s="1152"/>
      <c r="EE52" s="1152"/>
      <c r="EF52" s="1152"/>
      <c r="EG52" s="1152"/>
      <c r="EH52" s="1152"/>
      <c r="EI52" s="1152"/>
      <c r="EJ52" s="1152"/>
      <c r="EK52" s="1152"/>
      <c r="EL52" s="1152"/>
      <c r="EM52" s="1152"/>
      <c r="EN52" s="1152"/>
      <c r="EO52" s="1152"/>
      <c r="EP52" s="1152"/>
      <c r="EQ52" s="1152"/>
      <c r="ER52" s="1152"/>
      <c r="ES52" s="1152"/>
      <c r="ET52" s="1152"/>
      <c r="EU52" s="1152"/>
      <c r="EV52" s="1152"/>
      <c r="EW52" s="1152"/>
      <c r="EX52" s="1152"/>
      <c r="EY52" s="1152"/>
      <c r="EZ52" s="1152"/>
      <c r="FA52" s="1152"/>
      <c r="FB52" s="1152"/>
      <c r="FC52" s="1152"/>
      <c r="FD52" s="1152"/>
      <c r="FE52" s="1152"/>
      <c r="FF52" s="1152"/>
      <c r="FG52" s="1152"/>
      <c r="FH52" s="1152"/>
      <c r="FI52" s="1152"/>
      <c r="FJ52" s="1152"/>
      <c r="FK52" s="1152"/>
      <c r="FL52" s="1152"/>
      <c r="FM52" s="1152"/>
      <c r="FN52" s="1152"/>
      <c r="FO52" s="1152"/>
      <c r="FP52" s="1152"/>
      <c r="FQ52" s="1152"/>
      <c r="FR52" s="1152"/>
      <c r="FS52" s="1152"/>
      <c r="FT52" s="1152"/>
      <c r="FU52" s="1152"/>
      <c r="FV52" s="1152"/>
      <c r="FW52" s="1152"/>
      <c r="FX52" s="1152"/>
      <c r="FY52" s="1152"/>
      <c r="FZ52" s="1152"/>
      <c r="GA52" s="1152"/>
      <c r="GB52" s="1152"/>
      <c r="GC52" s="1152"/>
      <c r="GD52" s="1152"/>
      <c r="GE52" s="1152"/>
      <c r="GF52" s="1152"/>
      <c r="GG52" s="1152"/>
    </row>
    <row r="53" spans="1:189" s="1149" customFormat="1" ht="15.95" customHeight="1">
      <c r="A53" s="638" t="e">
        <f>+#REF!</f>
        <v>#REF!</v>
      </c>
      <c r="B53" s="1616" t="e">
        <f>+#REF!</f>
        <v>#REF!</v>
      </c>
      <c r="C53" s="1553" t="e">
        <f>#REF!</f>
        <v>#REF!</v>
      </c>
      <c r="D53" s="1520">
        <f>J53</f>
        <v>3080</v>
      </c>
      <c r="E53" s="1520" t="e">
        <f>#REF!</f>
        <v>#REF!</v>
      </c>
      <c r="F53" s="1520" t="e">
        <f>+D53*E53</f>
        <v>#REF!</v>
      </c>
      <c r="H53" s="1151">
        <f>+F15+1500</f>
        <v>2200</v>
      </c>
      <c r="I53" s="1151">
        <v>1.4</v>
      </c>
      <c r="J53" s="1151">
        <f>ROUND(H53*I53,0)</f>
        <v>3080</v>
      </c>
      <c r="K53" s="1152"/>
      <c r="L53" s="1152"/>
      <c r="M53" s="1152"/>
      <c r="N53" s="1152"/>
      <c r="O53" s="1152"/>
      <c r="P53" s="1152"/>
      <c r="Q53" s="1152"/>
      <c r="R53" s="1152"/>
      <c r="S53" s="1152"/>
      <c r="T53" s="1152"/>
      <c r="U53" s="1152"/>
      <c r="V53" s="1152"/>
      <c r="W53" s="1152"/>
      <c r="X53" s="1152"/>
      <c r="Y53" s="1152"/>
      <c r="Z53" s="1152"/>
      <c r="AA53" s="1152"/>
      <c r="AB53" s="1152"/>
      <c r="AC53" s="1152"/>
      <c r="AD53" s="1152"/>
      <c r="AE53" s="1152"/>
      <c r="AF53" s="1152"/>
      <c r="AG53" s="1152"/>
      <c r="AH53" s="1152"/>
      <c r="AI53" s="1152"/>
      <c r="AJ53" s="1152"/>
      <c r="AK53" s="1152"/>
      <c r="AL53" s="1152"/>
      <c r="AM53" s="1152"/>
      <c r="AN53" s="1152"/>
      <c r="AO53" s="1152"/>
      <c r="AP53" s="1152"/>
      <c r="AQ53" s="1152"/>
      <c r="AR53" s="1152"/>
      <c r="AS53" s="1152"/>
      <c r="AT53" s="1152"/>
      <c r="AU53" s="1152"/>
      <c r="AV53" s="1152"/>
      <c r="AW53" s="1152"/>
      <c r="AX53" s="1152"/>
      <c r="AY53" s="1152"/>
      <c r="AZ53" s="1152"/>
      <c r="BA53" s="1152"/>
      <c r="BB53" s="1152"/>
      <c r="BC53" s="1152"/>
      <c r="BD53" s="1152"/>
      <c r="BE53" s="1152"/>
      <c r="BF53" s="1152"/>
      <c r="BG53" s="1152"/>
      <c r="BH53" s="1152"/>
      <c r="BI53" s="1152"/>
      <c r="BJ53" s="1152"/>
      <c r="BK53" s="1152"/>
      <c r="BL53" s="1152"/>
      <c r="BM53" s="1152"/>
      <c r="BN53" s="1152"/>
      <c r="BO53" s="1152"/>
      <c r="BP53" s="1152"/>
      <c r="BQ53" s="1152"/>
      <c r="BR53" s="1152"/>
      <c r="BS53" s="1152"/>
      <c r="BT53" s="1152"/>
      <c r="BU53" s="1152"/>
      <c r="BV53" s="1152"/>
      <c r="BW53" s="1152"/>
      <c r="BX53" s="1152"/>
      <c r="BY53" s="1152"/>
      <c r="BZ53" s="1152"/>
      <c r="CA53" s="1152"/>
      <c r="CB53" s="1152"/>
      <c r="CC53" s="1152"/>
      <c r="CD53" s="1152"/>
      <c r="CE53" s="1152"/>
      <c r="CF53" s="1152"/>
      <c r="CG53" s="1152"/>
      <c r="CH53" s="1152"/>
      <c r="CI53" s="1152"/>
      <c r="CJ53" s="1152"/>
      <c r="CK53" s="1152"/>
      <c r="CL53" s="1152"/>
      <c r="CM53" s="1152"/>
      <c r="CN53" s="1152"/>
      <c r="CO53" s="1152"/>
      <c r="CP53" s="1152"/>
      <c r="CQ53" s="1152"/>
      <c r="CR53" s="1152"/>
      <c r="CS53" s="1152"/>
      <c r="CT53" s="1152"/>
      <c r="CU53" s="1152"/>
      <c r="CV53" s="1152"/>
      <c r="CW53" s="1152"/>
      <c r="CX53" s="1152"/>
      <c r="CY53" s="1152"/>
      <c r="CZ53" s="1152"/>
      <c r="DA53" s="1152"/>
      <c r="DB53" s="1152"/>
      <c r="DC53" s="1152"/>
      <c r="DD53" s="1152"/>
      <c r="DE53" s="1152"/>
      <c r="DF53" s="1152"/>
      <c r="DG53" s="1152"/>
      <c r="DH53" s="1152"/>
      <c r="DI53" s="1152"/>
      <c r="DJ53" s="1152"/>
      <c r="DK53" s="1152"/>
      <c r="DL53" s="1152"/>
      <c r="DM53" s="1152"/>
      <c r="DN53" s="1152"/>
      <c r="DO53" s="1152"/>
      <c r="DP53" s="1152"/>
      <c r="DQ53" s="1152"/>
      <c r="DR53" s="1152"/>
      <c r="DS53" s="1152"/>
      <c r="DT53" s="1152"/>
      <c r="DU53" s="1152"/>
      <c r="DV53" s="1152"/>
      <c r="DW53" s="1152"/>
      <c r="DX53" s="1152"/>
      <c r="DY53" s="1152"/>
      <c r="DZ53" s="1152"/>
      <c r="EA53" s="1152"/>
      <c r="EB53" s="1152"/>
      <c r="EC53" s="1152"/>
      <c r="ED53" s="1152"/>
      <c r="EE53" s="1152"/>
      <c r="EF53" s="1152"/>
      <c r="EG53" s="1152"/>
      <c r="EH53" s="1152"/>
      <c r="EI53" s="1152"/>
      <c r="EJ53" s="1152"/>
      <c r="EK53" s="1152"/>
      <c r="EL53" s="1152"/>
      <c r="EM53" s="1152"/>
      <c r="EN53" s="1152"/>
      <c r="EO53" s="1152"/>
      <c r="EP53" s="1152"/>
      <c r="EQ53" s="1152"/>
      <c r="ER53" s="1152"/>
      <c r="ES53" s="1152"/>
      <c r="ET53" s="1152"/>
      <c r="EU53" s="1152"/>
      <c r="EV53" s="1152"/>
      <c r="EW53" s="1152"/>
      <c r="EX53" s="1152"/>
      <c r="EY53" s="1152"/>
      <c r="EZ53" s="1152"/>
      <c r="FA53" s="1152"/>
      <c r="FB53" s="1152"/>
      <c r="FC53" s="1152"/>
      <c r="FD53" s="1152"/>
      <c r="FE53" s="1152"/>
      <c r="FF53" s="1152"/>
      <c r="FG53" s="1152"/>
      <c r="FH53" s="1152"/>
      <c r="FI53" s="1152"/>
      <c r="FJ53" s="1152"/>
      <c r="FK53" s="1152"/>
      <c r="FL53" s="1152"/>
      <c r="FM53" s="1152"/>
      <c r="FN53" s="1152"/>
      <c r="FO53" s="1152"/>
      <c r="FP53" s="1152"/>
      <c r="FQ53" s="1152"/>
      <c r="FR53" s="1152"/>
      <c r="FS53" s="1152"/>
      <c r="FT53" s="1152"/>
      <c r="FU53" s="1152"/>
      <c r="FV53" s="1152"/>
      <c r="FW53" s="1152"/>
      <c r="FX53" s="1152"/>
      <c r="FY53" s="1152"/>
      <c r="FZ53" s="1152"/>
      <c r="GA53" s="1152"/>
      <c r="GB53" s="1152"/>
      <c r="GC53" s="1152"/>
      <c r="GD53" s="1152"/>
      <c r="GE53" s="1152"/>
      <c r="GF53" s="1152"/>
      <c r="GG53" s="1152"/>
    </row>
    <row r="54" spans="1:189" s="1149" customFormat="1" ht="15.95" customHeight="1">
      <c r="A54" s="639" t="e">
        <f>+#REF!</f>
        <v>#REF!</v>
      </c>
      <c r="B54" s="467" t="e">
        <f>+#REF!</f>
        <v>#REF!</v>
      </c>
      <c r="C54" s="1554" t="e">
        <f>#REF!</f>
        <v>#REF!</v>
      </c>
      <c r="D54" s="1140">
        <v>1</v>
      </c>
      <c r="E54" s="1521">
        <v>5835882.2130000005</v>
      </c>
      <c r="F54" s="1521">
        <f>+D54*E54</f>
        <v>5835882.2130000005</v>
      </c>
      <c r="H54" s="1151">
        <f>H52</f>
        <v>1</v>
      </c>
      <c r="I54" s="1151">
        <f>1.05</f>
        <v>1.05</v>
      </c>
      <c r="J54" s="1151">
        <f>H54*I54</f>
        <v>1.05</v>
      </c>
      <c r="K54" s="1152"/>
      <c r="L54" s="1152"/>
      <c r="M54" s="1152"/>
      <c r="N54" s="1152"/>
      <c r="O54" s="1152"/>
      <c r="P54" s="1152"/>
      <c r="Q54" s="1152"/>
      <c r="R54" s="1152"/>
      <c r="S54" s="1152"/>
      <c r="T54" s="1152"/>
      <c r="U54" s="1152"/>
      <c r="V54" s="1152"/>
      <c r="W54" s="1152"/>
      <c r="X54" s="1152"/>
      <c r="Y54" s="1152"/>
      <c r="Z54" s="1152"/>
      <c r="AA54" s="1152"/>
      <c r="AB54" s="1152"/>
      <c r="AC54" s="1152"/>
      <c r="AD54" s="1152"/>
      <c r="AE54" s="1152"/>
      <c r="AF54" s="1152"/>
      <c r="AG54" s="1152"/>
      <c r="AH54" s="1152"/>
      <c r="AI54" s="1152"/>
      <c r="AJ54" s="1152"/>
      <c r="AK54" s="1152"/>
      <c r="AL54" s="1152"/>
      <c r="AM54" s="1152"/>
      <c r="AN54" s="1152"/>
      <c r="AO54" s="1152"/>
      <c r="AP54" s="1152"/>
      <c r="AQ54" s="1152"/>
      <c r="AR54" s="1152"/>
      <c r="AS54" s="1152"/>
      <c r="AT54" s="1152"/>
      <c r="AU54" s="1152"/>
      <c r="AV54" s="1152"/>
      <c r="AW54" s="1152"/>
      <c r="AX54" s="1152"/>
      <c r="AY54" s="1152"/>
      <c r="AZ54" s="1152"/>
      <c r="BA54" s="1152"/>
      <c r="BB54" s="1152"/>
      <c r="BC54" s="1152"/>
      <c r="BD54" s="1152"/>
      <c r="BE54" s="1152"/>
      <c r="BF54" s="1152"/>
      <c r="BG54" s="1152"/>
      <c r="BH54" s="1152"/>
      <c r="BI54" s="1152"/>
      <c r="BJ54" s="1152"/>
      <c r="BK54" s="1152"/>
      <c r="BL54" s="1152"/>
      <c r="BM54" s="1152"/>
      <c r="BN54" s="1152"/>
      <c r="BO54" s="1152"/>
      <c r="BP54" s="1152"/>
      <c r="BQ54" s="1152"/>
      <c r="BR54" s="1152"/>
      <c r="BS54" s="1152"/>
      <c r="BT54" s="1152"/>
      <c r="BU54" s="1152"/>
      <c r="BV54" s="1152"/>
      <c r="BW54" s="1152"/>
      <c r="BX54" s="1152"/>
      <c r="BY54" s="1152"/>
      <c r="BZ54" s="1152"/>
      <c r="CA54" s="1152"/>
      <c r="CB54" s="1152"/>
      <c r="CC54" s="1152"/>
      <c r="CD54" s="1152"/>
      <c r="CE54" s="1152"/>
      <c r="CF54" s="1152"/>
      <c r="CG54" s="1152"/>
      <c r="CH54" s="1152"/>
      <c r="CI54" s="1152"/>
      <c r="CJ54" s="1152"/>
      <c r="CK54" s="1152"/>
      <c r="CL54" s="1152"/>
      <c r="CM54" s="1152"/>
      <c r="CN54" s="1152"/>
      <c r="CO54" s="1152"/>
      <c r="CP54" s="1152"/>
      <c r="CQ54" s="1152"/>
      <c r="CR54" s="1152"/>
      <c r="CS54" s="1152"/>
      <c r="CT54" s="1152"/>
      <c r="CU54" s="1152"/>
      <c r="CV54" s="1152"/>
      <c r="CW54" s="1152"/>
      <c r="CX54" s="1152"/>
      <c r="CY54" s="1152"/>
      <c r="CZ54" s="1152"/>
      <c r="DA54" s="1152"/>
      <c r="DB54" s="1152"/>
      <c r="DC54" s="1152"/>
      <c r="DD54" s="1152"/>
      <c r="DE54" s="1152"/>
      <c r="DF54" s="1152"/>
      <c r="DG54" s="1152"/>
      <c r="DH54" s="1152"/>
      <c r="DI54" s="1152"/>
      <c r="DJ54" s="1152"/>
      <c r="DK54" s="1152"/>
      <c r="DL54" s="1152"/>
      <c r="DM54" s="1152"/>
      <c r="DN54" s="1152"/>
      <c r="DO54" s="1152"/>
      <c r="DP54" s="1152"/>
      <c r="DQ54" s="1152"/>
      <c r="DR54" s="1152"/>
      <c r="DS54" s="1152"/>
      <c r="DT54" s="1152"/>
      <c r="DU54" s="1152"/>
      <c r="DV54" s="1152"/>
      <c r="DW54" s="1152"/>
      <c r="DX54" s="1152"/>
      <c r="DY54" s="1152"/>
      <c r="DZ54" s="1152"/>
      <c r="EA54" s="1152"/>
      <c r="EB54" s="1152"/>
      <c r="EC54" s="1152"/>
      <c r="ED54" s="1152"/>
      <c r="EE54" s="1152"/>
      <c r="EF54" s="1152"/>
      <c r="EG54" s="1152"/>
      <c r="EH54" s="1152"/>
      <c r="EI54" s="1152"/>
      <c r="EJ54" s="1152"/>
      <c r="EK54" s="1152"/>
      <c r="EL54" s="1152"/>
      <c r="EM54" s="1152"/>
      <c r="EN54" s="1152"/>
      <c r="EO54" s="1152"/>
      <c r="EP54" s="1152"/>
      <c r="EQ54" s="1152"/>
      <c r="ER54" s="1152"/>
      <c r="ES54" s="1152"/>
      <c r="ET54" s="1152"/>
      <c r="EU54" s="1152"/>
      <c r="EV54" s="1152"/>
      <c r="EW54" s="1152"/>
      <c r="EX54" s="1152"/>
      <c r="EY54" s="1152"/>
      <c r="EZ54" s="1152"/>
      <c r="FA54" s="1152"/>
      <c r="FB54" s="1152"/>
      <c r="FC54" s="1152"/>
      <c r="FD54" s="1152"/>
      <c r="FE54" s="1152"/>
      <c r="FF54" s="1152"/>
      <c r="FG54" s="1152"/>
      <c r="FH54" s="1152"/>
      <c r="FI54" s="1152"/>
      <c r="FJ54" s="1152"/>
      <c r="FK54" s="1152"/>
      <c r="FL54" s="1152"/>
      <c r="FM54" s="1152"/>
      <c r="FN54" s="1152"/>
      <c r="FO54" s="1152"/>
      <c r="FP54" s="1152"/>
      <c r="FQ54" s="1152"/>
      <c r="FR54" s="1152"/>
      <c r="FS54" s="1152"/>
      <c r="FT54" s="1152"/>
      <c r="FU54" s="1152"/>
      <c r="FV54" s="1152"/>
      <c r="FW54" s="1152"/>
      <c r="FX54" s="1152"/>
      <c r="FY54" s="1152"/>
      <c r="FZ54" s="1152"/>
      <c r="GA54" s="1152"/>
      <c r="GB54" s="1152"/>
      <c r="GC54" s="1152"/>
      <c r="GD54" s="1152"/>
      <c r="GE54" s="1152"/>
      <c r="GF54" s="1152"/>
      <c r="GG54" s="1152"/>
    </row>
    <row r="55" spans="1:189" s="1152" customFormat="1" ht="15.95" customHeight="1">
      <c r="A55" s="745" t="e">
        <f>+#REF!</f>
        <v>#REF!</v>
      </c>
      <c r="B55" s="768" t="e">
        <f>+#REF!</f>
        <v>#REF!</v>
      </c>
      <c r="C55" s="1617"/>
      <c r="D55" s="954"/>
      <c r="E55" s="544"/>
      <c r="F55" s="544"/>
      <c r="G55" s="1149"/>
      <c r="H55" s="1150"/>
      <c r="I55" s="1151"/>
      <c r="J55" s="1150"/>
    </row>
    <row r="56" spans="1:189" s="1152" customFormat="1" ht="15.95" customHeight="1">
      <c r="A56" s="639"/>
      <c r="B56" s="465"/>
      <c r="C56" s="1554" t="e">
        <f>#REF!</f>
        <v>#REF!</v>
      </c>
      <c r="D56" s="1521">
        <f>J56</f>
        <v>7700.0000000000009</v>
      </c>
      <c r="E56" s="547" t="e">
        <f>#REF!</f>
        <v>#REF!</v>
      </c>
      <c r="F56" s="547" t="e">
        <f>+D56*E56</f>
        <v>#REF!</v>
      </c>
      <c r="G56" s="1149"/>
      <c r="H56" s="1150">
        <f>+(F13/2+F15)*10</f>
        <v>7000</v>
      </c>
      <c r="I56" s="1151">
        <f>1.1</f>
        <v>1.1000000000000001</v>
      </c>
      <c r="J56" s="1150">
        <f>H56*I56</f>
        <v>7700.0000000000009</v>
      </c>
    </row>
    <row r="57" spans="1:189" s="1152" customFormat="1" ht="15.95" customHeight="1">
      <c r="A57" s="745" t="e">
        <f>+#REF!</f>
        <v>#REF!</v>
      </c>
      <c r="B57" s="768" t="e">
        <f>+#REF!</f>
        <v>#REF!</v>
      </c>
      <c r="C57" s="1617"/>
      <c r="D57" s="954"/>
      <c r="E57" s="544"/>
      <c r="F57" s="544"/>
      <c r="G57" s="1149"/>
      <c r="H57" s="1150">
        <f>370+163*2</f>
        <v>696</v>
      </c>
      <c r="I57" s="1151"/>
      <c r="J57" s="1150"/>
    </row>
    <row r="58" spans="1:189" s="1152" customFormat="1" ht="15.95" customHeight="1">
      <c r="A58" s="639"/>
      <c r="B58" s="465"/>
      <c r="C58" s="1554" t="e">
        <f>#REF!</f>
        <v>#REF!</v>
      </c>
      <c r="D58" s="1521">
        <f>J58</f>
        <v>1540.0000000000002</v>
      </c>
      <c r="E58" s="547" t="e">
        <f>#REF!</f>
        <v>#REF!</v>
      </c>
      <c r="F58" s="547" t="e">
        <f>+D58*E58</f>
        <v>#REF!</v>
      </c>
      <c r="G58" s="1149"/>
      <c r="H58" s="1150">
        <f>+(F13/2+F15)*2</f>
        <v>1400</v>
      </c>
      <c r="I58" s="1151">
        <f>1.1</f>
        <v>1.1000000000000001</v>
      </c>
      <c r="J58" s="1150">
        <f>H58*I58</f>
        <v>1540.0000000000002</v>
      </c>
    </row>
    <row r="59" spans="1:189" s="1152" customFormat="1" ht="15.95" customHeight="1">
      <c r="A59" s="745" t="e">
        <f>+#REF!</f>
        <v>#REF!</v>
      </c>
      <c r="B59" s="768" t="e">
        <f>+#REF!</f>
        <v>#REF!</v>
      </c>
      <c r="C59" s="1617"/>
      <c r="D59" s="954"/>
      <c r="E59" s="544"/>
      <c r="F59" s="544"/>
      <c r="G59" s="1149"/>
      <c r="H59" s="1150"/>
      <c r="I59" s="1151"/>
      <c r="J59" s="1150"/>
    </row>
    <row r="60" spans="1:189" s="1152" customFormat="1" ht="15.95" customHeight="1">
      <c r="A60" s="1615" t="e">
        <f>+#REF!</f>
        <v>#REF!</v>
      </c>
      <c r="B60" s="467" t="e">
        <f>+#REF!</f>
        <v>#REF!</v>
      </c>
      <c r="C60" s="1618" t="e">
        <f>#REF!</f>
        <v>#REF!</v>
      </c>
      <c r="D60" s="1141">
        <f>J60</f>
        <v>1053.6500000000001</v>
      </c>
      <c r="E60" s="1112" t="e">
        <f>#REF!</f>
        <v>#REF!</v>
      </c>
      <c r="F60" s="547" t="e">
        <f>+D60*E60</f>
        <v>#REF!</v>
      </c>
      <c r="G60" s="1149"/>
      <c r="H60" s="1151">
        <f>120+1470+401+310+260+130+320+350+250+355+350+550+255+2160+1140+175+175+130+130+745+372+245+740+1060+345+550+263+475+300+913+790+777+395+320+123+120+396+322+200+206+506+180+270+95+95+240+255+230+200+204+110</f>
        <v>21073</v>
      </c>
      <c r="I60" s="1151">
        <f>0.5*0.1</f>
        <v>0.05</v>
      </c>
      <c r="J60" s="1150">
        <f>H60*I60</f>
        <v>1053.6500000000001</v>
      </c>
    </row>
    <row r="61" spans="1:189" s="1152" customFormat="1" ht="15.95" customHeight="1">
      <c r="A61" s="745" t="e">
        <f>+#REF!</f>
        <v>#REF!</v>
      </c>
      <c r="B61" s="768" t="e">
        <f>+#REF!</f>
        <v>#REF!</v>
      </c>
      <c r="C61" s="1617"/>
      <c r="D61" s="954"/>
      <c r="E61" s="544"/>
      <c r="F61" s="544"/>
      <c r="G61" s="1149"/>
      <c r="H61" s="1150"/>
      <c r="I61" s="1151"/>
      <c r="J61" s="1150"/>
    </row>
    <row r="62" spans="1:189" s="1152" customFormat="1" ht="15.95" customHeight="1">
      <c r="A62" s="639"/>
      <c r="B62" s="465"/>
      <c r="C62" s="1554" t="e">
        <f>#REF!</f>
        <v>#REF!</v>
      </c>
      <c r="D62" s="1521">
        <f>J62</f>
        <v>165</v>
      </c>
      <c r="E62" s="547" t="e">
        <f>#REF!</f>
        <v>#REF!</v>
      </c>
      <c r="F62" s="547" t="e">
        <f>+D62*E62</f>
        <v>#REF!</v>
      </c>
      <c r="G62" s="1149"/>
      <c r="H62" s="1150">
        <f>11*(14*0+15)</f>
        <v>165</v>
      </c>
      <c r="I62" s="1151">
        <v>1</v>
      </c>
      <c r="J62" s="1150">
        <f>H62*I62</f>
        <v>165</v>
      </c>
      <c r="K62" s="1152" t="s">
        <v>353</v>
      </c>
    </row>
    <row r="63" spans="1:189" s="1160" customFormat="1" ht="15.95" customHeight="1">
      <c r="A63" s="745" t="e">
        <f>+#REF!</f>
        <v>#REF!</v>
      </c>
      <c r="B63" s="768" t="e">
        <f>+#REF!</f>
        <v>#REF!</v>
      </c>
      <c r="C63" s="1617"/>
      <c r="D63" s="954"/>
      <c r="E63" s="544"/>
      <c r="F63" s="544"/>
      <c r="H63" s="1161"/>
      <c r="I63" s="1162"/>
      <c r="J63" s="1161"/>
    </row>
    <row r="64" spans="1:189" s="1160" customFormat="1" ht="15.95" customHeight="1">
      <c r="A64" s="639"/>
      <c r="B64" s="465"/>
      <c r="C64" s="1554" t="e">
        <f>#REF!</f>
        <v>#REF!</v>
      </c>
      <c r="D64" s="1521">
        <f>J64</f>
        <v>0</v>
      </c>
      <c r="E64" s="547" t="e">
        <f>#REF!</f>
        <v>#REF!</v>
      </c>
      <c r="F64" s="650" t="e">
        <f>+D64*E64</f>
        <v>#REF!</v>
      </c>
      <c r="H64" s="1161">
        <f>162*0</f>
        <v>0</v>
      </c>
      <c r="I64" s="1162">
        <v>1.1000000000000001</v>
      </c>
      <c r="J64" s="1161">
        <f>H64*I64</f>
        <v>0</v>
      </c>
    </row>
    <row r="65" spans="1:12" s="1152" customFormat="1" ht="18.75">
      <c r="A65" s="1125"/>
      <c r="B65" s="1129"/>
      <c r="C65" s="1608"/>
      <c r="D65" s="636"/>
      <c r="E65" s="1609" t="s">
        <v>111</v>
      </c>
      <c r="F65" s="1122" t="e">
        <f>SUM(F44:F64)</f>
        <v>#REF!</v>
      </c>
      <c r="G65" s="1149"/>
      <c r="H65" s="1150"/>
      <c r="I65" s="1151"/>
      <c r="J65" s="1150"/>
    </row>
    <row r="66" spans="1:12" s="1146" customFormat="1" ht="15" customHeight="1">
      <c r="A66" s="1126"/>
      <c r="B66" s="1127"/>
      <c r="C66" s="188"/>
      <c r="D66" s="410"/>
      <c r="E66" s="568"/>
      <c r="F66" s="568"/>
      <c r="G66" s="44"/>
      <c r="H66" s="1144"/>
      <c r="I66" s="1145"/>
      <c r="J66" s="1144"/>
    </row>
    <row r="67" spans="1:12" s="1146" customFormat="1" ht="24.95" customHeight="1">
      <c r="A67" s="1905" t="e">
        <f>+#REF!</f>
        <v>#REF!</v>
      </c>
      <c r="B67" s="1906"/>
      <c r="C67" s="1906"/>
      <c r="D67" s="1906"/>
      <c r="E67" s="1906"/>
      <c r="F67" s="1907"/>
      <c r="G67" s="44"/>
      <c r="H67" s="1144"/>
      <c r="I67" s="1145"/>
      <c r="J67" s="1144"/>
    </row>
    <row r="68" spans="1:12" s="1152" customFormat="1">
      <c r="A68" s="830" t="e">
        <f>+#REF!</f>
        <v>#REF!</v>
      </c>
      <c r="B68" s="768" t="e">
        <f>+#REF!</f>
        <v>#REF!</v>
      </c>
      <c r="C68" s="1478"/>
      <c r="D68" s="954"/>
      <c r="E68" s="544"/>
      <c r="F68" s="544"/>
      <c r="G68" s="1149"/>
      <c r="H68" s="1150"/>
      <c r="I68" s="1151"/>
      <c r="J68" s="1150"/>
    </row>
    <row r="69" spans="1:12" s="1152" customFormat="1">
      <c r="A69" s="1619" t="e">
        <f>+#REF!</f>
        <v>#REF!</v>
      </c>
      <c r="B69" s="467" t="e">
        <f>+#REF!</f>
        <v>#REF!</v>
      </c>
      <c r="C69" s="1523" t="e">
        <f>#REF!</f>
        <v>#REF!</v>
      </c>
      <c r="D69" s="1521">
        <f>J69</f>
        <v>5389.9999999999991</v>
      </c>
      <c r="E69" s="547" t="e">
        <f>#REF!</f>
        <v>#REF!</v>
      </c>
      <c r="F69" s="547" t="e">
        <f>+D69*E69</f>
        <v>#REF!</v>
      </c>
      <c r="G69" s="1149"/>
      <c r="H69" s="1163">
        <f>+F15*0.7*10</f>
        <v>4899.9999999999991</v>
      </c>
      <c r="I69" s="1151">
        <v>1.1000000000000001</v>
      </c>
      <c r="J69" s="1150">
        <f>H69*I69</f>
        <v>5389.9999999999991</v>
      </c>
      <c r="L69" s="1152" t="s">
        <v>354</v>
      </c>
    </row>
    <row r="70" spans="1:12" s="1152" customFormat="1">
      <c r="A70" s="830" t="e">
        <f>+#REF!</f>
        <v>#REF!</v>
      </c>
      <c r="B70" s="768" t="e">
        <f>+#REF!</f>
        <v>#REF!</v>
      </c>
      <c r="C70" s="1478"/>
      <c r="D70" s="954"/>
      <c r="E70" s="544"/>
      <c r="F70" s="544"/>
      <c r="G70" s="1149"/>
      <c r="H70" s="1150"/>
      <c r="I70" s="1151"/>
      <c r="J70" s="1150">
        <f>J69*0</f>
        <v>0</v>
      </c>
    </row>
    <row r="71" spans="1:12" s="1152" customFormat="1">
      <c r="A71" s="1615"/>
      <c r="B71" s="467"/>
      <c r="C71" s="1523" t="e">
        <f>#REF!</f>
        <v>#REF!</v>
      </c>
      <c r="D71" s="1521">
        <f>D69*0.1</f>
        <v>538.99999999999989</v>
      </c>
      <c r="E71" s="547" t="e">
        <f>#REF!</f>
        <v>#REF!</v>
      </c>
      <c r="F71" s="547" t="e">
        <f>+D71*E71</f>
        <v>#REF!</v>
      </c>
      <c r="G71" s="1149"/>
      <c r="H71" s="1150"/>
      <c r="I71" s="1151"/>
      <c r="J71" s="1150"/>
    </row>
    <row r="72" spans="1:12" s="1152" customFormat="1">
      <c r="A72" s="830" t="e">
        <f>+#REF!</f>
        <v>#REF!</v>
      </c>
      <c r="B72" s="768" t="e">
        <f>+#REF!</f>
        <v>#REF!</v>
      </c>
      <c r="C72" s="1478"/>
      <c r="D72" s="954"/>
      <c r="E72" s="544"/>
      <c r="F72" s="544"/>
      <c r="G72" s="1149"/>
      <c r="H72" s="1150"/>
      <c r="I72" s="1151"/>
      <c r="J72" s="1150"/>
    </row>
    <row r="73" spans="1:12" s="1152" customFormat="1">
      <c r="A73" s="1615"/>
      <c r="B73" s="467"/>
      <c r="C73" s="1523" t="e">
        <f>#REF!</f>
        <v>#REF!</v>
      </c>
      <c r="D73" s="1521">
        <f>+K73</f>
        <v>1616.9999999999998</v>
      </c>
      <c r="E73" s="547" t="e">
        <f>#REF!</f>
        <v>#REF!</v>
      </c>
      <c r="F73" s="547" t="e">
        <f>+D73*E73</f>
        <v>#REF!</v>
      </c>
      <c r="G73" s="1149"/>
      <c r="H73" s="1150">
        <f>+H69*0.3</f>
        <v>1469.9999999999998</v>
      </c>
      <c r="I73" s="1151">
        <v>1.1000000000000001</v>
      </c>
      <c r="J73" s="1150">
        <f>H73*I73</f>
        <v>1616.9999999999998</v>
      </c>
      <c r="K73" s="1152">
        <f>J73-J70</f>
        <v>1616.9999999999998</v>
      </c>
    </row>
    <row r="74" spans="1:12" s="1164" customFormat="1">
      <c r="A74" s="745" t="e">
        <f>+#REF!</f>
        <v>#REF!</v>
      </c>
      <c r="B74" s="768" t="e">
        <f>+#REF!</f>
        <v>#REF!</v>
      </c>
      <c r="C74" s="1478"/>
      <c r="D74" s="954"/>
      <c r="E74" s="544"/>
      <c r="F74" s="544"/>
      <c r="H74" s="1165"/>
      <c r="I74" s="1166"/>
      <c r="J74" s="1165"/>
    </row>
    <row r="75" spans="1:12" s="1164" customFormat="1">
      <c r="A75" s="1615"/>
      <c r="B75" s="467"/>
      <c r="C75" s="1523" t="e">
        <f>#REF!</f>
        <v>#REF!</v>
      </c>
      <c r="D75" s="1521">
        <f>+J75</f>
        <v>2508</v>
      </c>
      <c r="E75" s="1549" t="e">
        <f>+#REF!</f>
        <v>#REF!</v>
      </c>
      <c r="F75" s="547" t="e">
        <f t="shared" ref="F75" si="4">+D75*E75</f>
        <v>#REF!</v>
      </c>
      <c r="H75" s="1165">
        <f>+H161/0.2</f>
        <v>2280</v>
      </c>
      <c r="I75" s="1166">
        <v>1.1000000000000001</v>
      </c>
      <c r="J75" s="1165">
        <f>+H75*I75</f>
        <v>2508</v>
      </c>
    </row>
    <row r="76" spans="1:12" s="1152" customFormat="1" ht="18.75">
      <c r="A76" s="1123"/>
      <c r="B76" s="1124"/>
      <c r="C76" s="1608"/>
      <c r="D76" s="636"/>
      <c r="E76" s="1609" t="s">
        <v>110</v>
      </c>
      <c r="F76" s="1122" t="e">
        <f>SUM(F68:F75)</f>
        <v>#REF!</v>
      </c>
      <c r="G76" s="1149"/>
      <c r="H76" s="1150"/>
      <c r="I76" s="1151"/>
      <c r="J76" s="1150"/>
    </row>
    <row r="77" spans="1:12" s="1146" customFormat="1" ht="15" customHeight="1">
      <c r="A77" s="1113"/>
      <c r="B77" s="1130"/>
      <c r="C77" s="926"/>
      <c r="D77" s="1114"/>
      <c r="E77" s="926"/>
      <c r="F77" s="118"/>
      <c r="G77" s="44"/>
      <c r="H77" s="1144"/>
      <c r="I77" s="1145"/>
      <c r="J77" s="1144"/>
    </row>
    <row r="78" spans="1:12" s="1146" customFormat="1" ht="24.95" customHeight="1">
      <c r="A78" s="1905" t="e">
        <f>+#REF!</f>
        <v>#REF!</v>
      </c>
      <c r="B78" s="1906"/>
      <c r="C78" s="1906"/>
      <c r="D78" s="1906"/>
      <c r="E78" s="1906"/>
      <c r="F78" s="1907"/>
      <c r="G78" s="44"/>
      <c r="H78" s="145">
        <f>+J85*0.15</f>
        <v>1549.8</v>
      </c>
      <c r="I78" s="1145">
        <v>1.05</v>
      </c>
      <c r="J78" s="1144">
        <f>H78*I78</f>
        <v>1627.29</v>
      </c>
    </row>
    <row r="79" spans="1:12" s="1152" customFormat="1" ht="30" customHeight="1">
      <c r="A79" s="745" t="e">
        <f>+#REF!</f>
        <v>#REF!</v>
      </c>
      <c r="B79" s="1448" t="e">
        <f>+#REF!</f>
        <v>#REF!</v>
      </c>
      <c r="C79" s="1478"/>
      <c r="D79" s="543"/>
      <c r="E79" s="544"/>
      <c r="F79" s="544"/>
      <c r="G79" s="1149"/>
      <c r="H79" s="1150"/>
      <c r="I79" s="1151"/>
      <c r="J79" s="1150"/>
      <c r="K79" s="1152" t="s">
        <v>273</v>
      </c>
    </row>
    <row r="80" spans="1:12" s="1152" customFormat="1">
      <c r="A80" s="1615" t="e">
        <f>+#REF!</f>
        <v>#REF!</v>
      </c>
      <c r="B80" s="1280" t="e">
        <f>+#REF!</f>
        <v>#REF!</v>
      </c>
      <c r="C80" s="1523" t="e">
        <f>#REF!</f>
        <v>#REF!</v>
      </c>
      <c r="D80" s="1521">
        <f>J80</f>
        <v>5263.335</v>
      </c>
      <c r="E80" s="547" t="e">
        <f>#REF!</f>
        <v>#REF!</v>
      </c>
      <c r="F80" s="547" t="e">
        <f>+D80*E80</f>
        <v>#REF!</v>
      </c>
      <c r="G80" s="1149"/>
      <c r="H80" s="781">
        <f>+J85*0.35+J86*0.2</f>
        <v>5012.7</v>
      </c>
      <c r="I80" s="1151">
        <v>1.05</v>
      </c>
      <c r="J80" s="1150">
        <f>H80*I80</f>
        <v>5263.335</v>
      </c>
    </row>
    <row r="81" spans="1:10" s="1152" customFormat="1">
      <c r="A81" s="745" t="e">
        <f>+#REF!</f>
        <v>#REF!</v>
      </c>
      <c r="B81" s="830" t="e">
        <f>+#REF!</f>
        <v>#REF!</v>
      </c>
      <c r="C81" s="1478"/>
      <c r="D81" s="543"/>
      <c r="E81" s="544"/>
      <c r="F81" s="544"/>
      <c r="G81" s="1149"/>
      <c r="H81" s="1150"/>
      <c r="I81" s="1151"/>
      <c r="J81" s="1150"/>
    </row>
    <row r="82" spans="1:10" s="1152" customFormat="1">
      <c r="A82" s="1615"/>
      <c r="B82" s="1280"/>
      <c r="C82" s="1523" t="e">
        <f>#REF!</f>
        <v>#REF!</v>
      </c>
      <c r="D82" s="1521">
        <f>J82</f>
        <v>158660.77499999999</v>
      </c>
      <c r="E82" s="547" t="e">
        <f>#REF!</f>
        <v>#REF!</v>
      </c>
      <c r="F82" s="547" t="e">
        <f>+D82*E82</f>
        <v>#REF!</v>
      </c>
      <c r="G82" s="1149"/>
      <c r="H82" s="1150">
        <f>H78*1950*5%</f>
        <v>151105.5</v>
      </c>
      <c r="I82" s="1151">
        <v>1.05</v>
      </c>
      <c r="J82" s="1150">
        <f>H82*I82</f>
        <v>158660.77499999999</v>
      </c>
    </row>
    <row r="83" spans="1:10" s="1152" customFormat="1">
      <c r="A83" s="745" t="e">
        <f>+#REF!</f>
        <v>#REF!</v>
      </c>
      <c r="B83" s="830" t="e">
        <f>+#REF!</f>
        <v>#REF!</v>
      </c>
      <c r="C83" s="1522"/>
      <c r="D83" s="650"/>
      <c r="E83" s="650"/>
      <c r="F83" s="650"/>
      <c r="G83" s="1149"/>
      <c r="H83" s="1150"/>
      <c r="I83" s="1151"/>
      <c r="J83" s="1150"/>
    </row>
    <row r="84" spans="1:10" s="1152" customFormat="1">
      <c r="A84" s="791" t="e">
        <f>+#REF!</f>
        <v>#REF!</v>
      </c>
      <c r="B84" s="824" t="e">
        <f>+#REF!</f>
        <v>#REF!</v>
      </c>
      <c r="C84" s="1522"/>
      <c r="D84" s="650"/>
      <c r="E84" s="650"/>
      <c r="F84" s="650"/>
      <c r="G84" s="1149"/>
      <c r="H84" s="1150"/>
      <c r="I84" s="1151"/>
      <c r="J84" s="1150"/>
    </row>
    <row r="85" spans="1:10" s="1152" customFormat="1">
      <c r="A85" s="484" t="e">
        <f>+#REF!</f>
        <v>#REF!</v>
      </c>
      <c r="B85" s="239" t="e">
        <f>+#REF!</f>
        <v>#REF!</v>
      </c>
      <c r="C85" s="1522" t="e">
        <f>#REF!</f>
        <v>#REF!</v>
      </c>
      <c r="D85" s="650">
        <f>+J85*0.91</f>
        <v>9402.1200000000008</v>
      </c>
      <c r="E85" s="650" t="e">
        <f>+#REF!</f>
        <v>#REF!</v>
      </c>
      <c r="F85" s="650" t="e">
        <f>+D85*E85</f>
        <v>#REF!</v>
      </c>
      <c r="G85" s="1149"/>
      <c r="H85" s="698">
        <f>+H19</f>
        <v>9840</v>
      </c>
      <c r="I85" s="1151">
        <v>1.05</v>
      </c>
      <c r="J85" s="1150">
        <f>+H85*I85</f>
        <v>10332</v>
      </c>
    </row>
    <row r="86" spans="1:10" s="1152" customFormat="1">
      <c r="A86" s="484" t="e">
        <f>+#REF!</f>
        <v>#REF!</v>
      </c>
      <c r="B86" s="239" t="e">
        <f>+#REF!</f>
        <v>#REF!</v>
      </c>
      <c r="C86" s="1522" t="e">
        <f>#REF!</f>
        <v>#REF!</v>
      </c>
      <c r="D86" s="650">
        <f>+J86*0.83</f>
        <v>5795.4749999999995</v>
      </c>
      <c r="E86" s="650" t="e">
        <f>+#REF!</f>
        <v>#REF!</v>
      </c>
      <c r="F86" s="650" t="e">
        <f t="shared" ref="F86:F105" si="5">+D86*E86</f>
        <v>#REF!</v>
      </c>
      <c r="G86" s="1149"/>
      <c r="H86" s="1150">
        <f>+J19</f>
        <v>6650</v>
      </c>
      <c r="I86" s="1151">
        <v>1.05</v>
      </c>
      <c r="J86" s="1150">
        <f>+H86*I86</f>
        <v>6982.5</v>
      </c>
    </row>
    <row r="87" spans="1:10" s="1152" customFormat="1">
      <c r="A87" s="791" t="e">
        <f>+#REF!</f>
        <v>#REF!</v>
      </c>
      <c r="B87" s="824" t="e">
        <f>+#REF!</f>
        <v>#REF!</v>
      </c>
      <c r="C87" s="1522"/>
      <c r="D87" s="1520"/>
      <c r="E87" s="650"/>
      <c r="F87" s="650"/>
      <c r="G87" s="1149"/>
      <c r="H87" s="1150"/>
      <c r="I87" s="1151">
        <v>1.05</v>
      </c>
      <c r="J87" s="1150">
        <f t="shared" ref="J87:J93" si="6">+H87*I87</f>
        <v>0</v>
      </c>
    </row>
    <row r="88" spans="1:10" s="1152" customFormat="1">
      <c r="A88" s="484" t="e">
        <f>+#REF!</f>
        <v>#REF!</v>
      </c>
      <c r="B88" s="239" t="e">
        <f>+#REF!</f>
        <v>#REF!</v>
      </c>
      <c r="C88" s="1522" t="e">
        <f>#REF!</f>
        <v>#REF!</v>
      </c>
      <c r="D88" s="1520">
        <f>+D85</f>
        <v>9402.1200000000008</v>
      </c>
      <c r="E88" s="650" t="e">
        <f>+#REF!</f>
        <v>#REF!</v>
      </c>
      <c r="F88" s="650" t="e">
        <f t="shared" si="5"/>
        <v>#REF!</v>
      </c>
      <c r="G88" s="1149"/>
      <c r="H88" s="1150"/>
      <c r="I88" s="1151">
        <v>1.05</v>
      </c>
      <c r="J88" s="1150">
        <f t="shared" si="6"/>
        <v>0</v>
      </c>
    </row>
    <row r="89" spans="1:10" s="1152" customFormat="1">
      <c r="A89" s="1615" t="e">
        <f>+#REF!</f>
        <v>#REF!</v>
      </c>
      <c r="B89" s="1280" t="e">
        <f>+#REF!</f>
        <v>#REF!</v>
      </c>
      <c r="C89" s="1523" t="e">
        <f>#REF!</f>
        <v>#REF!</v>
      </c>
      <c r="D89" s="1521">
        <f>+D86</f>
        <v>5795.4749999999995</v>
      </c>
      <c r="E89" s="547" t="e">
        <f>+#REF!</f>
        <v>#REF!</v>
      </c>
      <c r="F89" s="547" t="e">
        <f t="shared" si="5"/>
        <v>#REF!</v>
      </c>
      <c r="G89" s="1149"/>
      <c r="H89" s="1150"/>
      <c r="I89" s="1151">
        <v>1.05</v>
      </c>
      <c r="J89" s="1150">
        <f t="shared" si="6"/>
        <v>0</v>
      </c>
    </row>
    <row r="90" spans="1:10" s="1152" customFormat="1">
      <c r="A90" s="745" t="e">
        <f>+#REF!</f>
        <v>#REF!</v>
      </c>
      <c r="B90" s="830" t="e">
        <f>+#REF!</f>
        <v>#REF!</v>
      </c>
      <c r="C90" s="1522"/>
      <c r="D90" s="1520"/>
      <c r="E90" s="650"/>
      <c r="F90" s="962"/>
      <c r="G90" s="1149"/>
      <c r="H90" s="1150"/>
      <c r="I90" s="1151">
        <v>1.05</v>
      </c>
      <c r="J90" s="1150">
        <f t="shared" si="6"/>
        <v>0</v>
      </c>
    </row>
    <row r="91" spans="1:10" s="1152" customFormat="1">
      <c r="A91" s="791" t="e">
        <f>+#REF!</f>
        <v>#REF!</v>
      </c>
      <c r="B91" s="824" t="e">
        <f>+#REF!</f>
        <v>#REF!</v>
      </c>
      <c r="C91" s="1522"/>
      <c r="D91" s="1520"/>
      <c r="E91" s="650"/>
      <c r="F91" s="962"/>
      <c r="G91" s="1149"/>
      <c r="H91" s="1150"/>
      <c r="I91" s="1151">
        <v>1.05</v>
      </c>
      <c r="J91" s="1150">
        <f t="shared" si="6"/>
        <v>0</v>
      </c>
    </row>
    <row r="92" spans="1:10" s="1152" customFormat="1">
      <c r="A92" s="484" t="e">
        <f>+#REF!</f>
        <v>#REF!</v>
      </c>
      <c r="B92" s="239" t="e">
        <f>+#REF!</f>
        <v>#REF!</v>
      </c>
      <c r="C92" s="1522" t="e">
        <f>#REF!</f>
        <v>#REF!</v>
      </c>
      <c r="D92" s="1520">
        <f>+J92</f>
        <v>420</v>
      </c>
      <c r="E92" s="650" t="e">
        <f>+#REF!</f>
        <v>#REF!</v>
      </c>
      <c r="F92" s="962" t="e">
        <f t="shared" si="5"/>
        <v>#REF!</v>
      </c>
      <c r="G92" s="1149"/>
      <c r="H92" s="1150">
        <f>20*20</f>
        <v>400</v>
      </c>
      <c r="I92" s="1151">
        <v>1.05</v>
      </c>
      <c r="J92" s="1150">
        <f t="shared" si="6"/>
        <v>420</v>
      </c>
    </row>
    <row r="93" spans="1:10" s="1152" customFormat="1">
      <c r="A93" s="484" t="e">
        <f>+#REF!</f>
        <v>#REF!</v>
      </c>
      <c r="B93" s="239" t="e">
        <f>+#REF!</f>
        <v>#REF!</v>
      </c>
      <c r="C93" s="1522" t="e">
        <f>#REF!</f>
        <v>#REF!</v>
      </c>
      <c r="D93" s="1520">
        <f>+J93</f>
        <v>400</v>
      </c>
      <c r="E93" s="650" t="e">
        <f>+#REF!</f>
        <v>#REF!</v>
      </c>
      <c r="F93" s="962" t="e">
        <f t="shared" si="5"/>
        <v>#REF!</v>
      </c>
      <c r="G93" s="1149"/>
      <c r="H93" s="1150">
        <f>+F13+F14+F15*2+F16*2+F17*2+20*2*(50-35)</f>
        <v>2000</v>
      </c>
      <c r="I93" s="1151">
        <v>0.2</v>
      </c>
      <c r="J93" s="1150">
        <f t="shared" si="6"/>
        <v>400</v>
      </c>
    </row>
    <row r="94" spans="1:10" s="1152" customFormat="1">
      <c r="A94" s="484" t="e">
        <f>+#REF!</f>
        <v>#REF!</v>
      </c>
      <c r="B94" s="239" t="e">
        <f>+#REF!</f>
        <v>#REF!</v>
      </c>
      <c r="C94" s="1522" t="e">
        <f>#REF!</f>
        <v>#REF!</v>
      </c>
      <c r="D94" s="1520">
        <f>+J94</f>
        <v>2100</v>
      </c>
      <c r="E94" s="650" t="e">
        <f>+#REF!</f>
        <v>#REF!</v>
      </c>
      <c r="F94" s="962" t="e">
        <f t="shared" si="5"/>
        <v>#REF!</v>
      </c>
      <c r="G94" s="1149"/>
      <c r="H94" s="1150">
        <f>+(F13+F14+F15+F16)*2+F17*2+20*(50-35)*2</f>
        <v>2000</v>
      </c>
      <c r="I94" s="1151">
        <v>1.05</v>
      </c>
      <c r="J94" s="1150">
        <f>+H94*I94</f>
        <v>2100</v>
      </c>
    </row>
    <row r="95" spans="1:10" s="1152" customFormat="1">
      <c r="A95" s="791" t="e">
        <f>+#REF!</f>
        <v>#REF!</v>
      </c>
      <c r="B95" s="824" t="e">
        <f>+#REF!</f>
        <v>#REF!</v>
      </c>
      <c r="C95" s="1522"/>
      <c r="D95" s="1520"/>
      <c r="E95" s="650"/>
      <c r="F95" s="962"/>
      <c r="G95" s="1149"/>
      <c r="H95" s="1150"/>
      <c r="I95" s="1151"/>
      <c r="J95" s="1150"/>
    </row>
    <row r="96" spans="1:10" s="1152" customFormat="1">
      <c r="A96" s="484" t="e">
        <f>+#REF!</f>
        <v>#REF!</v>
      </c>
      <c r="B96" s="239" t="e">
        <f>+#REF!</f>
        <v>#REF!</v>
      </c>
      <c r="C96" s="1522" t="e">
        <f>#REF!</f>
        <v>#REF!</v>
      </c>
      <c r="D96" s="1520">
        <f>+D92</f>
        <v>420</v>
      </c>
      <c r="E96" s="650" t="e">
        <f>+#REF!</f>
        <v>#REF!</v>
      </c>
      <c r="F96" s="962" t="e">
        <f t="shared" si="5"/>
        <v>#REF!</v>
      </c>
      <c r="G96" s="1149"/>
      <c r="H96" s="1150"/>
      <c r="I96" s="1151"/>
      <c r="J96" s="1150"/>
    </row>
    <row r="97" spans="1:16" s="1152" customFormat="1">
      <c r="A97" s="484" t="e">
        <f>+#REF!</f>
        <v>#REF!</v>
      </c>
      <c r="B97" s="239" t="e">
        <f>+#REF!</f>
        <v>#REF!</v>
      </c>
      <c r="C97" s="1522" t="e">
        <f>#REF!</f>
        <v>#REF!</v>
      </c>
      <c r="D97" s="1520">
        <f>+D93</f>
        <v>400</v>
      </c>
      <c r="E97" s="650" t="e">
        <f>+#REF!</f>
        <v>#REF!</v>
      </c>
      <c r="F97" s="962" t="e">
        <f t="shared" si="5"/>
        <v>#REF!</v>
      </c>
      <c r="G97" s="1149"/>
      <c r="H97" s="1150"/>
      <c r="I97" s="1151"/>
      <c r="J97" s="1150"/>
    </row>
    <row r="98" spans="1:16" s="1152" customFormat="1">
      <c r="A98" s="1615" t="e">
        <f>+#REF!</f>
        <v>#REF!</v>
      </c>
      <c r="B98" s="1280" t="e">
        <f>+#REF!</f>
        <v>#REF!</v>
      </c>
      <c r="C98" s="1523" t="e">
        <f>#REF!</f>
        <v>#REF!</v>
      </c>
      <c r="D98" s="1521">
        <f>+D94</f>
        <v>2100</v>
      </c>
      <c r="E98" s="547" t="e">
        <f>+#REF!</f>
        <v>#REF!</v>
      </c>
      <c r="F98" s="963" t="e">
        <f t="shared" si="5"/>
        <v>#REF!</v>
      </c>
      <c r="G98" s="1149"/>
      <c r="H98" s="1150"/>
      <c r="I98" s="1151"/>
      <c r="J98" s="1150"/>
    </row>
    <row r="99" spans="1:16" s="1152" customFormat="1" ht="30" customHeight="1">
      <c r="A99" s="745" t="e">
        <f>+#REF!</f>
        <v>#REF!</v>
      </c>
      <c r="B99" s="1614" t="e">
        <f>+#REF!</f>
        <v>#REF!</v>
      </c>
      <c r="C99" s="1522"/>
      <c r="D99" s="1520"/>
      <c r="E99" s="650"/>
      <c r="F99" s="962"/>
      <c r="G99" s="1149"/>
      <c r="H99" s="1150"/>
      <c r="I99" s="1151"/>
      <c r="J99" s="1150"/>
    </row>
    <row r="100" spans="1:16" s="1152" customFormat="1">
      <c r="A100" s="791" t="e">
        <f>+#REF!</f>
        <v>#REF!</v>
      </c>
      <c r="B100" s="1620" t="e">
        <f>+#REF!</f>
        <v>#REF!</v>
      </c>
      <c r="C100" s="1522"/>
      <c r="D100" s="1520"/>
      <c r="E100" s="650"/>
      <c r="F100" s="962"/>
      <c r="G100" s="1149"/>
      <c r="H100" s="1150"/>
      <c r="I100" s="1151"/>
      <c r="J100" s="1150">
        <v>1</v>
      </c>
      <c r="K100" s="1152">
        <v>1.5</v>
      </c>
      <c r="L100" s="1319">
        <f>+J130+J131</f>
        <v>1837.92</v>
      </c>
      <c r="M100" s="1320">
        <f t="shared" ref="M100:M104" si="7">+J100*K100*L100</f>
        <v>2756.88</v>
      </c>
      <c r="N100" s="1152">
        <v>1</v>
      </c>
      <c r="O100" s="1152">
        <v>1</v>
      </c>
      <c r="P100" s="1152">
        <f>+L100*N100*O100</f>
        <v>1837.92</v>
      </c>
    </row>
    <row r="101" spans="1:16" s="1152" customFormat="1">
      <c r="A101" s="484" t="e">
        <f>+#REF!</f>
        <v>#REF!</v>
      </c>
      <c r="B101" s="1616" t="e">
        <f>+#REF!</f>
        <v>#REF!</v>
      </c>
      <c r="C101" s="1522" t="e">
        <f>#REF!</f>
        <v>#REF!</v>
      </c>
      <c r="D101" s="1520">
        <f>+D85*0.1</f>
        <v>940.2120000000001</v>
      </c>
      <c r="E101" s="650" t="e">
        <f>+#REF!</f>
        <v>#REF!</v>
      </c>
      <c r="F101" s="962" t="e">
        <f t="shared" si="5"/>
        <v>#REF!</v>
      </c>
      <c r="G101" s="1149"/>
      <c r="H101" s="1150"/>
      <c r="I101" s="1151"/>
      <c r="J101" s="1150"/>
      <c r="M101" s="1320">
        <f t="shared" si="7"/>
        <v>0</v>
      </c>
      <c r="P101" s="1152">
        <f t="shared" ref="P101:P105" si="8">+L101*N101*O101</f>
        <v>0</v>
      </c>
    </row>
    <row r="102" spans="1:16" s="1152" customFormat="1">
      <c r="A102" s="484" t="e">
        <f>+#REF!</f>
        <v>#REF!</v>
      </c>
      <c r="B102" s="1616" t="e">
        <f>+#REF!</f>
        <v>#REF!</v>
      </c>
      <c r="C102" s="1522" t="e">
        <f>#REF!</f>
        <v>#REF!</v>
      </c>
      <c r="D102" s="1520">
        <f>+D86*0.2</f>
        <v>1159.095</v>
      </c>
      <c r="E102" s="650" t="e">
        <f>+#REF!</f>
        <v>#REF!</v>
      </c>
      <c r="F102" s="962" t="e">
        <f t="shared" si="5"/>
        <v>#REF!</v>
      </c>
      <c r="G102" s="1149"/>
      <c r="H102" s="1150"/>
      <c r="I102" s="1151"/>
      <c r="J102" s="1150">
        <f>1+0.1*2+0.6*2</f>
        <v>2.4</v>
      </c>
      <c r="K102" s="1152">
        <v>3.5</v>
      </c>
      <c r="L102" s="1319">
        <f>+J136+J137</f>
        <v>517.5</v>
      </c>
      <c r="M102" s="1320">
        <f t="shared" si="7"/>
        <v>4347</v>
      </c>
      <c r="N102" s="1152">
        <v>1.4</v>
      </c>
      <c r="O102" s="1152">
        <v>1</v>
      </c>
      <c r="P102" s="1152">
        <f t="shared" si="8"/>
        <v>724.5</v>
      </c>
    </row>
    <row r="103" spans="1:16" s="1152" customFormat="1">
      <c r="A103" s="791" t="e">
        <f>+#REF!</f>
        <v>#REF!</v>
      </c>
      <c r="B103" s="1620" t="e">
        <f>+#REF!</f>
        <v>#REF!</v>
      </c>
      <c r="C103" s="1522"/>
      <c r="D103" s="1520"/>
      <c r="E103" s="650"/>
      <c r="F103" s="962"/>
      <c r="G103" s="1149"/>
      <c r="H103" s="1150"/>
      <c r="I103" s="1151"/>
      <c r="J103" s="1150">
        <f>1.6*3+0.1*2+1*2</f>
        <v>7.0000000000000009</v>
      </c>
      <c r="K103" s="1152">
        <v>3</v>
      </c>
      <c r="L103" s="1318">
        <f>+J138</f>
        <v>372.75</v>
      </c>
      <c r="M103" s="1320">
        <f t="shared" si="7"/>
        <v>7827.7500000000009</v>
      </c>
      <c r="N103" s="1152">
        <f>1.6*3+0.3*4</f>
        <v>6.0000000000000009</v>
      </c>
      <c r="O103" s="1152">
        <f>1.6+0.3*2</f>
        <v>2.2000000000000002</v>
      </c>
      <c r="P103" s="1152">
        <f t="shared" si="8"/>
        <v>4920.3000000000011</v>
      </c>
    </row>
    <row r="104" spans="1:16" s="1152" customFormat="1">
      <c r="A104" s="484" t="e">
        <f>+#REF!</f>
        <v>#REF!</v>
      </c>
      <c r="B104" s="1616" t="e">
        <f>+#REF!</f>
        <v>#REF!</v>
      </c>
      <c r="C104" s="1522" t="e">
        <f>#REF!</f>
        <v>#REF!</v>
      </c>
      <c r="D104" s="1520">
        <f>+D101</f>
        <v>940.2120000000001</v>
      </c>
      <c r="E104" s="650" t="e">
        <f>+#REF!</f>
        <v>#REF!</v>
      </c>
      <c r="F104" s="962" t="e">
        <f t="shared" si="5"/>
        <v>#REF!</v>
      </c>
      <c r="G104" s="1149"/>
      <c r="H104" s="1150"/>
      <c r="I104" s="1151"/>
      <c r="J104" s="1150">
        <f>1.6*4+0.1*2+1*2</f>
        <v>8.6000000000000014</v>
      </c>
      <c r="K104" s="1152">
        <v>3</v>
      </c>
      <c r="L104" s="1318">
        <f t="shared" ref="L104:L105" si="9">+J139</f>
        <v>336</v>
      </c>
      <c r="M104" s="1320">
        <f t="shared" si="7"/>
        <v>8668.8000000000011</v>
      </c>
      <c r="N104" s="1152">
        <f>1.6*4+0.3*5</f>
        <v>7.9</v>
      </c>
      <c r="O104" s="1152">
        <f t="shared" ref="O104:O105" si="10">1.6+0.3*2</f>
        <v>2.2000000000000002</v>
      </c>
      <c r="P104" s="1152">
        <f t="shared" si="8"/>
        <v>5839.68</v>
      </c>
    </row>
    <row r="105" spans="1:16" s="1152" customFormat="1">
      <c r="A105" s="1615" t="e">
        <f>+#REF!</f>
        <v>#REF!</v>
      </c>
      <c r="B105" s="467" t="e">
        <f>+#REF!</f>
        <v>#REF!</v>
      </c>
      <c r="C105" s="1522" t="e">
        <f>#REF!</f>
        <v>#REF!</v>
      </c>
      <c r="D105" s="1520">
        <f>+D102</f>
        <v>1159.095</v>
      </c>
      <c r="E105" s="650" t="e">
        <f>+#REF!</f>
        <v>#REF!</v>
      </c>
      <c r="F105" s="962" t="e">
        <f t="shared" si="5"/>
        <v>#REF!</v>
      </c>
      <c r="G105" s="1149"/>
      <c r="H105" s="1150"/>
      <c r="I105" s="1151"/>
      <c r="J105" s="1150">
        <f>1.6*5+0.1*2+1*2</f>
        <v>10.199999999999999</v>
      </c>
      <c r="K105" s="1152">
        <v>3</v>
      </c>
      <c r="L105" s="1318">
        <f t="shared" si="9"/>
        <v>845.25</v>
      </c>
      <c r="M105" s="1320">
        <f>+J105*K105*L105</f>
        <v>25864.649999999998</v>
      </c>
      <c r="N105" s="1152">
        <f>5*1.6+0.3*6</f>
        <v>9.8000000000000007</v>
      </c>
      <c r="O105" s="1152">
        <f t="shared" si="10"/>
        <v>2.2000000000000002</v>
      </c>
      <c r="P105" s="1152">
        <f t="shared" si="8"/>
        <v>18223.590000000004</v>
      </c>
    </row>
    <row r="106" spans="1:16" s="1152" customFormat="1" ht="18.75">
      <c r="A106" s="1125"/>
      <c r="B106" s="1134"/>
      <c r="C106" s="1608"/>
      <c r="D106" s="636"/>
      <c r="E106" s="1609" t="s">
        <v>109</v>
      </c>
      <c r="F106" s="1122" t="e">
        <f>SUM(F79:F105)</f>
        <v>#REF!</v>
      </c>
      <c r="G106" s="1149"/>
      <c r="H106" s="1150"/>
      <c r="I106" s="1151"/>
      <c r="J106" s="1150"/>
      <c r="M106" s="1320">
        <f>SUM(M100:M105)</f>
        <v>49465.08</v>
      </c>
      <c r="P106" s="1152">
        <f>SUM(P100:P105)</f>
        <v>31545.990000000005</v>
      </c>
    </row>
    <row r="107" spans="1:16" s="1146" customFormat="1" ht="15" customHeight="1">
      <c r="A107" s="1126"/>
      <c r="B107" s="1117"/>
      <c r="C107" s="188"/>
      <c r="D107" s="410"/>
      <c r="E107" s="1131"/>
      <c r="F107" s="1131"/>
      <c r="G107" s="44"/>
      <c r="H107" s="1144"/>
      <c r="I107" s="1145"/>
      <c r="J107" s="1144"/>
      <c r="L107" s="1146">
        <f>5.9/2</f>
        <v>2.95</v>
      </c>
    </row>
    <row r="108" spans="1:16" s="1146" customFormat="1" ht="24.95" customHeight="1">
      <c r="A108" s="1905" t="e">
        <f>+#REF!</f>
        <v>#REF!</v>
      </c>
      <c r="B108" s="1906"/>
      <c r="C108" s="1906"/>
      <c r="D108" s="1906"/>
      <c r="E108" s="1906"/>
      <c r="F108" s="1907"/>
      <c r="G108" s="44"/>
      <c r="H108" s="1144"/>
      <c r="I108" s="1145"/>
      <c r="J108" s="1144"/>
      <c r="L108" s="1146">
        <f>2.95*2</f>
        <v>5.9</v>
      </c>
    </row>
    <row r="109" spans="1:16" s="1146" customFormat="1">
      <c r="A109" s="1449" t="e">
        <f>+#REF!</f>
        <v>#REF!</v>
      </c>
      <c r="B109" s="1614" t="e">
        <f>+#REF!</f>
        <v>#REF!</v>
      </c>
      <c r="C109" s="1534"/>
      <c r="D109" s="543"/>
      <c r="E109" s="544"/>
      <c r="F109" s="1142"/>
      <c r="G109" s="44"/>
      <c r="H109" s="1144"/>
      <c r="I109" s="1145"/>
      <c r="J109" s="1144"/>
      <c r="L109" s="1146">
        <v>6.1</v>
      </c>
    </row>
    <row r="110" spans="1:16" s="1146" customFormat="1">
      <c r="A110" s="1621"/>
      <c r="B110" s="465"/>
      <c r="C110" s="1554" t="e">
        <f>#REF!</f>
        <v>#REF!</v>
      </c>
      <c r="D110" s="1521">
        <f>J110</f>
        <v>54411.588000000003</v>
      </c>
      <c r="E110" s="547" t="e">
        <f>#REF!</f>
        <v>#REF!</v>
      </c>
      <c r="F110" s="547" t="e">
        <f>+D110*E110</f>
        <v>#REF!</v>
      </c>
      <c r="G110" s="44"/>
      <c r="H110" s="1171">
        <f>+M106</f>
        <v>49465.08</v>
      </c>
      <c r="I110" s="1145">
        <v>1.1000000000000001</v>
      </c>
      <c r="J110" s="1144">
        <f>H110*I110</f>
        <v>54411.588000000003</v>
      </c>
      <c r="K110" s="1146">
        <f>10*3*1500</f>
        <v>45000</v>
      </c>
      <c r="L110" s="1146">
        <f>2*9</f>
        <v>18</v>
      </c>
    </row>
    <row r="111" spans="1:16" s="1146" customFormat="1">
      <c r="A111" s="1449" t="e">
        <f>+#REF!</f>
        <v>#REF!</v>
      </c>
      <c r="B111" s="1614" t="e">
        <f>+#REF!</f>
        <v>#REF!</v>
      </c>
      <c r="C111" s="1534"/>
      <c r="D111" s="543"/>
      <c r="E111" s="544"/>
      <c r="F111" s="1142"/>
      <c r="G111" s="44"/>
      <c r="H111" s="1144"/>
      <c r="I111" s="1145"/>
      <c r="J111" s="1144"/>
      <c r="L111" s="1146">
        <f>2*2</f>
        <v>4</v>
      </c>
    </row>
    <row r="112" spans="1:16" s="1146" customFormat="1">
      <c r="A112" s="1621"/>
      <c r="B112" s="465"/>
      <c r="C112" s="1554" t="e">
        <f>#REF!</f>
        <v>#REF!</v>
      </c>
      <c r="D112" s="1521">
        <f>J112</f>
        <v>25086.725999999995</v>
      </c>
      <c r="E112" s="547" t="e">
        <f>#REF!</f>
        <v>#REF!</v>
      </c>
      <c r="F112" s="547" t="e">
        <f>+D112*E112</f>
        <v>#REF!</v>
      </c>
      <c r="G112" s="44"/>
      <c r="H112" s="1171">
        <f>+H110-P106</f>
        <v>17919.089999999997</v>
      </c>
      <c r="I112" s="1145">
        <v>1.4</v>
      </c>
      <c r="J112" s="1144">
        <f>H112*I112</f>
        <v>25086.725999999995</v>
      </c>
      <c r="L112" s="1146">
        <f>2*3</f>
        <v>6</v>
      </c>
    </row>
    <row r="113" spans="1:14" s="1146" customFormat="1">
      <c r="A113" s="1449" t="e">
        <f>+#REF!</f>
        <v>#REF!</v>
      </c>
      <c r="B113" s="1614" t="e">
        <f>+#REF!</f>
        <v>#REF!</v>
      </c>
      <c r="C113" s="1534"/>
      <c r="D113" s="543"/>
      <c r="E113" s="544"/>
      <c r="F113" s="1142"/>
      <c r="G113" s="44"/>
      <c r="H113" s="1144"/>
      <c r="I113" s="1145"/>
      <c r="J113" s="1144"/>
    </row>
    <row r="114" spans="1:14" s="1146" customFormat="1">
      <c r="A114" s="1621"/>
      <c r="B114" s="465"/>
      <c r="C114" s="1554" t="e">
        <f>#REF!</f>
        <v>#REF!</v>
      </c>
      <c r="D114" s="1521">
        <f>100*0.6</f>
        <v>60</v>
      </c>
      <c r="E114" s="547" t="e">
        <f>#REF!</f>
        <v>#REF!</v>
      </c>
      <c r="F114" s="547" t="e">
        <f>+D114*E114</f>
        <v>#REF!</v>
      </c>
      <c r="G114" s="44"/>
      <c r="H114" s="1144"/>
      <c r="I114" s="1145"/>
      <c r="J114" s="1144"/>
    </row>
    <row r="115" spans="1:14" s="1146" customFormat="1">
      <c r="A115" s="1449" t="e">
        <f>+#REF!</f>
        <v>#REF!</v>
      </c>
      <c r="B115" s="1614" t="e">
        <f>+#REF!</f>
        <v>#REF!</v>
      </c>
      <c r="C115" s="1534"/>
      <c r="D115" s="543"/>
      <c r="E115" s="544"/>
      <c r="F115" s="1142"/>
      <c r="G115" s="44"/>
      <c r="H115" s="1144"/>
      <c r="I115" s="1145"/>
      <c r="J115" s="1144"/>
    </row>
    <row r="116" spans="1:14" s="1146" customFormat="1">
      <c r="A116" s="1621"/>
      <c r="B116" s="465"/>
      <c r="C116" s="1554" t="e">
        <f>#REF!</f>
        <v>#REF!</v>
      </c>
      <c r="D116" s="1521">
        <f>350</f>
        <v>350</v>
      </c>
      <c r="E116" s="547" t="e">
        <f>#REF!</f>
        <v>#REF!</v>
      </c>
      <c r="F116" s="547" t="e">
        <f>+D116*E116</f>
        <v>#REF!</v>
      </c>
      <c r="G116" s="44"/>
      <c r="H116" s="1144"/>
      <c r="I116" s="1145"/>
      <c r="J116" s="1144">
        <f>6.2+2</f>
        <v>8.1999999999999993</v>
      </c>
      <c r="K116" s="1146">
        <f>2</f>
        <v>2</v>
      </c>
    </row>
    <row r="117" spans="1:14" s="1146" customFormat="1">
      <c r="A117" s="1449" t="e">
        <f>+#REF!</f>
        <v>#REF!</v>
      </c>
      <c r="B117" s="1614" t="e">
        <f>+#REF!</f>
        <v>#REF!</v>
      </c>
      <c r="C117" s="1534"/>
      <c r="D117" s="543"/>
      <c r="E117" s="544"/>
      <c r="F117" s="1142"/>
      <c r="G117" s="44"/>
      <c r="H117" s="1144"/>
      <c r="I117" s="1145"/>
      <c r="J117" s="1144"/>
      <c r="K117" s="1146">
        <f>J116*K116/2</f>
        <v>8.1999999999999993</v>
      </c>
    </row>
    <row r="118" spans="1:14" s="1146" customFormat="1">
      <c r="A118" s="1621" t="e">
        <f>+#REF!</f>
        <v>#REF!</v>
      </c>
      <c r="B118" s="465" t="e">
        <f>+#REF!</f>
        <v>#REF!</v>
      </c>
      <c r="C118" s="1554" t="e">
        <f>#REF!</f>
        <v>#REF!</v>
      </c>
      <c r="D118" s="1521">
        <f>(D122)*110</f>
        <v>21450</v>
      </c>
      <c r="E118" s="547" t="e">
        <f>#REF!</f>
        <v>#REF!</v>
      </c>
      <c r="F118" s="547" t="e">
        <f>+D118*E118</f>
        <v>#REF!</v>
      </c>
      <c r="G118" s="44"/>
      <c r="H118" s="1144"/>
      <c r="I118" s="1145"/>
      <c r="J118" s="1144"/>
    </row>
    <row r="119" spans="1:14" s="1146" customFormat="1">
      <c r="A119" s="1449" t="e">
        <f>+#REF!</f>
        <v>#REF!</v>
      </c>
      <c r="B119" s="1614" t="e">
        <f>+#REF!</f>
        <v>#REF!</v>
      </c>
      <c r="C119" s="1534"/>
      <c r="D119" s="543"/>
      <c r="E119" s="544"/>
      <c r="F119" s="1142"/>
      <c r="G119" s="44"/>
      <c r="H119" s="1144"/>
      <c r="I119" s="1145"/>
      <c r="J119" s="1144"/>
      <c r="L119" s="1146">
        <f>0.1+0.25+0.25+0.25+0.1</f>
        <v>0.95</v>
      </c>
    </row>
    <row r="120" spans="1:14" s="1146" customFormat="1">
      <c r="A120" s="1621"/>
      <c r="B120" s="465"/>
      <c r="C120" s="1554" t="e">
        <f>#REF!</f>
        <v>#REF!</v>
      </c>
      <c r="D120" s="1521">
        <f>150*0.6</f>
        <v>90</v>
      </c>
      <c r="E120" s="547" t="e">
        <f>#REF!</f>
        <v>#REF!</v>
      </c>
      <c r="F120" s="547" t="e">
        <f>+D120*E120</f>
        <v>#REF!</v>
      </c>
      <c r="G120" s="44"/>
      <c r="H120" s="1144"/>
      <c r="I120" s="1145"/>
      <c r="J120" s="1144"/>
      <c r="L120" s="1146">
        <f>1*2+L119</f>
        <v>2.95</v>
      </c>
      <c r="N120" s="1146">
        <f>0.1+0.25+1.8+0.25</f>
        <v>2.4</v>
      </c>
    </row>
    <row r="121" spans="1:14" s="1146" customFormat="1">
      <c r="A121" s="1449" t="e">
        <f>+#REF!</f>
        <v>#REF!</v>
      </c>
      <c r="B121" s="1614" t="e">
        <f>+#REF!</f>
        <v>#REF!</v>
      </c>
      <c r="C121" s="1534"/>
      <c r="D121" s="543"/>
      <c r="E121" s="544"/>
      <c r="F121" s="1142"/>
      <c r="G121" s="44"/>
      <c r="H121" s="1144"/>
      <c r="I121" s="1145"/>
      <c r="J121" s="1144"/>
    </row>
    <row r="122" spans="1:14" s="1146" customFormat="1">
      <c r="A122" s="1621"/>
      <c r="B122" s="465"/>
      <c r="C122" s="1553" t="e">
        <f>#REF!</f>
        <v>#REF!</v>
      </c>
      <c r="D122" s="1520">
        <f>300*0.65</f>
        <v>195</v>
      </c>
      <c r="E122" s="650" t="e">
        <f>#REF!</f>
        <v>#REF!</v>
      </c>
      <c r="F122" s="650" t="e">
        <f>+D122*E122</f>
        <v>#REF!</v>
      </c>
      <c r="G122" s="44"/>
      <c r="H122" s="1144"/>
      <c r="I122" s="1145"/>
      <c r="J122" s="1144"/>
    </row>
    <row r="123" spans="1:14" s="1146" customFormat="1" ht="30" customHeight="1">
      <c r="A123" s="1449" t="e">
        <f>+#REF!</f>
        <v>#REF!</v>
      </c>
      <c r="B123" s="1614" t="e">
        <f>+#REF!</f>
        <v>#REF!</v>
      </c>
      <c r="C123" s="1617"/>
      <c r="D123" s="954"/>
      <c r="E123" s="544"/>
      <c r="F123" s="544"/>
      <c r="G123" s="44"/>
      <c r="H123" s="1144"/>
      <c r="I123" s="1145"/>
      <c r="J123" s="1144"/>
    </row>
    <row r="124" spans="1:14" s="1146" customFormat="1">
      <c r="A124" s="484" t="e">
        <f>+#REF!</f>
        <v>#REF!</v>
      </c>
      <c r="B124" s="1616" t="e">
        <f>+#REF!</f>
        <v>#REF!</v>
      </c>
      <c r="C124" s="1553" t="e">
        <f>#REF!</f>
        <v>#REF!</v>
      </c>
      <c r="D124" s="955">
        <f>J124</f>
        <v>105.36500000000001</v>
      </c>
      <c r="E124" s="650" t="e">
        <f>#REF!</f>
        <v>#REF!</v>
      </c>
      <c r="F124" s="650" t="e">
        <f>+D124*E124</f>
        <v>#REF!</v>
      </c>
      <c r="G124" s="44"/>
      <c r="H124" s="1144">
        <f>J60/10</f>
        <v>105.36500000000001</v>
      </c>
      <c r="I124" s="1145">
        <v>1</v>
      </c>
      <c r="J124" s="1144">
        <f>H124*I124</f>
        <v>105.36500000000001</v>
      </c>
    </row>
    <row r="125" spans="1:14" s="1146" customFormat="1">
      <c r="A125" s="484" t="e">
        <f>+#REF!</f>
        <v>#REF!</v>
      </c>
      <c r="B125" s="1616" t="e">
        <f>+#REF!</f>
        <v>#REF!</v>
      </c>
      <c r="C125" s="1553" t="e">
        <f>#REF!</f>
        <v>#REF!</v>
      </c>
      <c r="D125" s="955">
        <f>J125</f>
        <v>42.146000000000001</v>
      </c>
      <c r="E125" s="650" t="e">
        <f>#REF!</f>
        <v>#REF!</v>
      </c>
      <c r="F125" s="650" t="e">
        <f>+D125*E125</f>
        <v>#REF!</v>
      </c>
      <c r="G125" s="44"/>
      <c r="H125" s="1144">
        <f>0.2%*H60</f>
        <v>42.146000000000001</v>
      </c>
      <c r="I125" s="1145">
        <v>1</v>
      </c>
      <c r="J125" s="1144">
        <f>H125*I125</f>
        <v>42.146000000000001</v>
      </c>
    </row>
    <row r="126" spans="1:14" s="1146" customFormat="1">
      <c r="A126" s="1615" t="e">
        <f>+#REF!</f>
        <v>#REF!</v>
      </c>
      <c r="B126" s="467" t="e">
        <f>+#REF!</f>
        <v>#REF!</v>
      </c>
      <c r="C126" s="1554" t="e">
        <f>#REF!</f>
        <v>#REF!</v>
      </c>
      <c r="D126" s="1143">
        <f>H126</f>
        <v>20</v>
      </c>
      <c r="E126" s="547" t="e">
        <f>#REF!</f>
        <v>#REF!</v>
      </c>
      <c r="F126" s="547" t="e">
        <f>+D126*E126</f>
        <v>#REF!</v>
      </c>
      <c r="G126" s="44"/>
      <c r="H126" s="1144">
        <f>10*2</f>
        <v>20</v>
      </c>
      <c r="I126" s="1145"/>
      <c r="J126" s="1144"/>
    </row>
    <row r="127" spans="1:14" s="1146" customFormat="1">
      <c r="A127" s="1449" t="e">
        <f>+#REF!</f>
        <v>#REF!</v>
      </c>
      <c r="B127" s="1614" t="e">
        <f>+#REF!</f>
        <v>#REF!</v>
      </c>
      <c r="C127" s="1534"/>
      <c r="D127" s="543"/>
      <c r="E127" s="544"/>
      <c r="F127" s="1142"/>
      <c r="G127" s="44"/>
      <c r="H127" s="1144"/>
      <c r="I127" s="1145"/>
      <c r="J127" s="1144"/>
      <c r="L127" s="1146">
        <f>+(10+7)*2*2</f>
        <v>68</v>
      </c>
    </row>
    <row r="128" spans="1:14">
      <c r="A128" s="1621" t="e">
        <f>+#REF!</f>
        <v>#REF!</v>
      </c>
      <c r="B128" s="465" t="e">
        <f>+#REF!</f>
        <v>#REF!</v>
      </c>
      <c r="C128" s="1553" t="e">
        <f>#REF!</f>
        <v>#REF!</v>
      </c>
      <c r="D128" s="1520">
        <f>5*60</f>
        <v>300</v>
      </c>
      <c r="E128" s="650" t="e">
        <f>#REF!</f>
        <v>#REF!</v>
      </c>
      <c r="F128" s="650" t="e">
        <f>+D128*E128</f>
        <v>#REF!</v>
      </c>
      <c r="L128" s="1172" t="e">
        <f>+#REF!+#REF!</f>
        <v>#REF!</v>
      </c>
    </row>
    <row r="129" spans="1:189" s="1158" customFormat="1">
      <c r="A129" s="1281" t="e">
        <f>+#REF!</f>
        <v>#REF!</v>
      </c>
      <c r="B129" s="1620" t="e">
        <f>+#REF!</f>
        <v>#REF!</v>
      </c>
      <c r="C129" s="1264"/>
      <c r="D129" s="1519"/>
      <c r="E129" s="544"/>
      <c r="F129" s="544"/>
      <c r="H129" s="1155"/>
      <c r="I129" s="1156"/>
      <c r="J129" s="1155"/>
      <c r="K129" s="1157"/>
      <c r="L129" s="1157"/>
      <c r="M129" s="1157"/>
      <c r="N129" s="1157"/>
      <c r="O129" s="1157"/>
      <c r="P129" s="1157"/>
      <c r="Q129" s="1157"/>
      <c r="R129" s="1157"/>
      <c r="S129" s="1157"/>
      <c r="T129" s="1157"/>
      <c r="U129" s="1157"/>
      <c r="V129" s="1157"/>
      <c r="W129" s="1157"/>
      <c r="X129" s="1157"/>
      <c r="Y129" s="1157"/>
      <c r="Z129" s="1157"/>
      <c r="AA129" s="1157"/>
      <c r="AB129" s="1157"/>
      <c r="AC129" s="1157"/>
      <c r="AD129" s="1157"/>
      <c r="AE129" s="1157"/>
      <c r="AF129" s="1157"/>
      <c r="AG129" s="1157"/>
      <c r="AH129" s="1157"/>
      <c r="AI129" s="1157"/>
      <c r="AJ129" s="1157"/>
      <c r="AK129" s="1157"/>
      <c r="AL129" s="1157"/>
      <c r="AM129" s="1157"/>
      <c r="AN129" s="1157"/>
      <c r="AO129" s="1157"/>
      <c r="AP129" s="1157"/>
      <c r="AQ129" s="1157"/>
      <c r="AR129" s="1157"/>
      <c r="AS129" s="1157"/>
      <c r="AT129" s="1157"/>
      <c r="AU129" s="1157"/>
      <c r="AV129" s="1157"/>
      <c r="AW129" s="1157"/>
      <c r="AX129" s="1157"/>
      <c r="AY129" s="1157"/>
      <c r="AZ129" s="1157"/>
      <c r="BA129" s="1157"/>
      <c r="BB129" s="1157"/>
      <c r="BC129" s="1157"/>
      <c r="BD129" s="1157"/>
      <c r="BE129" s="1157"/>
      <c r="BF129" s="1157"/>
      <c r="BG129" s="1157"/>
      <c r="BH129" s="1157"/>
      <c r="BI129" s="1157"/>
      <c r="BJ129" s="1157"/>
      <c r="BK129" s="1157"/>
      <c r="BL129" s="1157"/>
      <c r="BM129" s="1157"/>
      <c r="BN129" s="1157"/>
      <c r="BO129" s="1157"/>
      <c r="BP129" s="1157"/>
      <c r="BQ129" s="1157"/>
      <c r="BR129" s="1157"/>
      <c r="BS129" s="1157"/>
      <c r="BT129" s="1157"/>
      <c r="BU129" s="1157"/>
      <c r="BV129" s="1157"/>
      <c r="BW129" s="1157"/>
      <c r="BX129" s="1157"/>
      <c r="BY129" s="1157"/>
      <c r="BZ129" s="1157"/>
      <c r="CA129" s="1157"/>
      <c r="CB129" s="1157"/>
      <c r="CC129" s="1157"/>
      <c r="CD129" s="1157"/>
      <c r="CE129" s="1157"/>
      <c r="CF129" s="1157"/>
      <c r="CG129" s="1157"/>
      <c r="CH129" s="1157"/>
      <c r="CI129" s="1157"/>
      <c r="CJ129" s="1157"/>
      <c r="CK129" s="1157"/>
      <c r="CL129" s="1157"/>
      <c r="CM129" s="1157"/>
      <c r="CN129" s="1157"/>
      <c r="CO129" s="1157"/>
      <c r="CP129" s="1157"/>
      <c r="CQ129" s="1157"/>
      <c r="CR129" s="1157"/>
      <c r="CS129" s="1157"/>
      <c r="CT129" s="1157"/>
      <c r="CU129" s="1157"/>
      <c r="CV129" s="1157"/>
      <c r="CW129" s="1157"/>
      <c r="CX129" s="1157"/>
      <c r="CY129" s="1157"/>
      <c r="CZ129" s="1157"/>
      <c r="DA129" s="1157"/>
      <c r="DB129" s="1157"/>
      <c r="DC129" s="1157"/>
      <c r="DD129" s="1157"/>
      <c r="DE129" s="1157"/>
      <c r="DF129" s="1157"/>
      <c r="DG129" s="1157"/>
      <c r="DH129" s="1157"/>
      <c r="DI129" s="1157"/>
      <c r="DJ129" s="1157"/>
      <c r="DK129" s="1157"/>
      <c r="DL129" s="1157"/>
      <c r="DM129" s="1157"/>
      <c r="DN129" s="1157"/>
      <c r="DO129" s="1157"/>
      <c r="DP129" s="1157"/>
      <c r="DQ129" s="1157"/>
      <c r="DR129" s="1157"/>
      <c r="DS129" s="1157"/>
      <c r="DT129" s="1157"/>
      <c r="DU129" s="1157"/>
      <c r="DV129" s="1157"/>
      <c r="DW129" s="1157"/>
      <c r="DX129" s="1157"/>
      <c r="DY129" s="1157"/>
      <c r="DZ129" s="1157"/>
      <c r="EA129" s="1157"/>
      <c r="EB129" s="1157"/>
      <c r="EC129" s="1157"/>
      <c r="ED129" s="1157"/>
      <c r="EE129" s="1157"/>
      <c r="EF129" s="1157"/>
      <c r="EG129" s="1157"/>
      <c r="EH129" s="1157"/>
      <c r="EI129" s="1157"/>
      <c r="EJ129" s="1157"/>
      <c r="EK129" s="1157"/>
      <c r="EL129" s="1157"/>
      <c r="EM129" s="1157"/>
      <c r="EN129" s="1157"/>
      <c r="EO129" s="1157"/>
      <c r="EP129" s="1157"/>
      <c r="EQ129" s="1157"/>
      <c r="ER129" s="1157"/>
      <c r="ES129" s="1157"/>
      <c r="ET129" s="1157"/>
      <c r="EU129" s="1157"/>
      <c r="EV129" s="1157"/>
      <c r="EW129" s="1157"/>
      <c r="EX129" s="1157"/>
      <c r="EY129" s="1157"/>
      <c r="EZ129" s="1157"/>
      <c r="FA129" s="1157"/>
      <c r="FB129" s="1157"/>
      <c r="FC129" s="1157"/>
      <c r="FD129" s="1157"/>
      <c r="FE129" s="1157"/>
      <c r="FF129" s="1157"/>
      <c r="FG129" s="1157"/>
      <c r="FH129" s="1157"/>
      <c r="FI129" s="1157"/>
      <c r="FJ129" s="1157"/>
      <c r="FK129" s="1157"/>
      <c r="FL129" s="1157"/>
      <c r="FM129" s="1157"/>
      <c r="FN129" s="1157"/>
      <c r="FO129" s="1157"/>
      <c r="FP129" s="1157"/>
      <c r="FQ129" s="1157"/>
      <c r="FR129" s="1157"/>
      <c r="FS129" s="1157"/>
      <c r="FT129" s="1157"/>
      <c r="FU129" s="1157"/>
      <c r="FV129" s="1157"/>
      <c r="FW129" s="1157"/>
      <c r="FX129" s="1157"/>
      <c r="FY129" s="1157"/>
      <c r="FZ129" s="1157"/>
      <c r="GA129" s="1157"/>
      <c r="GB129" s="1157"/>
      <c r="GC129" s="1157"/>
      <c r="GD129" s="1157"/>
      <c r="GE129" s="1157"/>
      <c r="GF129" s="1157"/>
      <c r="GG129" s="1157"/>
    </row>
    <row r="130" spans="1:189" s="1158" customFormat="1">
      <c r="A130" s="484" t="e">
        <f>+#REF!</f>
        <v>#REF!</v>
      </c>
      <c r="B130" s="1616" t="e">
        <f>+#REF!</f>
        <v>#REF!</v>
      </c>
      <c r="C130" s="1522" t="e">
        <f>#REF!</f>
        <v>#REF!</v>
      </c>
      <c r="D130" s="1520">
        <f>J130</f>
        <v>1417.92</v>
      </c>
      <c r="E130" s="650" t="e">
        <f>#REF!</f>
        <v>#REF!</v>
      </c>
      <c r="F130" s="650" t="e">
        <f t="shared" ref="F130:F137" si="11">+D130*E130</f>
        <v>#REF!</v>
      </c>
      <c r="H130" s="1155">
        <f>F7</f>
        <v>1350.4</v>
      </c>
      <c r="I130" s="1156">
        <v>1.05</v>
      </c>
      <c r="J130" s="1155">
        <f t="shared" ref="J130:J137" si="12">H130*I130</f>
        <v>1417.92</v>
      </c>
      <c r="K130" s="1157"/>
      <c r="L130" s="1157"/>
      <c r="M130" s="1157"/>
      <c r="N130" s="1157"/>
      <c r="O130" s="1157"/>
      <c r="P130" s="1157"/>
      <c r="Q130" s="1157"/>
      <c r="R130" s="1157"/>
      <c r="S130" s="1157"/>
      <c r="T130" s="1157"/>
      <c r="U130" s="1157"/>
      <c r="V130" s="1157"/>
      <c r="W130" s="1157"/>
      <c r="X130" s="1157"/>
      <c r="Y130" s="1157"/>
      <c r="Z130" s="1157"/>
      <c r="AA130" s="1157"/>
      <c r="AB130" s="1157"/>
      <c r="AC130" s="1157"/>
      <c r="AD130" s="1157"/>
      <c r="AE130" s="1157"/>
      <c r="AF130" s="1157"/>
      <c r="AG130" s="1157"/>
      <c r="AH130" s="1157"/>
      <c r="AI130" s="1157"/>
      <c r="AJ130" s="1157"/>
      <c r="AK130" s="1157"/>
      <c r="AL130" s="1157"/>
      <c r="AM130" s="1157"/>
      <c r="AN130" s="1157"/>
      <c r="AO130" s="1157"/>
      <c r="AP130" s="1157"/>
      <c r="AQ130" s="1157"/>
      <c r="AR130" s="1157"/>
      <c r="AS130" s="1157"/>
      <c r="AT130" s="1157"/>
      <c r="AU130" s="1157"/>
      <c r="AV130" s="1157"/>
      <c r="AW130" s="1157"/>
      <c r="AX130" s="1157"/>
      <c r="AY130" s="1157"/>
      <c r="AZ130" s="1157"/>
      <c r="BA130" s="1157"/>
      <c r="BB130" s="1157"/>
      <c r="BC130" s="1157"/>
      <c r="BD130" s="1157"/>
      <c r="BE130" s="1157"/>
      <c r="BF130" s="1157"/>
      <c r="BG130" s="1157"/>
      <c r="BH130" s="1157"/>
      <c r="BI130" s="1157"/>
      <c r="BJ130" s="1157"/>
      <c r="BK130" s="1157"/>
      <c r="BL130" s="1157"/>
      <c r="BM130" s="1157"/>
      <c r="BN130" s="1157"/>
      <c r="BO130" s="1157"/>
      <c r="BP130" s="1157"/>
      <c r="BQ130" s="1157"/>
      <c r="BR130" s="1157"/>
      <c r="BS130" s="1157"/>
      <c r="BT130" s="1157"/>
      <c r="BU130" s="1157"/>
      <c r="BV130" s="1157"/>
      <c r="BW130" s="1157"/>
      <c r="BX130" s="1157"/>
      <c r="BY130" s="1157"/>
      <c r="BZ130" s="1157"/>
      <c r="CA130" s="1157"/>
      <c r="CB130" s="1157"/>
      <c r="CC130" s="1157"/>
      <c r="CD130" s="1157"/>
      <c r="CE130" s="1157"/>
      <c r="CF130" s="1157"/>
      <c r="CG130" s="1157"/>
      <c r="CH130" s="1157"/>
      <c r="CI130" s="1157"/>
      <c r="CJ130" s="1157"/>
      <c r="CK130" s="1157"/>
      <c r="CL130" s="1157"/>
      <c r="CM130" s="1157"/>
      <c r="CN130" s="1157"/>
      <c r="CO130" s="1157"/>
      <c r="CP130" s="1157"/>
      <c r="CQ130" s="1157"/>
      <c r="CR130" s="1157"/>
      <c r="CS130" s="1157"/>
      <c r="CT130" s="1157"/>
      <c r="CU130" s="1157"/>
      <c r="CV130" s="1157"/>
      <c r="CW130" s="1157"/>
      <c r="CX130" s="1157"/>
      <c r="CY130" s="1157"/>
      <c r="CZ130" s="1157"/>
      <c r="DA130" s="1157"/>
      <c r="DB130" s="1157"/>
      <c r="DC130" s="1157"/>
      <c r="DD130" s="1157"/>
      <c r="DE130" s="1157"/>
      <c r="DF130" s="1157"/>
      <c r="DG130" s="1157"/>
      <c r="DH130" s="1157"/>
      <c r="DI130" s="1157"/>
      <c r="DJ130" s="1157"/>
      <c r="DK130" s="1157"/>
      <c r="DL130" s="1157"/>
      <c r="DM130" s="1157"/>
      <c r="DN130" s="1157"/>
      <c r="DO130" s="1157"/>
      <c r="DP130" s="1157"/>
      <c r="DQ130" s="1157"/>
      <c r="DR130" s="1157"/>
      <c r="DS130" s="1157"/>
      <c r="DT130" s="1157"/>
      <c r="DU130" s="1157"/>
      <c r="DV130" s="1157"/>
      <c r="DW130" s="1157"/>
      <c r="DX130" s="1157"/>
      <c r="DY130" s="1157"/>
      <c r="DZ130" s="1157"/>
      <c r="EA130" s="1157"/>
      <c r="EB130" s="1157"/>
      <c r="EC130" s="1157"/>
      <c r="ED130" s="1157"/>
      <c r="EE130" s="1157"/>
      <c r="EF130" s="1157"/>
      <c r="EG130" s="1157"/>
      <c r="EH130" s="1157"/>
      <c r="EI130" s="1157"/>
      <c r="EJ130" s="1157"/>
      <c r="EK130" s="1157"/>
      <c r="EL130" s="1157"/>
      <c r="EM130" s="1157"/>
      <c r="EN130" s="1157"/>
      <c r="EO130" s="1157"/>
      <c r="EP130" s="1157"/>
      <c r="EQ130" s="1157"/>
      <c r="ER130" s="1157"/>
      <c r="ES130" s="1157"/>
      <c r="ET130" s="1157"/>
      <c r="EU130" s="1157"/>
      <c r="EV130" s="1157"/>
      <c r="EW130" s="1157"/>
      <c r="EX130" s="1157"/>
      <c r="EY130" s="1157"/>
      <c r="EZ130" s="1157"/>
      <c r="FA130" s="1157"/>
      <c r="FB130" s="1157"/>
      <c r="FC130" s="1157"/>
      <c r="FD130" s="1157"/>
      <c r="FE130" s="1157"/>
      <c r="FF130" s="1157"/>
      <c r="FG130" s="1157"/>
      <c r="FH130" s="1157"/>
      <c r="FI130" s="1157"/>
      <c r="FJ130" s="1157"/>
      <c r="FK130" s="1157"/>
      <c r="FL130" s="1157"/>
      <c r="FM130" s="1157"/>
      <c r="FN130" s="1157"/>
      <c r="FO130" s="1157"/>
      <c r="FP130" s="1157"/>
      <c r="FQ130" s="1157"/>
      <c r="FR130" s="1157"/>
      <c r="FS130" s="1157"/>
      <c r="FT130" s="1157"/>
      <c r="FU130" s="1157"/>
      <c r="FV130" s="1157"/>
      <c r="FW130" s="1157"/>
      <c r="FX130" s="1157"/>
      <c r="FY130" s="1157"/>
      <c r="FZ130" s="1157"/>
      <c r="GA130" s="1157"/>
      <c r="GB130" s="1157"/>
      <c r="GC130" s="1157"/>
      <c r="GD130" s="1157"/>
      <c r="GE130" s="1157"/>
      <c r="GF130" s="1157"/>
      <c r="GG130" s="1157"/>
    </row>
    <row r="131" spans="1:189" s="1158" customFormat="1">
      <c r="A131" s="484" t="e">
        <f>+#REF!</f>
        <v>#REF!</v>
      </c>
      <c r="B131" s="1616" t="e">
        <f>+#REF!</f>
        <v>#REF!</v>
      </c>
      <c r="C131" s="1522" t="e">
        <f>#REF!</f>
        <v>#REF!</v>
      </c>
      <c r="D131" s="1520">
        <f t="shared" ref="D131:D137" si="13">J131</f>
        <v>420</v>
      </c>
      <c r="E131" s="650" t="e">
        <f>#REF!</f>
        <v>#REF!</v>
      </c>
      <c r="F131" s="650" t="e">
        <f t="shared" si="11"/>
        <v>#REF!</v>
      </c>
      <c r="H131" s="1155">
        <f>F6</f>
        <v>400</v>
      </c>
      <c r="I131" s="1156">
        <v>1.05</v>
      </c>
      <c r="J131" s="1155">
        <f t="shared" si="12"/>
        <v>420</v>
      </c>
      <c r="K131" s="1157"/>
      <c r="L131" s="1157"/>
      <c r="M131" s="1157"/>
      <c r="N131" s="1157"/>
      <c r="O131" s="1157"/>
      <c r="P131" s="1157"/>
      <c r="Q131" s="1157"/>
      <c r="R131" s="1157"/>
      <c r="S131" s="1157"/>
      <c r="T131" s="1157"/>
      <c r="U131" s="1157"/>
      <c r="V131" s="1157"/>
      <c r="W131" s="1157"/>
      <c r="X131" s="1157"/>
      <c r="Y131" s="1157"/>
      <c r="Z131" s="1157"/>
      <c r="AA131" s="1157"/>
      <c r="AB131" s="1157"/>
      <c r="AC131" s="1157"/>
      <c r="AD131" s="1157"/>
      <c r="AE131" s="1157"/>
      <c r="AF131" s="1157"/>
      <c r="AG131" s="1157"/>
      <c r="AH131" s="1157"/>
      <c r="AI131" s="1157"/>
      <c r="AJ131" s="1157"/>
      <c r="AK131" s="1157"/>
      <c r="AL131" s="1157"/>
      <c r="AM131" s="1157"/>
      <c r="AN131" s="1157"/>
      <c r="AO131" s="1157"/>
      <c r="AP131" s="1157"/>
      <c r="AQ131" s="1157"/>
      <c r="AR131" s="1157"/>
      <c r="AS131" s="1157"/>
      <c r="AT131" s="1157"/>
      <c r="AU131" s="1157"/>
      <c r="AV131" s="1157"/>
      <c r="AW131" s="1157"/>
      <c r="AX131" s="1157"/>
      <c r="AY131" s="1157"/>
      <c r="AZ131" s="1157"/>
      <c r="BA131" s="1157"/>
      <c r="BB131" s="1157"/>
      <c r="BC131" s="1157"/>
      <c r="BD131" s="1157"/>
      <c r="BE131" s="1157"/>
      <c r="BF131" s="1157"/>
      <c r="BG131" s="1157"/>
      <c r="BH131" s="1157"/>
      <c r="BI131" s="1157"/>
      <c r="BJ131" s="1157"/>
      <c r="BK131" s="1157"/>
      <c r="BL131" s="1157"/>
      <c r="BM131" s="1157"/>
      <c r="BN131" s="1157"/>
      <c r="BO131" s="1157"/>
      <c r="BP131" s="1157"/>
      <c r="BQ131" s="1157"/>
      <c r="BR131" s="1157"/>
      <c r="BS131" s="1157"/>
      <c r="BT131" s="1157"/>
      <c r="BU131" s="1157"/>
      <c r="BV131" s="1157"/>
      <c r="BW131" s="1157"/>
      <c r="BX131" s="1157"/>
      <c r="BY131" s="1157"/>
      <c r="BZ131" s="1157"/>
      <c r="CA131" s="1157"/>
      <c r="CB131" s="1157"/>
      <c r="CC131" s="1157"/>
      <c r="CD131" s="1157"/>
      <c r="CE131" s="1157"/>
      <c r="CF131" s="1157"/>
      <c r="CG131" s="1157"/>
      <c r="CH131" s="1157"/>
      <c r="CI131" s="1157"/>
      <c r="CJ131" s="1157"/>
      <c r="CK131" s="1157"/>
      <c r="CL131" s="1157"/>
      <c r="CM131" s="1157"/>
      <c r="CN131" s="1157"/>
      <c r="CO131" s="1157"/>
      <c r="CP131" s="1157"/>
      <c r="CQ131" s="1157"/>
      <c r="CR131" s="1157"/>
      <c r="CS131" s="1157"/>
      <c r="CT131" s="1157"/>
      <c r="CU131" s="1157"/>
      <c r="CV131" s="1157"/>
      <c r="CW131" s="1157"/>
      <c r="CX131" s="1157"/>
      <c r="CY131" s="1157"/>
      <c r="CZ131" s="1157"/>
      <c r="DA131" s="1157"/>
      <c r="DB131" s="1157"/>
      <c r="DC131" s="1157"/>
      <c r="DD131" s="1157"/>
      <c r="DE131" s="1157"/>
      <c r="DF131" s="1157"/>
      <c r="DG131" s="1157"/>
      <c r="DH131" s="1157"/>
      <c r="DI131" s="1157"/>
      <c r="DJ131" s="1157"/>
      <c r="DK131" s="1157"/>
      <c r="DL131" s="1157"/>
      <c r="DM131" s="1157"/>
      <c r="DN131" s="1157"/>
      <c r="DO131" s="1157"/>
      <c r="DP131" s="1157"/>
      <c r="DQ131" s="1157"/>
      <c r="DR131" s="1157"/>
      <c r="DS131" s="1157"/>
      <c r="DT131" s="1157"/>
      <c r="DU131" s="1157"/>
      <c r="DV131" s="1157"/>
      <c r="DW131" s="1157"/>
      <c r="DX131" s="1157"/>
      <c r="DY131" s="1157"/>
      <c r="DZ131" s="1157"/>
      <c r="EA131" s="1157"/>
      <c r="EB131" s="1157"/>
      <c r="EC131" s="1157"/>
      <c r="ED131" s="1157"/>
      <c r="EE131" s="1157"/>
      <c r="EF131" s="1157"/>
      <c r="EG131" s="1157"/>
      <c r="EH131" s="1157"/>
      <c r="EI131" s="1157"/>
      <c r="EJ131" s="1157"/>
      <c r="EK131" s="1157"/>
      <c r="EL131" s="1157"/>
      <c r="EM131" s="1157"/>
      <c r="EN131" s="1157"/>
      <c r="EO131" s="1157"/>
      <c r="EP131" s="1157"/>
      <c r="EQ131" s="1157"/>
      <c r="ER131" s="1157"/>
      <c r="ES131" s="1157"/>
      <c r="ET131" s="1157"/>
      <c r="EU131" s="1157"/>
      <c r="EV131" s="1157"/>
      <c r="EW131" s="1157"/>
      <c r="EX131" s="1157"/>
      <c r="EY131" s="1157"/>
      <c r="EZ131" s="1157"/>
      <c r="FA131" s="1157"/>
      <c r="FB131" s="1157"/>
      <c r="FC131" s="1157"/>
      <c r="FD131" s="1157"/>
      <c r="FE131" s="1157"/>
      <c r="FF131" s="1157"/>
      <c r="FG131" s="1157"/>
      <c r="FH131" s="1157"/>
      <c r="FI131" s="1157"/>
      <c r="FJ131" s="1157"/>
      <c r="FK131" s="1157"/>
      <c r="FL131" s="1157"/>
      <c r="FM131" s="1157"/>
      <c r="FN131" s="1157"/>
      <c r="FO131" s="1157"/>
      <c r="FP131" s="1157"/>
      <c r="FQ131" s="1157"/>
      <c r="FR131" s="1157"/>
      <c r="FS131" s="1157"/>
      <c r="FT131" s="1157"/>
      <c r="FU131" s="1157"/>
      <c r="FV131" s="1157"/>
      <c r="FW131" s="1157"/>
      <c r="FX131" s="1157"/>
      <c r="FY131" s="1157"/>
      <c r="FZ131" s="1157"/>
      <c r="GA131" s="1157"/>
      <c r="GB131" s="1157"/>
      <c r="GC131" s="1157"/>
      <c r="GD131" s="1157"/>
      <c r="GE131" s="1157"/>
      <c r="GF131" s="1157"/>
      <c r="GG131" s="1157"/>
    </row>
    <row r="132" spans="1:189" s="1174" customFormat="1">
      <c r="A132" s="484" t="e">
        <f>+#REF!</f>
        <v>#REF!</v>
      </c>
      <c r="B132" s="1616" t="e">
        <f>+#REF!</f>
        <v>#REF!</v>
      </c>
      <c r="C132" s="1522" t="e">
        <f>#REF!</f>
        <v>#REF!</v>
      </c>
      <c r="D132" s="1520">
        <f t="shared" si="13"/>
        <v>0</v>
      </c>
      <c r="E132" s="650" t="e">
        <f>#REF!</f>
        <v>#REF!</v>
      </c>
      <c r="F132" s="650" t="e">
        <f t="shared" si="11"/>
        <v>#REF!</v>
      </c>
      <c r="H132" s="1175">
        <f>F5</f>
        <v>0</v>
      </c>
      <c r="I132" s="1176">
        <v>1.05</v>
      </c>
      <c r="J132" s="1175">
        <f t="shared" si="12"/>
        <v>0</v>
      </c>
    </row>
    <row r="133" spans="1:189" s="1174" customFormat="1">
      <c r="A133" s="484" t="e">
        <f>+#REF!</f>
        <v>#REF!</v>
      </c>
      <c r="B133" s="1616" t="e">
        <f>+#REF!</f>
        <v>#REF!</v>
      </c>
      <c r="C133" s="1522" t="e">
        <f>#REF!</f>
        <v>#REF!</v>
      </c>
      <c r="D133" s="1520">
        <f t="shared" si="13"/>
        <v>0</v>
      </c>
      <c r="E133" s="650" t="e">
        <f>+#REF!</f>
        <v>#REF!</v>
      </c>
      <c r="F133" s="650" t="e">
        <f t="shared" si="11"/>
        <v>#REF!</v>
      </c>
      <c r="H133" s="1175">
        <f>F4</f>
        <v>0</v>
      </c>
      <c r="I133" s="1176">
        <v>1.05</v>
      </c>
      <c r="J133" s="1175">
        <f t="shared" si="12"/>
        <v>0</v>
      </c>
    </row>
    <row r="134" spans="1:189" s="1174" customFormat="1">
      <c r="A134" s="484" t="e">
        <f>+#REF!</f>
        <v>#REF!</v>
      </c>
      <c r="B134" s="1616" t="e">
        <f>+#REF!</f>
        <v>#REF!</v>
      </c>
      <c r="C134" s="1523" t="e">
        <f>#REF!</f>
        <v>#REF!</v>
      </c>
      <c r="D134" s="1521">
        <f t="shared" si="13"/>
        <v>0</v>
      </c>
      <c r="E134" s="547" t="e">
        <f>+#REF!</f>
        <v>#REF!</v>
      </c>
      <c r="F134" s="547" t="e">
        <f t="shared" si="11"/>
        <v>#REF!</v>
      </c>
      <c r="H134" s="1175">
        <f>F3</f>
        <v>0</v>
      </c>
      <c r="I134" s="1176">
        <v>1.05</v>
      </c>
      <c r="J134" s="1175">
        <f t="shared" si="12"/>
        <v>0</v>
      </c>
    </row>
    <row r="135" spans="1:189" s="1174" customFormat="1">
      <c r="A135" s="1449" t="e">
        <f>+#REF!</f>
        <v>#REF!</v>
      </c>
      <c r="B135" s="1614" t="e">
        <f>+#REF!</f>
        <v>#REF!</v>
      </c>
      <c r="C135" s="1562"/>
      <c r="D135" s="1519"/>
      <c r="E135" s="544"/>
      <c r="F135" s="544"/>
      <c r="H135" s="1175"/>
      <c r="I135" s="1176"/>
      <c r="J135" s="1175"/>
    </row>
    <row r="136" spans="1:189" s="1174" customFormat="1" ht="15" customHeight="1">
      <c r="A136" s="785" t="e">
        <f>+#REF!</f>
        <v>#REF!</v>
      </c>
      <c r="B136" s="786" t="e">
        <f>+#REF!</f>
        <v>#REF!</v>
      </c>
      <c r="C136" s="1553" t="e">
        <f>#REF!</f>
        <v>#REF!</v>
      </c>
      <c r="D136" s="1520">
        <f t="shared" si="13"/>
        <v>412.50000000000006</v>
      </c>
      <c r="E136" s="650" t="e">
        <f>+#REF!</f>
        <v>#REF!</v>
      </c>
      <c r="F136" s="650" t="e">
        <f t="shared" si="11"/>
        <v>#REF!</v>
      </c>
      <c r="H136" s="1175">
        <f>15*25</f>
        <v>375</v>
      </c>
      <c r="I136" s="1176">
        <v>1.1000000000000001</v>
      </c>
      <c r="J136" s="1175">
        <f t="shared" si="12"/>
        <v>412.50000000000006</v>
      </c>
    </row>
    <row r="137" spans="1:189" s="1174" customFormat="1">
      <c r="A137" s="1616" t="e">
        <f>+#REF!</f>
        <v>#REF!</v>
      </c>
      <c r="B137" s="1616" t="e">
        <f>+#REF!</f>
        <v>#REF!</v>
      </c>
      <c r="C137" s="1553" t="e">
        <f>#REF!</f>
        <v>#REF!</v>
      </c>
      <c r="D137" s="1520">
        <f t="shared" si="13"/>
        <v>105</v>
      </c>
      <c r="E137" s="650" t="e">
        <f>+#REF!</f>
        <v>#REF!</v>
      </c>
      <c r="F137" s="650" t="e">
        <f t="shared" si="11"/>
        <v>#REF!</v>
      </c>
      <c r="H137" s="1175">
        <f>4*25</f>
        <v>100</v>
      </c>
      <c r="I137" s="1176">
        <v>1.05</v>
      </c>
      <c r="J137" s="1175">
        <f t="shared" si="12"/>
        <v>105</v>
      </c>
    </row>
    <row r="138" spans="1:189" s="1158" customFormat="1">
      <c r="A138" s="484" t="e">
        <f>+#REF!</f>
        <v>#REF!</v>
      </c>
      <c r="B138" s="1616" t="e">
        <f>+#REF!</f>
        <v>#REF!</v>
      </c>
      <c r="C138" s="1553" t="e">
        <f>#REF!</f>
        <v>#REF!</v>
      </c>
      <c r="D138" s="1520">
        <f>J138</f>
        <v>372.75</v>
      </c>
      <c r="E138" s="650" t="e">
        <f>+#REF!</f>
        <v>#REF!</v>
      </c>
      <c r="F138" s="650" t="e">
        <f>+D138*E138</f>
        <v>#REF!</v>
      </c>
      <c r="H138" s="1155">
        <f>F9</f>
        <v>355</v>
      </c>
      <c r="I138" s="1156">
        <v>1.05</v>
      </c>
      <c r="J138" s="1155">
        <f>H138*I138</f>
        <v>372.75</v>
      </c>
      <c r="K138" s="1157"/>
      <c r="L138" s="1157"/>
      <c r="M138" s="1157"/>
      <c r="N138" s="1157"/>
      <c r="O138" s="1157"/>
      <c r="P138" s="1157"/>
      <c r="Q138" s="1157"/>
      <c r="R138" s="1157"/>
      <c r="S138" s="1157"/>
      <c r="T138" s="1157"/>
      <c r="U138" s="1157"/>
      <c r="V138" s="1157"/>
      <c r="W138" s="1157"/>
      <c r="X138" s="1157"/>
      <c r="Y138" s="1157"/>
      <c r="Z138" s="1157"/>
      <c r="AA138" s="1157"/>
      <c r="AB138" s="1157"/>
      <c r="AC138" s="1157"/>
      <c r="AD138" s="1157"/>
      <c r="AE138" s="1157"/>
      <c r="AF138" s="1157"/>
      <c r="AG138" s="1157"/>
      <c r="AH138" s="1157"/>
      <c r="AI138" s="1157"/>
      <c r="AJ138" s="1157"/>
      <c r="AK138" s="1157"/>
      <c r="AL138" s="1157"/>
      <c r="AM138" s="1157"/>
      <c r="AN138" s="1157"/>
      <c r="AO138" s="1157"/>
      <c r="AP138" s="1157"/>
      <c r="AQ138" s="1157"/>
      <c r="AR138" s="1157"/>
      <c r="AS138" s="1157"/>
      <c r="AT138" s="1157"/>
      <c r="AU138" s="1157"/>
      <c r="AV138" s="1157"/>
      <c r="AW138" s="1157"/>
      <c r="AX138" s="1157"/>
      <c r="AY138" s="1157"/>
      <c r="AZ138" s="1157"/>
      <c r="BA138" s="1157"/>
      <c r="BB138" s="1157"/>
      <c r="BC138" s="1157"/>
      <c r="BD138" s="1157"/>
      <c r="BE138" s="1157"/>
      <c r="BF138" s="1157"/>
      <c r="BG138" s="1157"/>
      <c r="BH138" s="1157"/>
      <c r="BI138" s="1157"/>
      <c r="BJ138" s="1157"/>
      <c r="BK138" s="1157"/>
      <c r="BL138" s="1157"/>
      <c r="BM138" s="1157"/>
      <c r="BN138" s="1157"/>
      <c r="BO138" s="1157"/>
      <c r="BP138" s="1157"/>
      <c r="BQ138" s="1157"/>
      <c r="BR138" s="1157"/>
      <c r="BS138" s="1157"/>
      <c r="BT138" s="1157"/>
      <c r="BU138" s="1157"/>
      <c r="BV138" s="1157"/>
      <c r="BW138" s="1157"/>
      <c r="BX138" s="1157"/>
      <c r="BY138" s="1157"/>
      <c r="BZ138" s="1157"/>
      <c r="CA138" s="1157"/>
      <c r="CB138" s="1157"/>
      <c r="CC138" s="1157"/>
      <c r="CD138" s="1157"/>
      <c r="CE138" s="1157"/>
      <c r="CF138" s="1157"/>
      <c r="CG138" s="1157"/>
      <c r="CH138" s="1157"/>
      <c r="CI138" s="1157"/>
      <c r="CJ138" s="1157"/>
      <c r="CK138" s="1157"/>
      <c r="CL138" s="1157"/>
      <c r="CM138" s="1157"/>
      <c r="CN138" s="1157"/>
      <c r="CO138" s="1157"/>
      <c r="CP138" s="1157"/>
      <c r="CQ138" s="1157"/>
      <c r="CR138" s="1157"/>
      <c r="CS138" s="1157"/>
      <c r="CT138" s="1157"/>
      <c r="CU138" s="1157"/>
      <c r="CV138" s="1157"/>
      <c r="CW138" s="1157"/>
      <c r="CX138" s="1157"/>
      <c r="CY138" s="1157"/>
      <c r="CZ138" s="1157"/>
      <c r="DA138" s="1157"/>
      <c r="DB138" s="1157"/>
      <c r="DC138" s="1157"/>
      <c r="DD138" s="1157"/>
      <c r="DE138" s="1157"/>
      <c r="DF138" s="1157"/>
      <c r="DG138" s="1157"/>
      <c r="DH138" s="1157"/>
      <c r="DI138" s="1157"/>
      <c r="DJ138" s="1157"/>
      <c r="DK138" s="1157"/>
      <c r="DL138" s="1157"/>
      <c r="DM138" s="1157"/>
      <c r="DN138" s="1157"/>
      <c r="DO138" s="1157"/>
      <c r="DP138" s="1157"/>
      <c r="DQ138" s="1157"/>
      <c r="DR138" s="1157"/>
      <c r="DS138" s="1157"/>
      <c r="DT138" s="1157"/>
      <c r="DU138" s="1157"/>
      <c r="DV138" s="1157"/>
      <c r="DW138" s="1157"/>
      <c r="DX138" s="1157"/>
      <c r="DY138" s="1157"/>
      <c r="DZ138" s="1157"/>
      <c r="EA138" s="1157"/>
      <c r="EB138" s="1157"/>
      <c r="EC138" s="1157"/>
      <c r="ED138" s="1157"/>
      <c r="EE138" s="1157"/>
      <c r="EF138" s="1157"/>
      <c r="EG138" s="1157"/>
      <c r="EH138" s="1157"/>
      <c r="EI138" s="1157"/>
      <c r="EJ138" s="1157"/>
      <c r="EK138" s="1157"/>
      <c r="EL138" s="1157"/>
      <c r="EM138" s="1157"/>
      <c r="EN138" s="1157"/>
      <c r="EO138" s="1157"/>
      <c r="EP138" s="1157"/>
      <c r="EQ138" s="1157"/>
      <c r="ER138" s="1157"/>
      <c r="ES138" s="1157"/>
      <c r="ET138" s="1157"/>
      <c r="EU138" s="1157"/>
      <c r="EV138" s="1157"/>
      <c r="EW138" s="1157"/>
      <c r="EX138" s="1157"/>
      <c r="EY138" s="1157"/>
      <c r="EZ138" s="1157"/>
      <c r="FA138" s="1157"/>
      <c r="FB138" s="1157"/>
      <c r="FC138" s="1157"/>
      <c r="FD138" s="1157"/>
      <c r="FE138" s="1157"/>
      <c r="FF138" s="1157"/>
      <c r="FG138" s="1157"/>
      <c r="FH138" s="1157"/>
      <c r="FI138" s="1157"/>
      <c r="FJ138" s="1157"/>
      <c r="FK138" s="1157"/>
      <c r="FL138" s="1157"/>
      <c r="FM138" s="1157"/>
      <c r="FN138" s="1157"/>
      <c r="FO138" s="1157"/>
      <c r="FP138" s="1157"/>
      <c r="FQ138" s="1157"/>
      <c r="FR138" s="1157"/>
      <c r="FS138" s="1157"/>
      <c r="FT138" s="1157"/>
      <c r="FU138" s="1157"/>
      <c r="FV138" s="1157"/>
      <c r="FW138" s="1157"/>
      <c r="FX138" s="1157"/>
      <c r="FY138" s="1157"/>
      <c r="FZ138" s="1157"/>
      <c r="GA138" s="1157"/>
      <c r="GB138" s="1157"/>
      <c r="GC138" s="1157"/>
      <c r="GD138" s="1157"/>
      <c r="GE138" s="1157"/>
      <c r="GF138" s="1157"/>
      <c r="GG138" s="1157"/>
    </row>
    <row r="139" spans="1:189" s="1158" customFormat="1">
      <c r="A139" s="484" t="e">
        <f>+#REF!</f>
        <v>#REF!</v>
      </c>
      <c r="B139" s="1616" t="e">
        <f>+#REF!</f>
        <v>#REF!</v>
      </c>
      <c r="C139" s="1553" t="e">
        <f>#REF!</f>
        <v>#REF!</v>
      </c>
      <c r="D139" s="1520">
        <f>+J139</f>
        <v>336</v>
      </c>
      <c r="E139" s="650" t="e">
        <f>+#REF!</f>
        <v>#REF!</v>
      </c>
      <c r="F139" s="650" t="e">
        <f>+D139*E139</f>
        <v>#REF!</v>
      </c>
      <c r="H139" s="1155">
        <f>+F10</f>
        <v>320</v>
      </c>
      <c r="I139" s="1156">
        <v>1.05</v>
      </c>
      <c r="J139" s="1155">
        <f>H139*I139</f>
        <v>336</v>
      </c>
      <c r="K139" s="1157"/>
      <c r="L139" s="1157"/>
      <c r="M139" s="1157"/>
      <c r="N139" s="1157"/>
      <c r="O139" s="1157"/>
      <c r="P139" s="1157"/>
      <c r="Q139" s="1157"/>
      <c r="R139" s="1157"/>
      <c r="S139" s="1157"/>
      <c r="T139" s="1157"/>
      <c r="U139" s="1157"/>
      <c r="V139" s="1157"/>
      <c r="W139" s="1157"/>
      <c r="X139" s="1157"/>
      <c r="Y139" s="1157"/>
      <c r="Z139" s="1157"/>
      <c r="AA139" s="1157"/>
      <c r="AB139" s="1157"/>
      <c r="AC139" s="1157"/>
      <c r="AD139" s="1157"/>
      <c r="AE139" s="1157"/>
      <c r="AF139" s="1157"/>
      <c r="AG139" s="1157"/>
      <c r="AH139" s="1157"/>
      <c r="AI139" s="1157"/>
      <c r="AJ139" s="1157"/>
      <c r="AK139" s="1157"/>
      <c r="AL139" s="1157"/>
      <c r="AM139" s="1157"/>
      <c r="AN139" s="1157"/>
      <c r="AO139" s="1157"/>
      <c r="AP139" s="1157"/>
      <c r="AQ139" s="1157"/>
      <c r="AR139" s="1157"/>
      <c r="AS139" s="1157"/>
      <c r="AT139" s="1157"/>
      <c r="AU139" s="1157"/>
      <c r="AV139" s="1157"/>
      <c r="AW139" s="1157"/>
      <c r="AX139" s="1157"/>
      <c r="AY139" s="1157"/>
      <c r="AZ139" s="1157"/>
      <c r="BA139" s="1157"/>
      <c r="BB139" s="1157"/>
      <c r="BC139" s="1157"/>
      <c r="BD139" s="1157"/>
      <c r="BE139" s="1157"/>
      <c r="BF139" s="1157"/>
      <c r="BG139" s="1157"/>
      <c r="BH139" s="1157"/>
      <c r="BI139" s="1157"/>
      <c r="BJ139" s="1157"/>
      <c r="BK139" s="1157"/>
      <c r="BL139" s="1157"/>
      <c r="BM139" s="1157"/>
      <c r="BN139" s="1157"/>
      <c r="BO139" s="1157"/>
      <c r="BP139" s="1157"/>
      <c r="BQ139" s="1157"/>
      <c r="BR139" s="1157"/>
      <c r="BS139" s="1157"/>
      <c r="BT139" s="1157"/>
      <c r="BU139" s="1157"/>
      <c r="BV139" s="1157"/>
      <c r="BW139" s="1157"/>
      <c r="BX139" s="1157"/>
      <c r="BY139" s="1157"/>
      <c r="BZ139" s="1157"/>
      <c r="CA139" s="1157"/>
      <c r="CB139" s="1157"/>
      <c r="CC139" s="1157"/>
      <c r="CD139" s="1157"/>
      <c r="CE139" s="1157"/>
      <c r="CF139" s="1157"/>
      <c r="CG139" s="1157"/>
      <c r="CH139" s="1157"/>
      <c r="CI139" s="1157"/>
      <c r="CJ139" s="1157"/>
      <c r="CK139" s="1157"/>
      <c r="CL139" s="1157"/>
      <c r="CM139" s="1157"/>
      <c r="CN139" s="1157"/>
      <c r="CO139" s="1157"/>
      <c r="CP139" s="1157"/>
      <c r="CQ139" s="1157"/>
      <c r="CR139" s="1157"/>
      <c r="CS139" s="1157"/>
      <c r="CT139" s="1157"/>
      <c r="CU139" s="1157"/>
      <c r="CV139" s="1157"/>
      <c r="CW139" s="1157"/>
      <c r="CX139" s="1157"/>
      <c r="CY139" s="1157"/>
      <c r="CZ139" s="1157"/>
      <c r="DA139" s="1157"/>
      <c r="DB139" s="1157"/>
      <c r="DC139" s="1157"/>
      <c r="DD139" s="1157"/>
      <c r="DE139" s="1157"/>
      <c r="DF139" s="1157"/>
      <c r="DG139" s="1157"/>
      <c r="DH139" s="1157"/>
      <c r="DI139" s="1157"/>
      <c r="DJ139" s="1157"/>
      <c r="DK139" s="1157"/>
      <c r="DL139" s="1157"/>
      <c r="DM139" s="1157"/>
      <c r="DN139" s="1157"/>
      <c r="DO139" s="1157"/>
      <c r="DP139" s="1157"/>
      <c r="DQ139" s="1157"/>
      <c r="DR139" s="1157"/>
      <c r="DS139" s="1157"/>
      <c r="DT139" s="1157"/>
      <c r="DU139" s="1157"/>
      <c r="DV139" s="1157"/>
      <c r="DW139" s="1157"/>
      <c r="DX139" s="1157"/>
      <c r="DY139" s="1157"/>
      <c r="DZ139" s="1157"/>
      <c r="EA139" s="1157"/>
      <c r="EB139" s="1157"/>
      <c r="EC139" s="1157"/>
      <c r="ED139" s="1157"/>
      <c r="EE139" s="1157"/>
      <c r="EF139" s="1157"/>
      <c r="EG139" s="1157"/>
      <c r="EH139" s="1157"/>
      <c r="EI139" s="1157"/>
      <c r="EJ139" s="1157"/>
      <c r="EK139" s="1157"/>
      <c r="EL139" s="1157"/>
      <c r="EM139" s="1157"/>
      <c r="EN139" s="1157"/>
      <c r="EO139" s="1157"/>
      <c r="EP139" s="1157"/>
      <c r="EQ139" s="1157"/>
      <c r="ER139" s="1157"/>
      <c r="ES139" s="1157"/>
      <c r="ET139" s="1157"/>
      <c r="EU139" s="1157"/>
      <c r="EV139" s="1157"/>
      <c r="EW139" s="1157"/>
      <c r="EX139" s="1157"/>
      <c r="EY139" s="1157"/>
      <c r="EZ139" s="1157"/>
      <c r="FA139" s="1157"/>
      <c r="FB139" s="1157"/>
      <c r="FC139" s="1157"/>
      <c r="FD139" s="1157"/>
      <c r="FE139" s="1157"/>
      <c r="FF139" s="1157"/>
      <c r="FG139" s="1157"/>
      <c r="FH139" s="1157"/>
      <c r="FI139" s="1157"/>
      <c r="FJ139" s="1157"/>
      <c r="FK139" s="1157"/>
      <c r="FL139" s="1157"/>
      <c r="FM139" s="1157"/>
      <c r="FN139" s="1157"/>
      <c r="FO139" s="1157"/>
      <c r="FP139" s="1157"/>
      <c r="FQ139" s="1157"/>
      <c r="FR139" s="1157"/>
      <c r="FS139" s="1157"/>
      <c r="FT139" s="1157"/>
      <c r="FU139" s="1157"/>
      <c r="FV139" s="1157"/>
      <c r="FW139" s="1157"/>
      <c r="FX139" s="1157"/>
      <c r="FY139" s="1157"/>
      <c r="FZ139" s="1157"/>
      <c r="GA139" s="1157"/>
      <c r="GB139" s="1157"/>
      <c r="GC139" s="1157"/>
      <c r="GD139" s="1157"/>
      <c r="GE139" s="1157"/>
      <c r="GF139" s="1157"/>
      <c r="GG139" s="1157"/>
    </row>
    <row r="140" spans="1:189" s="1158" customFormat="1">
      <c r="A140" s="1615" t="e">
        <f>+#REF!</f>
        <v>#REF!</v>
      </c>
      <c r="B140" s="467" t="e">
        <f>+#REF!</f>
        <v>#REF!</v>
      </c>
      <c r="C140" s="1554" t="e">
        <f>#REF!</f>
        <v>#REF!</v>
      </c>
      <c r="D140" s="1521">
        <f>+J140</f>
        <v>845.25</v>
      </c>
      <c r="E140" s="547" t="e">
        <f>+#REF!</f>
        <v>#REF!</v>
      </c>
      <c r="F140" s="547" t="e">
        <f>+D140*E140</f>
        <v>#REF!</v>
      </c>
      <c r="H140" s="1155">
        <f>+F11</f>
        <v>805</v>
      </c>
      <c r="I140" s="1156">
        <v>1.05</v>
      </c>
      <c r="J140" s="1155">
        <f>H140*I140</f>
        <v>845.25</v>
      </c>
      <c r="K140" s="1157"/>
      <c r="L140" s="1157"/>
      <c r="M140" s="1157"/>
      <c r="N140" s="1157"/>
      <c r="O140" s="1157"/>
      <c r="P140" s="1157"/>
      <c r="Q140" s="1157"/>
      <c r="R140" s="1157"/>
      <c r="S140" s="1157"/>
      <c r="T140" s="1157"/>
      <c r="U140" s="1157"/>
      <c r="V140" s="1157"/>
      <c r="W140" s="1157"/>
      <c r="X140" s="1157"/>
      <c r="Y140" s="1157"/>
      <c r="Z140" s="1157"/>
      <c r="AA140" s="1157"/>
      <c r="AB140" s="1157"/>
      <c r="AC140" s="1157"/>
      <c r="AD140" s="1157"/>
      <c r="AE140" s="1157"/>
      <c r="AF140" s="1157"/>
      <c r="AG140" s="1157"/>
      <c r="AH140" s="1157"/>
      <c r="AI140" s="1157"/>
      <c r="AJ140" s="1157"/>
      <c r="AK140" s="1157"/>
      <c r="AL140" s="1157"/>
      <c r="AM140" s="1157"/>
      <c r="AN140" s="1157"/>
      <c r="AO140" s="1157"/>
      <c r="AP140" s="1157"/>
      <c r="AQ140" s="1157"/>
      <c r="AR140" s="1157"/>
      <c r="AS140" s="1157"/>
      <c r="AT140" s="1157"/>
      <c r="AU140" s="1157"/>
      <c r="AV140" s="1157"/>
      <c r="AW140" s="1157"/>
      <c r="AX140" s="1157"/>
      <c r="AY140" s="1157"/>
      <c r="AZ140" s="1157"/>
      <c r="BA140" s="1157"/>
      <c r="BB140" s="1157"/>
      <c r="BC140" s="1157"/>
      <c r="BD140" s="1157"/>
      <c r="BE140" s="1157"/>
      <c r="BF140" s="1157"/>
      <c r="BG140" s="1157"/>
      <c r="BH140" s="1157"/>
      <c r="BI140" s="1157"/>
      <c r="BJ140" s="1157"/>
      <c r="BK140" s="1157"/>
      <c r="BL140" s="1157"/>
      <c r="BM140" s="1157"/>
      <c r="BN140" s="1157"/>
      <c r="BO140" s="1157"/>
      <c r="BP140" s="1157"/>
      <c r="BQ140" s="1157"/>
      <c r="BR140" s="1157"/>
      <c r="BS140" s="1157"/>
      <c r="BT140" s="1157"/>
      <c r="BU140" s="1157"/>
      <c r="BV140" s="1157"/>
      <c r="BW140" s="1157"/>
      <c r="BX140" s="1157"/>
      <c r="BY140" s="1157"/>
      <c r="BZ140" s="1157"/>
      <c r="CA140" s="1157"/>
      <c r="CB140" s="1157"/>
      <c r="CC140" s="1157"/>
      <c r="CD140" s="1157"/>
      <c r="CE140" s="1157"/>
      <c r="CF140" s="1157"/>
      <c r="CG140" s="1157"/>
      <c r="CH140" s="1157"/>
      <c r="CI140" s="1157"/>
      <c r="CJ140" s="1157"/>
      <c r="CK140" s="1157"/>
      <c r="CL140" s="1157"/>
      <c r="CM140" s="1157"/>
      <c r="CN140" s="1157"/>
      <c r="CO140" s="1157"/>
      <c r="CP140" s="1157"/>
      <c r="CQ140" s="1157"/>
      <c r="CR140" s="1157"/>
      <c r="CS140" s="1157"/>
      <c r="CT140" s="1157"/>
      <c r="CU140" s="1157"/>
      <c r="CV140" s="1157"/>
      <c r="CW140" s="1157"/>
      <c r="CX140" s="1157"/>
      <c r="CY140" s="1157"/>
      <c r="CZ140" s="1157"/>
      <c r="DA140" s="1157"/>
      <c r="DB140" s="1157"/>
      <c r="DC140" s="1157"/>
      <c r="DD140" s="1157"/>
      <c r="DE140" s="1157"/>
      <c r="DF140" s="1157"/>
      <c r="DG140" s="1157"/>
      <c r="DH140" s="1157"/>
      <c r="DI140" s="1157"/>
      <c r="DJ140" s="1157"/>
      <c r="DK140" s="1157"/>
      <c r="DL140" s="1157"/>
      <c r="DM140" s="1157"/>
      <c r="DN140" s="1157"/>
      <c r="DO140" s="1157"/>
      <c r="DP140" s="1157"/>
      <c r="DQ140" s="1157"/>
      <c r="DR140" s="1157"/>
      <c r="DS140" s="1157"/>
      <c r="DT140" s="1157"/>
      <c r="DU140" s="1157"/>
      <c r="DV140" s="1157"/>
      <c r="DW140" s="1157"/>
      <c r="DX140" s="1157"/>
      <c r="DY140" s="1157"/>
      <c r="DZ140" s="1157"/>
      <c r="EA140" s="1157"/>
      <c r="EB140" s="1157"/>
      <c r="EC140" s="1157"/>
      <c r="ED140" s="1157"/>
      <c r="EE140" s="1157"/>
      <c r="EF140" s="1157"/>
      <c r="EG140" s="1157"/>
      <c r="EH140" s="1157"/>
      <c r="EI140" s="1157"/>
      <c r="EJ140" s="1157"/>
      <c r="EK140" s="1157"/>
      <c r="EL140" s="1157"/>
      <c r="EM140" s="1157"/>
      <c r="EN140" s="1157"/>
      <c r="EO140" s="1157"/>
      <c r="EP140" s="1157"/>
      <c r="EQ140" s="1157"/>
      <c r="ER140" s="1157"/>
      <c r="ES140" s="1157"/>
      <c r="ET140" s="1157"/>
      <c r="EU140" s="1157"/>
      <c r="EV140" s="1157"/>
      <c r="EW140" s="1157"/>
      <c r="EX140" s="1157"/>
      <c r="EY140" s="1157"/>
      <c r="EZ140" s="1157"/>
      <c r="FA140" s="1157"/>
      <c r="FB140" s="1157"/>
      <c r="FC140" s="1157"/>
      <c r="FD140" s="1157"/>
      <c r="FE140" s="1157"/>
      <c r="FF140" s="1157"/>
      <c r="FG140" s="1157"/>
      <c r="FH140" s="1157"/>
      <c r="FI140" s="1157"/>
      <c r="FJ140" s="1157"/>
      <c r="FK140" s="1157"/>
      <c r="FL140" s="1157"/>
      <c r="FM140" s="1157"/>
      <c r="FN140" s="1157"/>
      <c r="FO140" s="1157"/>
      <c r="FP140" s="1157"/>
      <c r="FQ140" s="1157"/>
      <c r="FR140" s="1157"/>
      <c r="FS140" s="1157"/>
      <c r="FT140" s="1157"/>
      <c r="FU140" s="1157"/>
      <c r="FV140" s="1157"/>
      <c r="FW140" s="1157"/>
      <c r="FX140" s="1157"/>
      <c r="FY140" s="1157"/>
      <c r="FZ140" s="1157"/>
      <c r="GA140" s="1157"/>
      <c r="GB140" s="1157"/>
      <c r="GC140" s="1157"/>
      <c r="GD140" s="1157"/>
      <c r="GE140" s="1157"/>
      <c r="GF140" s="1157"/>
      <c r="GG140" s="1157"/>
    </row>
    <row r="141" spans="1:189" s="1178" customFormat="1">
      <c r="A141" s="1281" t="e">
        <f>+#REF!</f>
        <v>#REF!</v>
      </c>
      <c r="B141" s="1620" t="e">
        <f>+#REF!</f>
        <v>#REF!</v>
      </c>
      <c r="C141" s="1522"/>
      <c r="D141" s="1520"/>
      <c r="E141" s="650"/>
      <c r="F141" s="650"/>
      <c r="G141" s="1158"/>
      <c r="H141" s="1155"/>
      <c r="I141" s="1156"/>
      <c r="J141" s="1155"/>
      <c r="K141" s="1177"/>
      <c r="L141" s="1177"/>
      <c r="M141" s="1177"/>
      <c r="N141" s="1177"/>
      <c r="O141" s="1177"/>
      <c r="P141" s="1177"/>
      <c r="Q141" s="1177"/>
      <c r="R141" s="1177"/>
      <c r="S141" s="1177"/>
      <c r="T141" s="1177"/>
      <c r="U141" s="1177"/>
      <c r="V141" s="1177"/>
      <c r="W141" s="1177"/>
      <c r="X141" s="1177"/>
      <c r="Y141" s="1177"/>
      <c r="Z141" s="1177"/>
      <c r="AA141" s="1177"/>
      <c r="AB141" s="1177"/>
      <c r="AC141" s="1177"/>
      <c r="AD141" s="1177"/>
      <c r="AE141" s="1177"/>
      <c r="AF141" s="1177"/>
      <c r="AG141" s="1177"/>
      <c r="AH141" s="1177"/>
      <c r="AI141" s="1177"/>
      <c r="AJ141" s="1177"/>
      <c r="AK141" s="1177"/>
      <c r="AL141" s="1177"/>
      <c r="AM141" s="1177"/>
      <c r="AN141" s="1177"/>
      <c r="AO141" s="1177"/>
      <c r="AP141" s="1177"/>
      <c r="AQ141" s="1177"/>
      <c r="AR141" s="1177"/>
      <c r="AS141" s="1177"/>
      <c r="AT141" s="1177"/>
      <c r="AU141" s="1177"/>
      <c r="AV141" s="1177"/>
      <c r="AW141" s="1177"/>
      <c r="AX141" s="1177"/>
      <c r="AY141" s="1177"/>
      <c r="AZ141" s="1177"/>
      <c r="BA141" s="1177"/>
      <c r="BB141" s="1177"/>
      <c r="BC141" s="1177"/>
      <c r="BD141" s="1177"/>
      <c r="BE141" s="1177"/>
      <c r="BF141" s="1177"/>
      <c r="BG141" s="1177"/>
      <c r="BH141" s="1177"/>
      <c r="BI141" s="1177"/>
      <c r="BJ141" s="1177"/>
      <c r="BK141" s="1177"/>
      <c r="BL141" s="1177"/>
      <c r="BM141" s="1177"/>
      <c r="BN141" s="1177"/>
      <c r="BO141" s="1177"/>
      <c r="BP141" s="1177"/>
      <c r="BQ141" s="1177"/>
      <c r="BR141" s="1177"/>
      <c r="BS141" s="1177"/>
      <c r="BT141" s="1177"/>
      <c r="BU141" s="1177"/>
      <c r="BV141" s="1177"/>
      <c r="BW141" s="1177"/>
      <c r="BX141" s="1177"/>
      <c r="BY141" s="1177"/>
      <c r="BZ141" s="1177"/>
      <c r="CA141" s="1177"/>
      <c r="CB141" s="1177"/>
      <c r="CC141" s="1177"/>
      <c r="CD141" s="1177"/>
      <c r="CE141" s="1177"/>
      <c r="CF141" s="1177"/>
      <c r="CG141" s="1177"/>
      <c r="CH141" s="1177"/>
      <c r="CI141" s="1177"/>
      <c r="CJ141" s="1177"/>
      <c r="CK141" s="1177"/>
      <c r="CL141" s="1177"/>
      <c r="CM141" s="1177"/>
      <c r="CN141" s="1177"/>
      <c r="CO141" s="1177"/>
      <c r="CP141" s="1177"/>
      <c r="CQ141" s="1177"/>
      <c r="CR141" s="1177"/>
      <c r="CS141" s="1177"/>
      <c r="CT141" s="1177"/>
      <c r="CU141" s="1177"/>
      <c r="CV141" s="1177"/>
      <c r="CW141" s="1177"/>
      <c r="CX141" s="1177"/>
      <c r="CY141" s="1177"/>
      <c r="CZ141" s="1177"/>
      <c r="DA141" s="1177"/>
      <c r="DB141" s="1177"/>
      <c r="DC141" s="1177"/>
      <c r="DD141" s="1177"/>
      <c r="DE141" s="1177"/>
      <c r="DF141" s="1177"/>
      <c r="DG141" s="1177"/>
      <c r="DH141" s="1177"/>
      <c r="DI141" s="1177"/>
      <c r="DJ141" s="1177"/>
      <c r="DK141" s="1177"/>
      <c r="DL141" s="1177"/>
      <c r="DM141" s="1177"/>
      <c r="DN141" s="1177"/>
      <c r="DO141" s="1177"/>
      <c r="DP141" s="1177"/>
      <c r="DQ141" s="1177"/>
      <c r="DR141" s="1177"/>
      <c r="DS141" s="1177"/>
      <c r="DT141" s="1177"/>
      <c r="DU141" s="1177"/>
      <c r="DV141" s="1177"/>
      <c r="DW141" s="1177"/>
      <c r="DX141" s="1177"/>
      <c r="DY141" s="1177"/>
      <c r="DZ141" s="1177"/>
      <c r="EA141" s="1177"/>
      <c r="EB141" s="1177"/>
      <c r="EC141" s="1177"/>
      <c r="ED141" s="1177"/>
      <c r="EE141" s="1177"/>
      <c r="EF141" s="1177"/>
      <c r="EG141" s="1177"/>
      <c r="EH141" s="1177"/>
      <c r="EI141" s="1177"/>
      <c r="EJ141" s="1177"/>
      <c r="EK141" s="1177"/>
      <c r="EL141" s="1177"/>
      <c r="EM141" s="1177"/>
      <c r="EN141" s="1177"/>
      <c r="EO141" s="1177"/>
      <c r="EP141" s="1177"/>
      <c r="EQ141" s="1177"/>
      <c r="ER141" s="1177"/>
      <c r="ES141" s="1177"/>
      <c r="ET141" s="1177"/>
      <c r="EU141" s="1177"/>
      <c r="EV141" s="1177"/>
      <c r="EW141" s="1177"/>
      <c r="EX141" s="1177"/>
      <c r="EY141" s="1177"/>
      <c r="EZ141" s="1177"/>
      <c r="FA141" s="1177"/>
      <c r="FB141" s="1177"/>
      <c r="FC141" s="1177"/>
      <c r="FD141" s="1177"/>
      <c r="FE141" s="1177"/>
      <c r="FF141" s="1177"/>
      <c r="FG141" s="1177"/>
      <c r="FH141" s="1177"/>
      <c r="FI141" s="1177"/>
      <c r="FJ141" s="1177"/>
      <c r="FK141" s="1177"/>
      <c r="FL141" s="1177"/>
      <c r="FM141" s="1177"/>
      <c r="FN141" s="1177"/>
      <c r="FO141" s="1177"/>
      <c r="FP141" s="1177"/>
      <c r="FQ141" s="1177"/>
      <c r="FR141" s="1177"/>
      <c r="FS141" s="1177"/>
      <c r="FT141" s="1177"/>
      <c r="FU141" s="1177"/>
      <c r="FV141" s="1177"/>
      <c r="FW141" s="1177"/>
      <c r="FX141" s="1177"/>
      <c r="FY141" s="1177"/>
      <c r="FZ141" s="1177"/>
      <c r="GA141" s="1177"/>
      <c r="GB141" s="1177"/>
      <c r="GC141" s="1177"/>
      <c r="GD141" s="1177"/>
      <c r="GE141" s="1177"/>
      <c r="GF141" s="1177"/>
      <c r="GG141" s="1177"/>
    </row>
    <row r="142" spans="1:189" s="1158" customFormat="1">
      <c r="A142" s="1622" t="e">
        <f>+#REF!</f>
        <v>#REF!</v>
      </c>
      <c r="B142" s="1623" t="e">
        <f>+#REF!</f>
        <v>#REF!</v>
      </c>
      <c r="C142" s="1523" t="e">
        <f>#REF!</f>
        <v>#REF!</v>
      </c>
      <c r="D142" s="1521">
        <f>J142</f>
        <v>0</v>
      </c>
      <c r="E142" s="547" t="e">
        <f>#REF!</f>
        <v>#REF!</v>
      </c>
      <c r="F142" s="547" t="e">
        <f>+D142*E142</f>
        <v>#REF!</v>
      </c>
      <c r="H142" s="1155">
        <f>F12</f>
        <v>0</v>
      </c>
      <c r="I142" s="1156">
        <v>0</v>
      </c>
      <c r="J142" s="1155">
        <f>H142*I142</f>
        <v>0</v>
      </c>
      <c r="K142" s="1157"/>
      <c r="L142" s="1157"/>
      <c r="M142" s="1157"/>
      <c r="N142" s="1157"/>
      <c r="O142" s="1157"/>
      <c r="P142" s="1157"/>
      <c r="Q142" s="1157"/>
      <c r="R142" s="1157"/>
      <c r="S142" s="1157"/>
      <c r="T142" s="1157"/>
      <c r="U142" s="1157"/>
      <c r="V142" s="1157"/>
      <c r="W142" s="1157"/>
      <c r="X142" s="1157"/>
      <c r="Y142" s="1157"/>
      <c r="Z142" s="1157"/>
      <c r="AA142" s="1157"/>
      <c r="AB142" s="1157"/>
      <c r="AC142" s="1157"/>
      <c r="AD142" s="1157"/>
      <c r="AE142" s="1157"/>
      <c r="AF142" s="1157"/>
      <c r="AG142" s="1157"/>
      <c r="AH142" s="1157"/>
      <c r="AI142" s="1157"/>
      <c r="AJ142" s="1157"/>
      <c r="AK142" s="1157"/>
      <c r="AL142" s="1157"/>
      <c r="AM142" s="1157"/>
      <c r="AN142" s="1157"/>
      <c r="AO142" s="1157"/>
      <c r="AP142" s="1157"/>
      <c r="AQ142" s="1157"/>
      <c r="AR142" s="1157"/>
      <c r="AS142" s="1157"/>
      <c r="AT142" s="1157"/>
      <c r="AU142" s="1157"/>
      <c r="AV142" s="1157"/>
      <c r="AW142" s="1157"/>
      <c r="AX142" s="1157"/>
      <c r="AY142" s="1157"/>
      <c r="AZ142" s="1157"/>
      <c r="BA142" s="1157"/>
      <c r="BB142" s="1157"/>
      <c r="BC142" s="1157"/>
      <c r="BD142" s="1157"/>
      <c r="BE142" s="1157"/>
      <c r="BF142" s="1157"/>
      <c r="BG142" s="1157"/>
      <c r="BH142" s="1157"/>
      <c r="BI142" s="1157"/>
      <c r="BJ142" s="1157"/>
      <c r="BK142" s="1157"/>
      <c r="BL142" s="1157"/>
      <c r="BM142" s="1157"/>
      <c r="BN142" s="1157"/>
      <c r="BO142" s="1157"/>
      <c r="BP142" s="1157"/>
      <c r="BQ142" s="1157"/>
      <c r="BR142" s="1157"/>
      <c r="BS142" s="1157"/>
      <c r="BT142" s="1157"/>
      <c r="BU142" s="1157"/>
      <c r="BV142" s="1157"/>
      <c r="BW142" s="1157"/>
      <c r="BX142" s="1157"/>
      <c r="BY142" s="1157"/>
      <c r="BZ142" s="1157"/>
      <c r="CA142" s="1157"/>
      <c r="CB142" s="1157"/>
      <c r="CC142" s="1157"/>
      <c r="CD142" s="1157"/>
      <c r="CE142" s="1157"/>
      <c r="CF142" s="1157"/>
      <c r="CG142" s="1157"/>
      <c r="CH142" s="1157"/>
      <c r="CI142" s="1157"/>
      <c r="CJ142" s="1157"/>
      <c r="CK142" s="1157"/>
      <c r="CL142" s="1157"/>
      <c r="CM142" s="1157"/>
      <c r="CN142" s="1157"/>
      <c r="CO142" s="1157"/>
      <c r="CP142" s="1157"/>
      <c r="CQ142" s="1157"/>
      <c r="CR142" s="1157"/>
      <c r="CS142" s="1157"/>
      <c r="CT142" s="1157"/>
      <c r="CU142" s="1157"/>
      <c r="CV142" s="1157"/>
      <c r="CW142" s="1157"/>
      <c r="CX142" s="1157"/>
      <c r="CY142" s="1157"/>
      <c r="CZ142" s="1157"/>
      <c r="DA142" s="1157"/>
      <c r="DB142" s="1157"/>
      <c r="DC142" s="1157"/>
      <c r="DD142" s="1157"/>
      <c r="DE142" s="1157"/>
      <c r="DF142" s="1157"/>
      <c r="DG142" s="1157"/>
      <c r="DH142" s="1157"/>
      <c r="DI142" s="1157"/>
      <c r="DJ142" s="1157"/>
      <c r="DK142" s="1157"/>
      <c r="DL142" s="1157"/>
      <c r="DM142" s="1157"/>
      <c r="DN142" s="1157"/>
      <c r="DO142" s="1157"/>
      <c r="DP142" s="1157"/>
      <c r="DQ142" s="1157"/>
      <c r="DR142" s="1157"/>
      <c r="DS142" s="1157"/>
      <c r="DT142" s="1157"/>
      <c r="DU142" s="1157"/>
      <c r="DV142" s="1157"/>
      <c r="DW142" s="1157"/>
      <c r="DX142" s="1157"/>
      <c r="DY142" s="1157"/>
      <c r="DZ142" s="1157"/>
      <c r="EA142" s="1157"/>
      <c r="EB142" s="1157"/>
      <c r="EC142" s="1157"/>
      <c r="ED142" s="1157"/>
      <c r="EE142" s="1157"/>
      <c r="EF142" s="1157"/>
      <c r="EG142" s="1157"/>
      <c r="EH142" s="1157"/>
      <c r="EI142" s="1157"/>
      <c r="EJ142" s="1157"/>
      <c r="EK142" s="1157"/>
      <c r="EL142" s="1157"/>
      <c r="EM142" s="1157"/>
      <c r="EN142" s="1157"/>
      <c r="EO142" s="1157"/>
      <c r="EP142" s="1157"/>
      <c r="EQ142" s="1157"/>
      <c r="ER142" s="1157"/>
      <c r="ES142" s="1157"/>
      <c r="ET142" s="1157"/>
      <c r="EU142" s="1157"/>
      <c r="EV142" s="1157"/>
      <c r="EW142" s="1157"/>
      <c r="EX142" s="1157"/>
      <c r="EY142" s="1157"/>
      <c r="EZ142" s="1157"/>
      <c r="FA142" s="1157"/>
      <c r="FB142" s="1157"/>
      <c r="FC142" s="1157"/>
      <c r="FD142" s="1157"/>
      <c r="FE142" s="1157"/>
      <c r="FF142" s="1157"/>
      <c r="FG142" s="1157"/>
      <c r="FH142" s="1157"/>
      <c r="FI142" s="1157"/>
      <c r="FJ142" s="1157"/>
      <c r="FK142" s="1157"/>
      <c r="FL142" s="1157"/>
      <c r="FM142" s="1157"/>
      <c r="FN142" s="1157"/>
      <c r="FO142" s="1157"/>
      <c r="FP142" s="1157"/>
      <c r="FQ142" s="1157"/>
      <c r="FR142" s="1157"/>
      <c r="FS142" s="1157"/>
      <c r="FT142" s="1157"/>
      <c r="FU142" s="1157"/>
      <c r="FV142" s="1157"/>
      <c r="FW142" s="1157"/>
      <c r="FX142" s="1157"/>
      <c r="FY142" s="1157"/>
      <c r="FZ142" s="1157"/>
      <c r="GA142" s="1157"/>
      <c r="GB142" s="1157"/>
      <c r="GC142" s="1157"/>
      <c r="GD142" s="1157"/>
      <c r="GE142" s="1157"/>
      <c r="GF142" s="1157"/>
      <c r="GG142" s="1157"/>
    </row>
    <row r="143" spans="1:189" s="1178" customFormat="1">
      <c r="A143" s="1449" t="e">
        <f>+#REF!</f>
        <v>#REF!</v>
      </c>
      <c r="B143" s="1614" t="e">
        <f>+#REF!</f>
        <v>#REF!</v>
      </c>
      <c r="C143" s="1264"/>
      <c r="D143" s="1519"/>
      <c r="E143" s="544"/>
      <c r="F143" s="544"/>
      <c r="G143" s="1158"/>
      <c r="H143" s="1155"/>
      <c r="I143" s="1156"/>
      <c r="J143" s="1155"/>
      <c r="K143" s="1177"/>
      <c r="L143" s="1177"/>
      <c r="M143" s="1177"/>
      <c r="N143" s="1177"/>
      <c r="O143" s="1177"/>
      <c r="P143" s="1177"/>
      <c r="Q143" s="1177"/>
      <c r="R143" s="1177"/>
      <c r="S143" s="1177"/>
      <c r="T143" s="1177"/>
      <c r="U143" s="1177"/>
      <c r="V143" s="1177"/>
      <c r="W143" s="1177"/>
      <c r="X143" s="1177"/>
      <c r="Y143" s="1177"/>
      <c r="Z143" s="1177"/>
      <c r="AA143" s="1177"/>
      <c r="AB143" s="1177"/>
      <c r="AC143" s="1177"/>
      <c r="AD143" s="1177"/>
      <c r="AE143" s="1177"/>
      <c r="AF143" s="1177"/>
      <c r="AG143" s="1177"/>
      <c r="AH143" s="1177"/>
      <c r="AI143" s="1177"/>
      <c r="AJ143" s="1177"/>
      <c r="AK143" s="1177"/>
      <c r="AL143" s="1177"/>
      <c r="AM143" s="1177"/>
      <c r="AN143" s="1177"/>
      <c r="AO143" s="1177"/>
      <c r="AP143" s="1177"/>
      <c r="AQ143" s="1177"/>
      <c r="AR143" s="1177"/>
      <c r="AS143" s="1177"/>
      <c r="AT143" s="1177"/>
      <c r="AU143" s="1177"/>
      <c r="AV143" s="1177"/>
      <c r="AW143" s="1177"/>
      <c r="AX143" s="1177"/>
      <c r="AY143" s="1177"/>
      <c r="AZ143" s="1177"/>
      <c r="BA143" s="1177"/>
      <c r="BB143" s="1177"/>
      <c r="BC143" s="1177"/>
      <c r="BD143" s="1177"/>
      <c r="BE143" s="1177"/>
      <c r="BF143" s="1177"/>
      <c r="BG143" s="1177"/>
      <c r="BH143" s="1177"/>
      <c r="BI143" s="1177"/>
      <c r="BJ143" s="1177"/>
      <c r="BK143" s="1177"/>
      <c r="BL143" s="1177"/>
      <c r="BM143" s="1177"/>
      <c r="BN143" s="1177"/>
      <c r="BO143" s="1177"/>
      <c r="BP143" s="1177"/>
      <c r="BQ143" s="1177"/>
      <c r="BR143" s="1177"/>
      <c r="BS143" s="1177"/>
      <c r="BT143" s="1177"/>
      <c r="BU143" s="1177"/>
      <c r="BV143" s="1177"/>
      <c r="BW143" s="1177"/>
      <c r="BX143" s="1177"/>
      <c r="BY143" s="1177"/>
      <c r="BZ143" s="1177"/>
      <c r="CA143" s="1177"/>
      <c r="CB143" s="1177"/>
      <c r="CC143" s="1177"/>
      <c r="CD143" s="1177"/>
      <c r="CE143" s="1177"/>
      <c r="CF143" s="1177"/>
      <c r="CG143" s="1177"/>
      <c r="CH143" s="1177"/>
      <c r="CI143" s="1177"/>
      <c r="CJ143" s="1177"/>
      <c r="CK143" s="1177"/>
      <c r="CL143" s="1177"/>
      <c r="CM143" s="1177"/>
      <c r="CN143" s="1177"/>
      <c r="CO143" s="1177"/>
      <c r="CP143" s="1177"/>
      <c r="CQ143" s="1177"/>
      <c r="CR143" s="1177"/>
      <c r="CS143" s="1177"/>
      <c r="CT143" s="1177"/>
      <c r="CU143" s="1177"/>
      <c r="CV143" s="1177"/>
      <c r="CW143" s="1177"/>
      <c r="CX143" s="1177"/>
      <c r="CY143" s="1177"/>
      <c r="CZ143" s="1177"/>
      <c r="DA143" s="1177"/>
      <c r="DB143" s="1177"/>
      <c r="DC143" s="1177"/>
      <c r="DD143" s="1177"/>
      <c r="DE143" s="1177"/>
      <c r="DF143" s="1177"/>
      <c r="DG143" s="1177"/>
      <c r="DH143" s="1177"/>
      <c r="DI143" s="1177"/>
      <c r="DJ143" s="1177"/>
      <c r="DK143" s="1177"/>
      <c r="DL143" s="1177"/>
      <c r="DM143" s="1177"/>
      <c r="DN143" s="1177"/>
      <c r="DO143" s="1177"/>
      <c r="DP143" s="1177"/>
      <c r="DQ143" s="1177"/>
      <c r="DR143" s="1177"/>
      <c r="DS143" s="1177"/>
      <c r="DT143" s="1177"/>
      <c r="DU143" s="1177"/>
      <c r="DV143" s="1177"/>
      <c r="DW143" s="1177"/>
      <c r="DX143" s="1177"/>
      <c r="DY143" s="1177"/>
      <c r="DZ143" s="1177"/>
      <c r="EA143" s="1177"/>
      <c r="EB143" s="1177"/>
      <c r="EC143" s="1177"/>
      <c r="ED143" s="1177"/>
      <c r="EE143" s="1177"/>
      <c r="EF143" s="1177"/>
      <c r="EG143" s="1177"/>
      <c r="EH143" s="1177"/>
      <c r="EI143" s="1177"/>
      <c r="EJ143" s="1177"/>
      <c r="EK143" s="1177"/>
      <c r="EL143" s="1177"/>
      <c r="EM143" s="1177"/>
      <c r="EN143" s="1177"/>
      <c r="EO143" s="1177"/>
      <c r="EP143" s="1177"/>
      <c r="EQ143" s="1177"/>
      <c r="ER143" s="1177"/>
      <c r="ES143" s="1177"/>
      <c r="ET143" s="1177"/>
      <c r="EU143" s="1177"/>
      <c r="EV143" s="1177"/>
      <c r="EW143" s="1177"/>
      <c r="EX143" s="1177"/>
      <c r="EY143" s="1177"/>
      <c r="EZ143" s="1177"/>
      <c r="FA143" s="1177"/>
      <c r="FB143" s="1177"/>
      <c r="FC143" s="1177"/>
      <c r="FD143" s="1177"/>
      <c r="FE143" s="1177"/>
      <c r="FF143" s="1177"/>
      <c r="FG143" s="1177"/>
      <c r="FH143" s="1177"/>
      <c r="FI143" s="1177"/>
      <c r="FJ143" s="1177"/>
      <c r="FK143" s="1177"/>
      <c r="FL143" s="1177"/>
      <c r="FM143" s="1177"/>
      <c r="FN143" s="1177"/>
      <c r="FO143" s="1177"/>
      <c r="FP143" s="1177"/>
      <c r="FQ143" s="1177"/>
      <c r="FR143" s="1177"/>
      <c r="FS143" s="1177"/>
      <c r="FT143" s="1177"/>
      <c r="FU143" s="1177"/>
      <c r="FV143" s="1177"/>
      <c r="FW143" s="1177"/>
      <c r="FX143" s="1177"/>
      <c r="FY143" s="1177"/>
      <c r="FZ143" s="1177"/>
      <c r="GA143" s="1177"/>
      <c r="GB143" s="1177"/>
      <c r="GC143" s="1177"/>
      <c r="GD143" s="1177"/>
      <c r="GE143" s="1177"/>
      <c r="GF143" s="1177"/>
      <c r="GG143" s="1177"/>
    </row>
    <row r="144" spans="1:189" s="1158" customFormat="1">
      <c r="A144" s="1615"/>
      <c r="B144" s="467"/>
      <c r="C144" s="1523" t="e">
        <f>#REF!</f>
        <v>#REF!</v>
      </c>
      <c r="D144" s="1521">
        <v>1</v>
      </c>
      <c r="E144" s="547" t="e">
        <f>#REF!</f>
        <v>#REF!</v>
      </c>
      <c r="F144" s="547" t="e">
        <f>+D144*E144</f>
        <v>#REF!</v>
      </c>
      <c r="H144" s="1155">
        <v>0</v>
      </c>
      <c r="I144" s="1156">
        <v>1</v>
      </c>
      <c r="J144" s="1155">
        <f>H144*I144</f>
        <v>0</v>
      </c>
      <c r="K144" s="1157"/>
      <c r="L144" s="1157"/>
      <c r="M144" s="1157"/>
      <c r="N144" s="1157"/>
      <c r="O144" s="1157"/>
      <c r="P144" s="1157"/>
      <c r="Q144" s="1157"/>
      <c r="R144" s="1157"/>
      <c r="S144" s="1157"/>
      <c r="T144" s="1157"/>
      <c r="U144" s="1157"/>
      <c r="V144" s="1157"/>
      <c r="W144" s="1157"/>
      <c r="X144" s="1157"/>
      <c r="Y144" s="1157"/>
      <c r="Z144" s="1157"/>
      <c r="AA144" s="1157"/>
      <c r="AB144" s="1157"/>
      <c r="AC144" s="1157"/>
      <c r="AD144" s="1157"/>
      <c r="AE144" s="1157"/>
      <c r="AF144" s="1157"/>
      <c r="AG144" s="1157"/>
      <c r="AH144" s="1157"/>
      <c r="AI144" s="1157"/>
      <c r="AJ144" s="1157"/>
      <c r="AK144" s="1157"/>
      <c r="AL144" s="1157"/>
      <c r="AM144" s="1157"/>
      <c r="AN144" s="1157"/>
      <c r="AO144" s="1157"/>
      <c r="AP144" s="1157"/>
      <c r="AQ144" s="1157"/>
      <c r="AR144" s="1157"/>
      <c r="AS144" s="1157"/>
      <c r="AT144" s="1157"/>
      <c r="AU144" s="1157"/>
      <c r="AV144" s="1157"/>
      <c r="AW144" s="1157"/>
      <c r="AX144" s="1157"/>
      <c r="AY144" s="1157"/>
      <c r="AZ144" s="1157"/>
      <c r="BA144" s="1157"/>
      <c r="BB144" s="1157"/>
      <c r="BC144" s="1157"/>
      <c r="BD144" s="1157"/>
      <c r="BE144" s="1157"/>
      <c r="BF144" s="1157"/>
      <c r="BG144" s="1157"/>
      <c r="BH144" s="1157"/>
      <c r="BI144" s="1157"/>
      <c r="BJ144" s="1157"/>
      <c r="BK144" s="1157"/>
      <c r="BL144" s="1157"/>
      <c r="BM144" s="1157"/>
      <c r="BN144" s="1157"/>
      <c r="BO144" s="1157"/>
      <c r="BP144" s="1157"/>
      <c r="BQ144" s="1157"/>
      <c r="BR144" s="1157"/>
      <c r="BS144" s="1157"/>
      <c r="BT144" s="1157"/>
      <c r="BU144" s="1157"/>
      <c r="BV144" s="1157"/>
      <c r="BW144" s="1157"/>
      <c r="BX144" s="1157"/>
      <c r="BY144" s="1157"/>
      <c r="BZ144" s="1157"/>
      <c r="CA144" s="1157"/>
      <c r="CB144" s="1157"/>
      <c r="CC144" s="1157"/>
      <c r="CD144" s="1157"/>
      <c r="CE144" s="1157"/>
      <c r="CF144" s="1157"/>
      <c r="CG144" s="1157"/>
      <c r="CH144" s="1157"/>
      <c r="CI144" s="1157"/>
      <c r="CJ144" s="1157"/>
      <c r="CK144" s="1157"/>
      <c r="CL144" s="1157"/>
      <c r="CM144" s="1157"/>
      <c r="CN144" s="1157"/>
      <c r="CO144" s="1157"/>
      <c r="CP144" s="1157"/>
      <c r="CQ144" s="1157"/>
      <c r="CR144" s="1157"/>
      <c r="CS144" s="1157"/>
      <c r="CT144" s="1157"/>
      <c r="CU144" s="1157"/>
      <c r="CV144" s="1157"/>
      <c r="CW144" s="1157"/>
      <c r="CX144" s="1157"/>
      <c r="CY144" s="1157"/>
      <c r="CZ144" s="1157"/>
      <c r="DA144" s="1157"/>
      <c r="DB144" s="1157"/>
      <c r="DC144" s="1157"/>
      <c r="DD144" s="1157"/>
      <c r="DE144" s="1157"/>
      <c r="DF144" s="1157"/>
      <c r="DG144" s="1157"/>
      <c r="DH144" s="1157"/>
      <c r="DI144" s="1157"/>
      <c r="DJ144" s="1157"/>
      <c r="DK144" s="1157"/>
      <c r="DL144" s="1157"/>
      <c r="DM144" s="1157"/>
      <c r="DN144" s="1157"/>
      <c r="DO144" s="1157"/>
      <c r="DP144" s="1157"/>
      <c r="DQ144" s="1157"/>
      <c r="DR144" s="1157"/>
      <c r="DS144" s="1157"/>
      <c r="DT144" s="1157"/>
      <c r="DU144" s="1157"/>
      <c r="DV144" s="1157"/>
      <c r="DW144" s="1157"/>
      <c r="DX144" s="1157"/>
      <c r="DY144" s="1157"/>
      <c r="DZ144" s="1157"/>
      <c r="EA144" s="1157"/>
      <c r="EB144" s="1157"/>
      <c r="EC144" s="1157"/>
      <c r="ED144" s="1157"/>
      <c r="EE144" s="1157"/>
      <c r="EF144" s="1157"/>
      <c r="EG144" s="1157"/>
      <c r="EH144" s="1157"/>
      <c r="EI144" s="1157"/>
      <c r="EJ144" s="1157"/>
      <c r="EK144" s="1157"/>
      <c r="EL144" s="1157"/>
      <c r="EM144" s="1157"/>
      <c r="EN144" s="1157"/>
      <c r="EO144" s="1157"/>
      <c r="EP144" s="1157"/>
      <c r="EQ144" s="1157"/>
      <c r="ER144" s="1157"/>
      <c r="ES144" s="1157"/>
      <c r="ET144" s="1157"/>
      <c r="EU144" s="1157"/>
      <c r="EV144" s="1157"/>
      <c r="EW144" s="1157"/>
      <c r="EX144" s="1157"/>
      <c r="EY144" s="1157"/>
      <c r="EZ144" s="1157"/>
      <c r="FA144" s="1157"/>
      <c r="FB144" s="1157"/>
      <c r="FC144" s="1157"/>
      <c r="FD144" s="1157"/>
      <c r="FE144" s="1157"/>
      <c r="FF144" s="1157"/>
      <c r="FG144" s="1157"/>
      <c r="FH144" s="1157"/>
      <c r="FI144" s="1157"/>
      <c r="FJ144" s="1157"/>
      <c r="FK144" s="1157"/>
      <c r="FL144" s="1157"/>
      <c r="FM144" s="1157"/>
      <c r="FN144" s="1157"/>
      <c r="FO144" s="1157"/>
      <c r="FP144" s="1157"/>
      <c r="FQ144" s="1157"/>
      <c r="FR144" s="1157"/>
      <c r="FS144" s="1157"/>
      <c r="FT144" s="1157"/>
      <c r="FU144" s="1157"/>
      <c r="FV144" s="1157"/>
      <c r="FW144" s="1157"/>
      <c r="FX144" s="1157"/>
      <c r="FY144" s="1157"/>
      <c r="FZ144" s="1157"/>
      <c r="GA144" s="1157"/>
      <c r="GB144" s="1157"/>
      <c r="GC144" s="1157"/>
      <c r="GD144" s="1157"/>
      <c r="GE144" s="1157"/>
      <c r="GF144" s="1157"/>
      <c r="GG144" s="1157"/>
    </row>
    <row r="145" spans="1:189" s="1158" customFormat="1">
      <c r="A145" s="1281" t="e">
        <f>+#REF!</f>
        <v>#REF!</v>
      </c>
      <c r="B145" s="1620" t="e">
        <f>+#REF!</f>
        <v>#REF!</v>
      </c>
      <c r="C145" s="1264"/>
      <c r="D145" s="1519"/>
      <c r="E145" s="544"/>
      <c r="F145" s="544"/>
      <c r="H145" s="1155"/>
      <c r="I145" s="1156"/>
      <c r="J145" s="1155"/>
      <c r="K145" s="1181" t="e">
        <f>+#REF!/#REF!</f>
        <v>#REF!</v>
      </c>
      <c r="L145" s="1157">
        <v>3</v>
      </c>
      <c r="M145" s="1157"/>
      <c r="N145" s="1157"/>
      <c r="O145" s="1157"/>
      <c r="P145" s="1157"/>
      <c r="Q145" s="1157"/>
      <c r="R145" s="1157"/>
      <c r="S145" s="1157"/>
      <c r="T145" s="1157"/>
      <c r="U145" s="1157"/>
      <c r="V145" s="1157"/>
      <c r="W145" s="1157"/>
      <c r="X145" s="1157"/>
      <c r="Y145" s="1157"/>
      <c r="Z145" s="1157"/>
      <c r="AA145" s="1157"/>
      <c r="AB145" s="1157"/>
      <c r="AC145" s="1157"/>
      <c r="AD145" s="1157"/>
      <c r="AE145" s="1157"/>
      <c r="AF145" s="1157"/>
      <c r="AG145" s="1157"/>
      <c r="AH145" s="1157"/>
      <c r="AI145" s="1157"/>
      <c r="AJ145" s="1157"/>
      <c r="AK145" s="1157"/>
      <c r="AL145" s="1157"/>
      <c r="AM145" s="1157"/>
      <c r="AN145" s="1157"/>
      <c r="AO145" s="1157"/>
      <c r="AP145" s="1157"/>
      <c r="AQ145" s="1157"/>
      <c r="AR145" s="1157"/>
      <c r="AS145" s="1157"/>
      <c r="AT145" s="1157"/>
      <c r="AU145" s="1157"/>
      <c r="AV145" s="1157"/>
      <c r="AW145" s="1157"/>
      <c r="AX145" s="1157"/>
      <c r="AY145" s="1157"/>
      <c r="AZ145" s="1157"/>
      <c r="BA145" s="1157"/>
      <c r="BB145" s="1157"/>
      <c r="BC145" s="1157"/>
      <c r="BD145" s="1157"/>
      <c r="BE145" s="1157"/>
      <c r="BF145" s="1157"/>
      <c r="BG145" s="1157"/>
      <c r="BH145" s="1157"/>
      <c r="BI145" s="1157"/>
      <c r="BJ145" s="1157"/>
      <c r="BK145" s="1157"/>
      <c r="BL145" s="1157"/>
      <c r="BM145" s="1157"/>
      <c r="BN145" s="1157"/>
      <c r="BO145" s="1157"/>
      <c r="BP145" s="1157"/>
      <c r="BQ145" s="1157"/>
      <c r="BR145" s="1157"/>
      <c r="BS145" s="1157"/>
      <c r="BT145" s="1157"/>
      <c r="BU145" s="1157"/>
      <c r="BV145" s="1157"/>
      <c r="BW145" s="1157"/>
      <c r="BX145" s="1157"/>
      <c r="BY145" s="1157"/>
      <c r="BZ145" s="1157"/>
      <c r="CA145" s="1157"/>
      <c r="CB145" s="1157"/>
      <c r="CC145" s="1157"/>
      <c r="CD145" s="1157"/>
      <c r="CE145" s="1157"/>
      <c r="CF145" s="1157"/>
      <c r="CG145" s="1157"/>
      <c r="CH145" s="1157"/>
      <c r="CI145" s="1157"/>
      <c r="CJ145" s="1157"/>
      <c r="CK145" s="1157"/>
      <c r="CL145" s="1157"/>
      <c r="CM145" s="1157"/>
      <c r="CN145" s="1157"/>
      <c r="CO145" s="1157"/>
      <c r="CP145" s="1157"/>
      <c r="CQ145" s="1157"/>
      <c r="CR145" s="1157"/>
      <c r="CS145" s="1157"/>
      <c r="CT145" s="1157"/>
      <c r="CU145" s="1157"/>
      <c r="CV145" s="1157"/>
      <c r="CW145" s="1157"/>
      <c r="CX145" s="1157"/>
      <c r="CY145" s="1157"/>
      <c r="CZ145" s="1157"/>
      <c r="DA145" s="1157"/>
      <c r="DB145" s="1157"/>
      <c r="DC145" s="1157"/>
      <c r="DD145" s="1157"/>
      <c r="DE145" s="1157"/>
      <c r="DF145" s="1157"/>
      <c r="DG145" s="1157"/>
      <c r="DH145" s="1157"/>
      <c r="DI145" s="1157"/>
      <c r="DJ145" s="1157"/>
      <c r="DK145" s="1157"/>
      <c r="DL145" s="1157"/>
      <c r="DM145" s="1157"/>
      <c r="DN145" s="1157"/>
      <c r="DO145" s="1157"/>
      <c r="DP145" s="1157"/>
      <c r="DQ145" s="1157"/>
      <c r="DR145" s="1157"/>
      <c r="DS145" s="1157"/>
      <c r="DT145" s="1157"/>
      <c r="DU145" s="1157"/>
      <c r="DV145" s="1157"/>
      <c r="DW145" s="1157"/>
      <c r="DX145" s="1157"/>
      <c r="DY145" s="1157"/>
      <c r="DZ145" s="1157"/>
      <c r="EA145" s="1157"/>
      <c r="EB145" s="1157"/>
      <c r="EC145" s="1157"/>
      <c r="ED145" s="1157"/>
      <c r="EE145" s="1157"/>
      <c r="EF145" s="1157"/>
      <c r="EG145" s="1157"/>
      <c r="EH145" s="1157"/>
      <c r="EI145" s="1157"/>
      <c r="EJ145" s="1157"/>
      <c r="EK145" s="1157"/>
      <c r="EL145" s="1157"/>
      <c r="EM145" s="1157"/>
      <c r="EN145" s="1157"/>
      <c r="EO145" s="1157"/>
      <c r="EP145" s="1157"/>
      <c r="EQ145" s="1157"/>
      <c r="ER145" s="1157"/>
      <c r="ES145" s="1157"/>
      <c r="ET145" s="1157"/>
      <c r="EU145" s="1157"/>
      <c r="EV145" s="1157"/>
      <c r="EW145" s="1157"/>
      <c r="EX145" s="1157"/>
      <c r="EY145" s="1157"/>
      <c r="EZ145" s="1157"/>
      <c r="FA145" s="1157"/>
      <c r="FB145" s="1157"/>
      <c r="FC145" s="1157"/>
      <c r="FD145" s="1157"/>
      <c r="FE145" s="1157"/>
      <c r="FF145" s="1157"/>
      <c r="FG145" s="1157"/>
      <c r="FH145" s="1157"/>
      <c r="FI145" s="1157"/>
      <c r="FJ145" s="1157"/>
      <c r="FK145" s="1157"/>
      <c r="FL145" s="1157"/>
      <c r="FM145" s="1157"/>
      <c r="FN145" s="1157"/>
      <c r="FO145" s="1157"/>
      <c r="FP145" s="1157"/>
      <c r="FQ145" s="1157"/>
      <c r="FR145" s="1157"/>
      <c r="FS145" s="1157"/>
      <c r="FT145" s="1157"/>
      <c r="FU145" s="1157"/>
      <c r="FV145" s="1157"/>
      <c r="FW145" s="1157"/>
      <c r="FX145" s="1157"/>
      <c r="FY145" s="1157"/>
      <c r="FZ145" s="1157"/>
      <c r="GA145" s="1157"/>
      <c r="GB145" s="1157"/>
      <c r="GC145" s="1157"/>
      <c r="GD145" s="1157"/>
      <c r="GE145" s="1157"/>
      <c r="GF145" s="1157"/>
      <c r="GG145" s="1157"/>
    </row>
    <row r="146" spans="1:189" s="1158" customFormat="1" ht="30" customHeight="1">
      <c r="A146" s="1624" t="e">
        <f>+#REF!</f>
        <v>#REF!</v>
      </c>
      <c r="B146" s="1625" t="e">
        <f>+#REF!</f>
        <v>#REF!</v>
      </c>
      <c r="C146" s="1522" t="e">
        <f>#REF!</f>
        <v>#REF!</v>
      </c>
      <c r="D146" s="1520">
        <f>J146</f>
        <v>46.305000000000007</v>
      </c>
      <c r="E146" s="650" t="e">
        <f>#REF!</f>
        <v>#REF!</v>
      </c>
      <c r="F146" s="650" t="e">
        <f>+D146*E146</f>
        <v>#REF!</v>
      </c>
      <c r="H146" s="1155">
        <f>SUM(H136:H142)/50+5</f>
        <v>44.1</v>
      </c>
      <c r="I146" s="1156">
        <v>1.05</v>
      </c>
      <c r="J146" s="1155">
        <f>H146*I146</f>
        <v>46.305000000000007</v>
      </c>
      <c r="K146" s="1157"/>
      <c r="L146" s="1184" t="e">
        <f>+#REF!/#REF!*L145</f>
        <v>#REF!</v>
      </c>
      <c r="M146" s="1157"/>
      <c r="N146" s="1157"/>
      <c r="O146" s="1157"/>
      <c r="P146" s="1157"/>
      <c r="Q146" s="1157"/>
      <c r="R146" s="1157"/>
      <c r="S146" s="1157"/>
      <c r="T146" s="1157"/>
      <c r="U146" s="1157"/>
      <c r="V146" s="1157"/>
      <c r="W146" s="1157"/>
      <c r="X146" s="1157"/>
      <c r="Y146" s="1157"/>
      <c r="Z146" s="1157"/>
      <c r="AA146" s="1157"/>
      <c r="AB146" s="1157"/>
      <c r="AC146" s="1157"/>
      <c r="AD146" s="1157"/>
      <c r="AE146" s="1157"/>
      <c r="AF146" s="1157"/>
      <c r="AG146" s="1157"/>
      <c r="AH146" s="1157"/>
      <c r="AI146" s="1157"/>
      <c r="AJ146" s="1157"/>
      <c r="AK146" s="1157"/>
      <c r="AL146" s="1157"/>
      <c r="AM146" s="1157"/>
      <c r="AN146" s="1157"/>
      <c r="AO146" s="1157"/>
      <c r="AP146" s="1157"/>
      <c r="AQ146" s="1157"/>
      <c r="AR146" s="1157"/>
      <c r="AS146" s="1157"/>
      <c r="AT146" s="1157"/>
      <c r="AU146" s="1157"/>
      <c r="AV146" s="1157"/>
      <c r="AW146" s="1157"/>
      <c r="AX146" s="1157"/>
      <c r="AY146" s="1157"/>
      <c r="AZ146" s="1157"/>
      <c r="BA146" s="1157"/>
      <c r="BB146" s="1157"/>
      <c r="BC146" s="1157"/>
      <c r="BD146" s="1157"/>
      <c r="BE146" s="1157"/>
      <c r="BF146" s="1157"/>
      <c r="BG146" s="1157"/>
      <c r="BH146" s="1157"/>
      <c r="BI146" s="1157"/>
      <c r="BJ146" s="1157"/>
      <c r="BK146" s="1157"/>
      <c r="BL146" s="1157"/>
      <c r="BM146" s="1157"/>
      <c r="BN146" s="1157"/>
      <c r="BO146" s="1157"/>
      <c r="BP146" s="1157"/>
      <c r="BQ146" s="1157"/>
      <c r="BR146" s="1157"/>
      <c r="BS146" s="1157"/>
      <c r="BT146" s="1157"/>
      <c r="BU146" s="1157"/>
      <c r="BV146" s="1157"/>
      <c r="BW146" s="1157"/>
      <c r="BX146" s="1157"/>
      <c r="BY146" s="1157"/>
      <c r="BZ146" s="1157"/>
      <c r="CA146" s="1157"/>
      <c r="CB146" s="1157"/>
      <c r="CC146" s="1157"/>
      <c r="CD146" s="1157"/>
      <c r="CE146" s="1157"/>
      <c r="CF146" s="1157"/>
      <c r="CG146" s="1157"/>
      <c r="CH146" s="1157"/>
      <c r="CI146" s="1157"/>
      <c r="CJ146" s="1157"/>
      <c r="CK146" s="1157"/>
      <c r="CL146" s="1157"/>
      <c r="CM146" s="1157"/>
      <c r="CN146" s="1157"/>
      <c r="CO146" s="1157"/>
      <c r="CP146" s="1157"/>
      <c r="CQ146" s="1157"/>
      <c r="CR146" s="1157"/>
      <c r="CS146" s="1157"/>
      <c r="CT146" s="1157"/>
      <c r="CU146" s="1157"/>
      <c r="CV146" s="1157"/>
      <c r="CW146" s="1157"/>
      <c r="CX146" s="1157"/>
      <c r="CY146" s="1157"/>
      <c r="CZ146" s="1157"/>
      <c r="DA146" s="1157"/>
      <c r="DB146" s="1157"/>
      <c r="DC146" s="1157"/>
      <c r="DD146" s="1157"/>
      <c r="DE146" s="1157"/>
      <c r="DF146" s="1157"/>
      <c r="DG146" s="1157"/>
      <c r="DH146" s="1157"/>
      <c r="DI146" s="1157"/>
      <c r="DJ146" s="1157"/>
      <c r="DK146" s="1157"/>
      <c r="DL146" s="1157"/>
      <c r="DM146" s="1157"/>
      <c r="DN146" s="1157"/>
      <c r="DO146" s="1157"/>
      <c r="DP146" s="1157"/>
      <c r="DQ146" s="1157"/>
      <c r="DR146" s="1157"/>
      <c r="DS146" s="1157"/>
      <c r="DT146" s="1157"/>
      <c r="DU146" s="1157"/>
      <c r="DV146" s="1157"/>
      <c r="DW146" s="1157"/>
      <c r="DX146" s="1157"/>
      <c r="DY146" s="1157"/>
      <c r="DZ146" s="1157"/>
      <c r="EA146" s="1157"/>
      <c r="EB146" s="1157"/>
      <c r="EC146" s="1157"/>
      <c r="ED146" s="1157"/>
      <c r="EE146" s="1157"/>
      <c r="EF146" s="1157"/>
      <c r="EG146" s="1157"/>
      <c r="EH146" s="1157"/>
      <c r="EI146" s="1157"/>
      <c r="EJ146" s="1157"/>
      <c r="EK146" s="1157"/>
      <c r="EL146" s="1157"/>
      <c r="EM146" s="1157"/>
      <c r="EN146" s="1157"/>
      <c r="EO146" s="1157"/>
      <c r="EP146" s="1157"/>
      <c r="EQ146" s="1157"/>
      <c r="ER146" s="1157"/>
      <c r="ES146" s="1157"/>
      <c r="ET146" s="1157"/>
      <c r="EU146" s="1157"/>
      <c r="EV146" s="1157"/>
      <c r="EW146" s="1157"/>
      <c r="EX146" s="1157"/>
      <c r="EY146" s="1157"/>
      <c r="EZ146" s="1157"/>
      <c r="FA146" s="1157"/>
      <c r="FB146" s="1157"/>
      <c r="FC146" s="1157"/>
      <c r="FD146" s="1157"/>
      <c r="FE146" s="1157"/>
      <c r="FF146" s="1157"/>
      <c r="FG146" s="1157"/>
      <c r="FH146" s="1157"/>
      <c r="FI146" s="1157"/>
      <c r="FJ146" s="1157"/>
      <c r="FK146" s="1157"/>
      <c r="FL146" s="1157"/>
      <c r="FM146" s="1157"/>
      <c r="FN146" s="1157"/>
      <c r="FO146" s="1157"/>
      <c r="FP146" s="1157"/>
      <c r="FQ146" s="1157"/>
      <c r="FR146" s="1157"/>
      <c r="FS146" s="1157"/>
      <c r="FT146" s="1157"/>
      <c r="FU146" s="1157"/>
      <c r="FV146" s="1157"/>
      <c r="FW146" s="1157"/>
      <c r="FX146" s="1157"/>
      <c r="FY146" s="1157"/>
      <c r="FZ146" s="1157"/>
      <c r="GA146" s="1157"/>
      <c r="GB146" s="1157"/>
      <c r="GC146" s="1157"/>
      <c r="GD146" s="1157"/>
      <c r="GE146" s="1157"/>
      <c r="GF146" s="1157"/>
      <c r="GG146" s="1157"/>
    </row>
    <row r="147" spans="1:189" s="1158" customFormat="1">
      <c r="A147" s="1624" t="e">
        <f>+#REF!</f>
        <v>#REF!</v>
      </c>
      <c r="B147" s="1625" t="e">
        <f>+#REF!</f>
        <v>#REF!</v>
      </c>
      <c r="C147" s="1522" t="e">
        <f>#REF!</f>
        <v>#REF!</v>
      </c>
      <c r="D147" s="1520">
        <f>J147</f>
        <v>154.38528000000002</v>
      </c>
      <c r="E147" s="650" t="e">
        <f>#REF!</f>
        <v>#REF!</v>
      </c>
      <c r="F147" s="650" t="e">
        <f>+D147*E147</f>
        <v>#REF!</v>
      </c>
      <c r="H147" s="1155">
        <f>SUM(J130:J134)/12.5</f>
        <v>147.03360000000001</v>
      </c>
      <c r="I147" s="1156">
        <v>1.05</v>
      </c>
      <c r="J147" s="1155">
        <f>H147*I147</f>
        <v>154.38528000000002</v>
      </c>
      <c r="K147" s="1157"/>
      <c r="L147" s="1157"/>
      <c r="M147" s="1157"/>
      <c r="N147" s="1157"/>
      <c r="O147" s="1157"/>
      <c r="P147" s="1157"/>
      <c r="Q147" s="1157"/>
      <c r="R147" s="1157"/>
      <c r="S147" s="1157"/>
      <c r="T147" s="1157"/>
      <c r="U147" s="1157"/>
      <c r="V147" s="1157"/>
      <c r="W147" s="1157"/>
      <c r="X147" s="1157"/>
      <c r="Y147" s="1157"/>
      <c r="Z147" s="1157"/>
      <c r="AA147" s="1157"/>
      <c r="AB147" s="1157"/>
      <c r="AC147" s="1157"/>
      <c r="AD147" s="1157"/>
      <c r="AE147" s="1157"/>
      <c r="AF147" s="1157"/>
      <c r="AG147" s="1157"/>
      <c r="AH147" s="1157"/>
      <c r="AI147" s="1157"/>
      <c r="AJ147" s="1157"/>
      <c r="AK147" s="1157"/>
      <c r="AL147" s="1157"/>
      <c r="AM147" s="1157"/>
      <c r="AN147" s="1157"/>
      <c r="AO147" s="1157"/>
      <c r="AP147" s="1157"/>
      <c r="AQ147" s="1157"/>
      <c r="AR147" s="1157"/>
      <c r="AS147" s="1157"/>
      <c r="AT147" s="1157"/>
      <c r="AU147" s="1157"/>
      <c r="AV147" s="1157"/>
      <c r="AW147" s="1157"/>
      <c r="AX147" s="1157"/>
      <c r="AY147" s="1157"/>
      <c r="AZ147" s="1157"/>
      <c r="BA147" s="1157"/>
      <c r="BB147" s="1157"/>
      <c r="BC147" s="1157"/>
      <c r="BD147" s="1157"/>
      <c r="BE147" s="1157"/>
      <c r="BF147" s="1157"/>
      <c r="BG147" s="1157"/>
      <c r="BH147" s="1157"/>
      <c r="BI147" s="1157"/>
      <c r="BJ147" s="1157"/>
      <c r="BK147" s="1157"/>
      <c r="BL147" s="1157"/>
      <c r="BM147" s="1157"/>
      <c r="BN147" s="1157"/>
      <c r="BO147" s="1157"/>
      <c r="BP147" s="1157"/>
      <c r="BQ147" s="1157"/>
      <c r="BR147" s="1157"/>
      <c r="BS147" s="1157"/>
      <c r="BT147" s="1157"/>
      <c r="BU147" s="1157"/>
      <c r="BV147" s="1157"/>
      <c r="BW147" s="1157"/>
      <c r="BX147" s="1157"/>
      <c r="BY147" s="1157"/>
      <c r="BZ147" s="1157"/>
      <c r="CA147" s="1157"/>
      <c r="CB147" s="1157"/>
      <c r="CC147" s="1157"/>
      <c r="CD147" s="1157"/>
      <c r="CE147" s="1157"/>
      <c r="CF147" s="1157"/>
      <c r="CG147" s="1157"/>
      <c r="CH147" s="1157"/>
      <c r="CI147" s="1157"/>
      <c r="CJ147" s="1157"/>
      <c r="CK147" s="1157"/>
      <c r="CL147" s="1157"/>
      <c r="CM147" s="1157"/>
      <c r="CN147" s="1157"/>
      <c r="CO147" s="1157"/>
      <c r="CP147" s="1157"/>
      <c r="CQ147" s="1157"/>
      <c r="CR147" s="1157"/>
      <c r="CS147" s="1157"/>
      <c r="CT147" s="1157"/>
      <c r="CU147" s="1157"/>
      <c r="CV147" s="1157"/>
      <c r="CW147" s="1157"/>
      <c r="CX147" s="1157"/>
      <c r="CY147" s="1157"/>
      <c r="CZ147" s="1157"/>
      <c r="DA147" s="1157"/>
      <c r="DB147" s="1157"/>
      <c r="DC147" s="1157"/>
      <c r="DD147" s="1157"/>
      <c r="DE147" s="1157"/>
      <c r="DF147" s="1157"/>
      <c r="DG147" s="1157"/>
      <c r="DH147" s="1157"/>
      <c r="DI147" s="1157"/>
      <c r="DJ147" s="1157"/>
      <c r="DK147" s="1157"/>
      <c r="DL147" s="1157"/>
      <c r="DM147" s="1157"/>
      <c r="DN147" s="1157"/>
      <c r="DO147" s="1157"/>
      <c r="DP147" s="1157"/>
      <c r="DQ147" s="1157"/>
      <c r="DR147" s="1157"/>
      <c r="DS147" s="1157"/>
      <c r="DT147" s="1157"/>
      <c r="DU147" s="1157"/>
      <c r="DV147" s="1157"/>
      <c r="DW147" s="1157"/>
      <c r="DX147" s="1157"/>
      <c r="DY147" s="1157"/>
      <c r="DZ147" s="1157"/>
      <c r="EA147" s="1157"/>
      <c r="EB147" s="1157"/>
      <c r="EC147" s="1157"/>
      <c r="ED147" s="1157"/>
      <c r="EE147" s="1157"/>
      <c r="EF147" s="1157"/>
      <c r="EG147" s="1157"/>
      <c r="EH147" s="1157"/>
      <c r="EI147" s="1157"/>
      <c r="EJ147" s="1157"/>
      <c r="EK147" s="1157"/>
      <c r="EL147" s="1157"/>
      <c r="EM147" s="1157"/>
      <c r="EN147" s="1157"/>
      <c r="EO147" s="1157"/>
      <c r="EP147" s="1157"/>
      <c r="EQ147" s="1157"/>
      <c r="ER147" s="1157"/>
      <c r="ES147" s="1157"/>
      <c r="ET147" s="1157"/>
      <c r="EU147" s="1157"/>
      <c r="EV147" s="1157"/>
      <c r="EW147" s="1157"/>
      <c r="EX147" s="1157"/>
      <c r="EY147" s="1157"/>
      <c r="EZ147" s="1157"/>
      <c r="FA147" s="1157"/>
      <c r="FB147" s="1157"/>
      <c r="FC147" s="1157"/>
      <c r="FD147" s="1157"/>
      <c r="FE147" s="1157"/>
      <c r="FF147" s="1157"/>
      <c r="FG147" s="1157"/>
      <c r="FH147" s="1157"/>
      <c r="FI147" s="1157"/>
      <c r="FJ147" s="1157"/>
      <c r="FK147" s="1157"/>
      <c r="FL147" s="1157"/>
      <c r="FM147" s="1157"/>
      <c r="FN147" s="1157"/>
      <c r="FO147" s="1157"/>
      <c r="FP147" s="1157"/>
      <c r="FQ147" s="1157"/>
      <c r="FR147" s="1157"/>
      <c r="FS147" s="1157"/>
      <c r="FT147" s="1157"/>
      <c r="FU147" s="1157"/>
      <c r="FV147" s="1157"/>
      <c r="FW147" s="1157"/>
      <c r="FX147" s="1157"/>
      <c r="FY147" s="1157"/>
      <c r="FZ147" s="1157"/>
      <c r="GA147" s="1157"/>
      <c r="GB147" s="1157"/>
      <c r="GC147" s="1157"/>
      <c r="GD147" s="1157"/>
      <c r="GE147" s="1157"/>
      <c r="GF147" s="1157"/>
      <c r="GG147" s="1157"/>
    </row>
    <row r="148" spans="1:189" s="1158" customFormat="1">
      <c r="A148" s="1615" t="e">
        <f>+#REF!</f>
        <v>#REF!</v>
      </c>
      <c r="B148" s="1626" t="e">
        <f>+#REF!</f>
        <v>#REF!</v>
      </c>
      <c r="C148" s="1523" t="e">
        <f>#REF!</f>
        <v>#REF!</v>
      </c>
      <c r="D148" s="1521">
        <f>+H148</f>
        <v>0</v>
      </c>
      <c r="E148" s="547" t="e">
        <f>+#REF!</f>
        <v>#REF!</v>
      </c>
      <c r="F148" s="547" t="e">
        <f>+D148*E148</f>
        <v>#REF!</v>
      </c>
      <c r="H148" s="1155">
        <v>0</v>
      </c>
      <c r="I148" s="1156"/>
      <c r="J148" s="1155"/>
      <c r="K148" s="1157"/>
      <c r="L148" s="1157"/>
      <c r="M148" s="1157"/>
      <c r="N148" s="1157"/>
      <c r="O148" s="1157"/>
      <c r="P148" s="1157"/>
      <c r="Q148" s="1157"/>
      <c r="R148" s="1157"/>
      <c r="S148" s="1157"/>
      <c r="T148" s="1157"/>
      <c r="U148" s="1157"/>
      <c r="V148" s="1157"/>
      <c r="W148" s="1157"/>
      <c r="X148" s="1157"/>
      <c r="Y148" s="1157"/>
      <c r="Z148" s="1157"/>
      <c r="AA148" s="1157"/>
      <c r="AB148" s="1157"/>
      <c r="AC148" s="1157"/>
      <c r="AD148" s="1157"/>
      <c r="AE148" s="1157"/>
      <c r="AF148" s="1157"/>
      <c r="AG148" s="1157"/>
      <c r="AH148" s="1157"/>
      <c r="AI148" s="1157"/>
      <c r="AJ148" s="1157"/>
      <c r="AK148" s="1157"/>
      <c r="AL148" s="1157"/>
      <c r="AM148" s="1157"/>
      <c r="AN148" s="1157"/>
      <c r="AO148" s="1157"/>
      <c r="AP148" s="1157"/>
      <c r="AQ148" s="1157"/>
      <c r="AR148" s="1157"/>
      <c r="AS148" s="1157"/>
      <c r="AT148" s="1157"/>
      <c r="AU148" s="1157"/>
      <c r="AV148" s="1157"/>
      <c r="AW148" s="1157"/>
      <c r="AX148" s="1157"/>
      <c r="AY148" s="1157"/>
      <c r="AZ148" s="1157"/>
      <c r="BA148" s="1157"/>
      <c r="BB148" s="1157"/>
      <c r="BC148" s="1157"/>
      <c r="BD148" s="1157"/>
      <c r="BE148" s="1157"/>
      <c r="BF148" s="1157"/>
      <c r="BG148" s="1157"/>
      <c r="BH148" s="1157"/>
      <c r="BI148" s="1157"/>
      <c r="BJ148" s="1157"/>
      <c r="BK148" s="1157"/>
      <c r="BL148" s="1157"/>
      <c r="BM148" s="1157"/>
      <c r="BN148" s="1157"/>
      <c r="BO148" s="1157"/>
      <c r="BP148" s="1157"/>
      <c r="BQ148" s="1157"/>
      <c r="BR148" s="1157"/>
      <c r="BS148" s="1157"/>
      <c r="BT148" s="1157"/>
      <c r="BU148" s="1157"/>
      <c r="BV148" s="1157"/>
      <c r="BW148" s="1157"/>
      <c r="BX148" s="1157"/>
      <c r="BY148" s="1157"/>
      <c r="BZ148" s="1157"/>
      <c r="CA148" s="1157"/>
      <c r="CB148" s="1157"/>
      <c r="CC148" s="1157"/>
      <c r="CD148" s="1157"/>
      <c r="CE148" s="1157"/>
      <c r="CF148" s="1157"/>
      <c r="CG148" s="1157"/>
      <c r="CH148" s="1157"/>
      <c r="CI148" s="1157"/>
      <c r="CJ148" s="1157"/>
      <c r="CK148" s="1157"/>
      <c r="CL148" s="1157"/>
      <c r="CM148" s="1157"/>
      <c r="CN148" s="1157"/>
      <c r="CO148" s="1157"/>
      <c r="CP148" s="1157"/>
      <c r="CQ148" s="1157"/>
      <c r="CR148" s="1157"/>
      <c r="CS148" s="1157"/>
      <c r="CT148" s="1157"/>
      <c r="CU148" s="1157"/>
      <c r="CV148" s="1157"/>
      <c r="CW148" s="1157"/>
      <c r="CX148" s="1157"/>
      <c r="CY148" s="1157"/>
      <c r="CZ148" s="1157"/>
      <c r="DA148" s="1157"/>
      <c r="DB148" s="1157"/>
      <c r="DC148" s="1157"/>
      <c r="DD148" s="1157"/>
      <c r="DE148" s="1157"/>
      <c r="DF148" s="1157"/>
      <c r="DG148" s="1157"/>
      <c r="DH148" s="1157"/>
      <c r="DI148" s="1157"/>
      <c r="DJ148" s="1157"/>
      <c r="DK148" s="1157"/>
      <c r="DL148" s="1157"/>
      <c r="DM148" s="1157"/>
      <c r="DN148" s="1157"/>
      <c r="DO148" s="1157"/>
      <c r="DP148" s="1157"/>
      <c r="DQ148" s="1157"/>
      <c r="DR148" s="1157"/>
      <c r="DS148" s="1157"/>
      <c r="DT148" s="1157"/>
      <c r="DU148" s="1157"/>
      <c r="DV148" s="1157"/>
      <c r="DW148" s="1157"/>
      <c r="DX148" s="1157"/>
      <c r="DY148" s="1157"/>
      <c r="DZ148" s="1157"/>
      <c r="EA148" s="1157"/>
      <c r="EB148" s="1157"/>
      <c r="EC148" s="1157"/>
      <c r="ED148" s="1157"/>
      <c r="EE148" s="1157"/>
      <c r="EF148" s="1157"/>
      <c r="EG148" s="1157"/>
      <c r="EH148" s="1157"/>
      <c r="EI148" s="1157"/>
      <c r="EJ148" s="1157"/>
      <c r="EK148" s="1157"/>
      <c r="EL148" s="1157"/>
      <c r="EM148" s="1157"/>
      <c r="EN148" s="1157"/>
      <c r="EO148" s="1157"/>
      <c r="EP148" s="1157"/>
      <c r="EQ148" s="1157"/>
      <c r="ER148" s="1157"/>
      <c r="ES148" s="1157"/>
      <c r="ET148" s="1157"/>
      <c r="EU148" s="1157"/>
      <c r="EV148" s="1157"/>
      <c r="EW148" s="1157"/>
      <c r="EX148" s="1157"/>
      <c r="EY148" s="1157"/>
      <c r="EZ148" s="1157"/>
      <c r="FA148" s="1157"/>
      <c r="FB148" s="1157"/>
      <c r="FC148" s="1157"/>
      <c r="FD148" s="1157"/>
      <c r="FE148" s="1157"/>
      <c r="FF148" s="1157"/>
      <c r="FG148" s="1157"/>
      <c r="FH148" s="1157"/>
      <c r="FI148" s="1157"/>
      <c r="FJ148" s="1157"/>
      <c r="FK148" s="1157"/>
      <c r="FL148" s="1157"/>
      <c r="FM148" s="1157"/>
      <c r="FN148" s="1157"/>
      <c r="FO148" s="1157"/>
      <c r="FP148" s="1157"/>
      <c r="FQ148" s="1157"/>
      <c r="FR148" s="1157"/>
      <c r="FS148" s="1157"/>
      <c r="FT148" s="1157"/>
      <c r="FU148" s="1157"/>
      <c r="FV148" s="1157"/>
      <c r="FW148" s="1157"/>
      <c r="FX148" s="1157"/>
      <c r="FY148" s="1157"/>
      <c r="FZ148" s="1157"/>
      <c r="GA148" s="1157"/>
      <c r="GB148" s="1157"/>
      <c r="GC148" s="1157"/>
      <c r="GD148" s="1157"/>
      <c r="GE148" s="1157"/>
      <c r="GF148" s="1157"/>
      <c r="GG148" s="1157"/>
    </row>
    <row r="149" spans="1:189" s="1146" customFormat="1" ht="18.75">
      <c r="A149" s="1120"/>
      <c r="B149" s="1134"/>
      <c r="C149" s="1608"/>
      <c r="D149" s="636"/>
      <c r="E149" s="1609" t="s">
        <v>113</v>
      </c>
      <c r="F149" s="1122" t="e">
        <f>SUM(F109:F148)</f>
        <v>#REF!</v>
      </c>
      <c r="G149" s="44"/>
      <c r="H149" s="1144"/>
      <c r="I149" s="1145"/>
      <c r="J149" s="1144"/>
    </row>
    <row r="150" spans="1:189" s="1146" customFormat="1" ht="15" customHeight="1">
      <c r="A150" s="1116"/>
      <c r="B150" s="1134"/>
      <c r="C150" s="926"/>
      <c r="D150" s="1114"/>
      <c r="E150" s="1128"/>
      <c r="F150" s="118"/>
      <c r="G150" s="44"/>
      <c r="H150" s="1144"/>
      <c r="I150" s="1145"/>
      <c r="J150" s="1144"/>
    </row>
    <row r="151" spans="1:189" s="1152" customFormat="1" ht="24.95" customHeight="1">
      <c r="A151" s="1905" t="e">
        <f>+#REF!</f>
        <v>#REF!</v>
      </c>
      <c r="B151" s="1906"/>
      <c r="C151" s="1906"/>
      <c r="D151" s="1906"/>
      <c r="E151" s="1906"/>
      <c r="F151" s="1907"/>
      <c r="G151" s="1149"/>
      <c r="H151" s="1150"/>
      <c r="I151" s="1151"/>
      <c r="J151" s="1150"/>
    </row>
    <row r="152" spans="1:189" s="1146" customFormat="1">
      <c r="A152" s="1449" t="e">
        <f>+#REF!</f>
        <v>#REF!</v>
      </c>
      <c r="B152" s="1614" t="e">
        <f>+#REF!</f>
        <v>#REF!</v>
      </c>
      <c r="C152" s="1475"/>
      <c r="D152" s="210"/>
      <c r="E152" s="161"/>
      <c r="F152" s="204"/>
      <c r="G152" s="44"/>
      <c r="H152" s="1144"/>
      <c r="I152" s="1145"/>
      <c r="J152" s="1144"/>
    </row>
    <row r="153" spans="1:189" s="1146" customFormat="1">
      <c r="A153" s="956" t="e">
        <f>+#REF!</f>
        <v>#REF!</v>
      </c>
      <c r="B153" s="230" t="e">
        <f>+#REF!</f>
        <v>#REF!</v>
      </c>
      <c r="C153" s="235" t="e">
        <f>#REF!</f>
        <v>#REF!</v>
      </c>
      <c r="D153" s="235">
        <f>J153</f>
        <v>31</v>
      </c>
      <c r="E153" s="140" t="e">
        <f>#REF!</f>
        <v>#REF!</v>
      </c>
      <c r="F153" s="314" t="e">
        <f>+D153*E153</f>
        <v>#REF!</v>
      </c>
      <c r="G153" s="44"/>
      <c r="H153" s="1144">
        <f>SUM(F13:F17)/25</f>
        <v>28</v>
      </c>
      <c r="I153" s="1145">
        <v>1.1000000000000001</v>
      </c>
      <c r="J153" s="1144">
        <f>ROUND(H153*I153,0)</f>
        <v>31</v>
      </c>
    </row>
    <row r="154" spans="1:189" s="176" customFormat="1">
      <c r="A154" s="765" t="e">
        <f>+#REF!</f>
        <v>#REF!</v>
      </c>
      <c r="B154" s="766" t="e">
        <f>+#REF!</f>
        <v>#REF!</v>
      </c>
      <c r="C154" s="1135" t="e">
        <f>#REF!</f>
        <v>#REF!</v>
      </c>
      <c r="D154" s="185">
        <f>+J154</f>
        <v>0</v>
      </c>
      <c r="E154" s="185" t="e">
        <f>+#REF!</f>
        <v>#REF!</v>
      </c>
      <c r="F154" s="208" t="e">
        <f>+D154*E154</f>
        <v>#REF!</v>
      </c>
      <c r="H154" s="1189">
        <f>+F8</f>
        <v>0</v>
      </c>
      <c r="I154" s="1190">
        <v>1.5</v>
      </c>
      <c r="J154" s="1189">
        <f>+H154*I154</f>
        <v>0</v>
      </c>
    </row>
    <row r="155" spans="1:189" s="176" customFormat="1">
      <c r="A155" s="1449" t="e">
        <f>+#REF!</f>
        <v>#REF!</v>
      </c>
      <c r="B155" s="1614" t="e">
        <f>+#REF!</f>
        <v>#REF!</v>
      </c>
      <c r="C155" s="1475"/>
      <c r="D155" s="210"/>
      <c r="E155" s="161"/>
      <c r="F155" s="204"/>
      <c r="H155" s="1189"/>
      <c r="I155" s="1190"/>
      <c r="J155" s="1189"/>
    </row>
    <row r="156" spans="1:189" s="176" customFormat="1">
      <c r="A156" s="956" t="e">
        <f>+#REF!</f>
        <v>#REF!</v>
      </c>
      <c r="B156" s="230" t="e">
        <f>+#REF!</f>
        <v>#REF!</v>
      </c>
      <c r="C156" s="235" t="e">
        <f>#REF!</f>
        <v>#REF!</v>
      </c>
      <c r="D156" s="235">
        <f>+(45)</f>
        <v>45</v>
      </c>
      <c r="E156" s="140" t="e">
        <f>#REF!</f>
        <v>#REF!</v>
      </c>
      <c r="F156" s="314" t="e">
        <f>+D156*E156</f>
        <v>#REF!</v>
      </c>
      <c r="H156" s="1189"/>
      <c r="I156" s="1190"/>
      <c r="J156" s="1189"/>
    </row>
    <row r="157" spans="1:189" s="176" customFormat="1">
      <c r="A157" s="785" t="e">
        <f>+#REF!</f>
        <v>#REF!</v>
      </c>
      <c r="B157" s="786" t="e">
        <f>+#REF!</f>
        <v>#REF!</v>
      </c>
      <c r="C157" s="235" t="e">
        <f>#REF!</f>
        <v>#REF!</v>
      </c>
      <c r="D157" s="140">
        <f>4*0</f>
        <v>0</v>
      </c>
      <c r="E157" s="140" t="e">
        <f>#REF!</f>
        <v>#REF!</v>
      </c>
      <c r="F157" s="314" t="e">
        <f>+D157*E157</f>
        <v>#REF!</v>
      </c>
      <c r="H157" s="1189"/>
      <c r="I157" s="1190"/>
      <c r="J157" s="1189"/>
    </row>
    <row r="158" spans="1:189">
      <c r="A158" s="1449" t="e">
        <f>+#REF!</f>
        <v>#REF!</v>
      </c>
      <c r="B158" s="1614" t="e">
        <f>+#REF!</f>
        <v>#REF!</v>
      </c>
      <c r="C158" s="161"/>
      <c r="D158" s="161"/>
      <c r="E158" s="161"/>
      <c r="F158" s="161"/>
    </row>
    <row r="159" spans="1:189">
      <c r="A159" s="1627"/>
      <c r="B159" s="184"/>
      <c r="C159" s="1552" t="e">
        <f>#REF!</f>
        <v>#REF!</v>
      </c>
      <c r="D159" s="185">
        <f>J159</f>
        <v>5891</v>
      </c>
      <c r="E159" s="185" t="e">
        <f>#REF!</f>
        <v>#REF!</v>
      </c>
      <c r="F159" s="185" t="e">
        <f>+D159*E159</f>
        <v>#REF!</v>
      </c>
      <c r="H159" s="1144">
        <f>2115+ (2*5+4*2)*3*60</f>
        <v>5355</v>
      </c>
      <c r="I159" s="1145">
        <v>1.1000000000000001</v>
      </c>
      <c r="J159" s="1144">
        <f>ROUND(H159*I159,0)</f>
        <v>5891</v>
      </c>
    </row>
    <row r="160" spans="1:189">
      <c r="A160" s="1449" t="e">
        <f>+#REF!</f>
        <v>#REF!</v>
      </c>
      <c r="B160" s="1614" t="e">
        <f>+#REF!</f>
        <v>#REF!</v>
      </c>
      <c r="C160" s="1475"/>
      <c r="D160" s="161"/>
      <c r="E160" s="161"/>
      <c r="F160" s="161"/>
    </row>
    <row r="161" spans="1:11">
      <c r="A161" s="1627"/>
      <c r="B161" s="184"/>
      <c r="C161" s="1552" t="e">
        <f>#REF!</f>
        <v>#REF!</v>
      </c>
      <c r="D161" s="185">
        <f>+J161</f>
        <v>501.6</v>
      </c>
      <c r="E161" s="185" t="e">
        <f>#REF!</f>
        <v>#REF!</v>
      </c>
      <c r="F161" s="185" t="e">
        <f>+D161*E161</f>
        <v>#REF!</v>
      </c>
      <c r="H161" s="1144">
        <f>0.2*20*(20+10)*2+0.2*18*60</f>
        <v>456</v>
      </c>
      <c r="I161" s="1145">
        <v>1.1000000000000001</v>
      </c>
      <c r="J161" s="1144">
        <f>+H161*I161</f>
        <v>501.6</v>
      </c>
    </row>
    <row r="162" spans="1:11" s="1146" customFormat="1" ht="30" customHeight="1">
      <c r="A162" s="1449" t="e">
        <f>+#REF!</f>
        <v>#REF!</v>
      </c>
      <c r="B162" s="1614" t="e">
        <f>+#REF!</f>
        <v>#REF!</v>
      </c>
      <c r="C162" s="1475"/>
      <c r="D162" s="161"/>
      <c r="E162" s="161"/>
      <c r="F162" s="161"/>
      <c r="G162" s="44"/>
      <c r="H162" s="1144"/>
      <c r="I162" s="1145"/>
      <c r="J162" s="1144"/>
      <c r="K162" s="1146">
        <f>10*7*2</f>
        <v>140</v>
      </c>
    </row>
    <row r="163" spans="1:11" s="1146" customFormat="1">
      <c r="A163" s="1627"/>
      <c r="B163" s="184"/>
      <c r="C163" s="1552" t="e">
        <f>#REF!</f>
        <v>#REF!</v>
      </c>
      <c r="D163" s="185">
        <v>1</v>
      </c>
      <c r="E163" s="185" t="e">
        <f>#REF!</f>
        <v>#REF!</v>
      </c>
      <c r="F163" s="185" t="e">
        <f>+D163*E163</f>
        <v>#REF!</v>
      </c>
      <c r="G163" s="44"/>
      <c r="H163" s="1144"/>
      <c r="I163" s="1145"/>
      <c r="J163" s="1144"/>
    </row>
    <row r="164" spans="1:11" s="1146" customFormat="1" ht="18.75">
      <c r="A164" s="1113"/>
      <c r="B164" s="926"/>
      <c r="C164" s="1608"/>
      <c r="D164" s="636"/>
      <c r="E164" s="1609" t="s">
        <v>112</v>
      </c>
      <c r="F164" s="1122" t="e">
        <f>SUM(F152:F163)</f>
        <v>#REF!</v>
      </c>
      <c r="G164" s="44"/>
      <c r="H164" s="1144"/>
      <c r="I164" s="1145"/>
      <c r="J164" s="1144"/>
    </row>
    <row r="165" spans="1:11" s="1146" customFormat="1" ht="15" customHeight="1">
      <c r="A165" s="1113"/>
      <c r="B165" s="926"/>
      <c r="C165" s="926"/>
      <c r="D165" s="1114"/>
      <c r="E165" s="1115"/>
      <c r="F165" s="1115"/>
      <c r="G165" s="44"/>
      <c r="H165" s="1144"/>
      <c r="I165" s="1145"/>
      <c r="J165" s="1144"/>
    </row>
    <row r="166" spans="1:11" s="1146" customFormat="1" ht="24.95" customHeight="1">
      <c r="A166" s="1113"/>
      <c r="B166" s="926"/>
      <c r="C166" s="1608"/>
      <c r="D166" s="636"/>
      <c r="E166" s="1609" t="s">
        <v>733</v>
      </c>
      <c r="F166" s="1122" t="e">
        <f>+F65+F76+F106+F149+F164</f>
        <v>#REF!</v>
      </c>
      <c r="G166" s="44"/>
      <c r="H166" s="1144"/>
      <c r="I166" s="1145"/>
      <c r="J166" s="1144"/>
    </row>
    <row r="167" spans="1:11" s="1146" customFormat="1" ht="15" customHeight="1">
      <c r="A167" s="1113"/>
      <c r="B167" s="926"/>
      <c r="C167" s="926"/>
      <c r="D167" s="926"/>
      <c r="E167" s="926"/>
      <c r="F167" s="926"/>
      <c r="G167" s="44"/>
      <c r="H167" s="1144"/>
      <c r="I167" s="1145"/>
      <c r="J167" s="1144"/>
    </row>
    <row r="168" spans="1:11" s="1146" customFormat="1" ht="24.95" customHeight="1">
      <c r="A168" s="1113"/>
      <c r="B168" s="926"/>
      <c r="C168" s="1608"/>
      <c r="D168" s="636"/>
      <c r="E168" s="1609" t="s">
        <v>419</v>
      </c>
      <c r="F168" s="1122" t="e">
        <f>F166+F41</f>
        <v>#REF!</v>
      </c>
      <c r="G168" s="1193" t="e">
        <f>+F168-F39</f>
        <v>#REF!</v>
      </c>
      <c r="H168" s="1144"/>
      <c r="I168" s="1145"/>
      <c r="J168" s="1144"/>
    </row>
    <row r="171" spans="1:11" s="1146" customFormat="1">
      <c r="A171" s="1194"/>
      <c r="B171" s="176"/>
      <c r="C171" s="176"/>
      <c r="D171" s="176"/>
      <c r="E171" s="176"/>
      <c r="F171" s="1195"/>
      <c r="G171" s="1196">
        <v>6491945265.0130939</v>
      </c>
      <c r="H171" s="1144"/>
      <c r="I171" s="1145"/>
      <c r="J171" s="1144"/>
    </row>
    <row r="173" spans="1:11" s="1146" customFormat="1">
      <c r="A173" s="1194"/>
      <c r="B173" s="176"/>
      <c r="C173" s="176"/>
      <c r="D173" s="176"/>
      <c r="E173" s="176"/>
      <c r="F173" s="176"/>
      <c r="G173" s="44"/>
      <c r="H173" s="1144"/>
      <c r="I173" s="1145"/>
      <c r="J173" s="1144">
        <f>18500*17</f>
        <v>314500</v>
      </c>
    </row>
    <row r="177" spans="1:48" s="1146" customFormat="1">
      <c r="A177" s="1194"/>
      <c r="B177" s="176"/>
      <c r="C177" s="176"/>
      <c r="D177" s="176"/>
      <c r="E177" s="176"/>
      <c r="F177" s="176"/>
      <c r="G177" s="44"/>
      <c r="H177" s="1144"/>
      <c r="I177" s="1145"/>
      <c r="J177" s="1144"/>
      <c r="AV177" s="1146">
        <v>46200</v>
      </c>
    </row>
    <row r="178" spans="1:48" s="1146" customFormat="1" ht="15.75">
      <c r="A178" s="1105"/>
      <c r="B178" s="176"/>
      <c r="C178" s="176"/>
      <c r="D178" s="908"/>
      <c r="E178" s="908"/>
      <c r="F178" s="1197"/>
      <c r="G178" s="44"/>
      <c r="H178" s="1144"/>
      <c r="I178" s="1145"/>
      <c r="J178" s="1144"/>
    </row>
    <row r="179" spans="1:48" s="1146" customFormat="1" ht="26.25">
      <c r="A179" s="1194"/>
      <c r="B179" s="1925"/>
      <c r="C179" s="1925"/>
      <c r="D179" s="1925"/>
      <c r="E179" s="1925"/>
      <c r="F179" s="1925"/>
      <c r="G179" s="44"/>
      <c r="H179" s="1144"/>
      <c r="I179" s="1145"/>
      <c r="J179" s="1144"/>
    </row>
    <row r="192" spans="1:48" s="1146" customFormat="1">
      <c r="A192" s="1194"/>
      <c r="B192" s="176"/>
      <c r="C192" s="176"/>
      <c r="D192" s="176"/>
      <c r="E192" s="176">
        <f>18500*17</f>
        <v>314500</v>
      </c>
      <c r="F192" s="176"/>
      <c r="G192" s="44"/>
      <c r="H192" s="1144"/>
      <c r="I192" s="1145"/>
      <c r="J192" s="1144"/>
    </row>
  </sheetData>
  <mergeCells count="13">
    <mergeCell ref="A1:F1"/>
    <mergeCell ref="A2:F2"/>
    <mergeCell ref="B179:F179"/>
    <mergeCell ref="A151:F151"/>
    <mergeCell ref="A108:F108"/>
    <mergeCell ref="A78:F78"/>
    <mergeCell ref="A67:F67"/>
    <mergeCell ref="A43:F43"/>
    <mergeCell ref="A26:F26"/>
    <mergeCell ref="A19:F19"/>
    <mergeCell ref="D27:D36"/>
    <mergeCell ref="E27:E36"/>
    <mergeCell ref="F27:F36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  <rowBreaks count="1" manualBreakCount="1">
    <brk id="76" max="6" man="1"/>
  </rowBreaks>
  <colBreaks count="1" manualBreakCount="1">
    <brk id="6" max="1048575" man="1"/>
  </colBreaks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1" tint="4.9989318521683403E-2"/>
  </sheetPr>
  <dimension ref="A1:GG195"/>
  <sheetViews>
    <sheetView view="pageBreakPreview" topLeftCell="B1" zoomScaleNormal="80" zoomScaleSheetLayoutView="100" workbookViewId="0">
      <selection activeCell="F177" sqref="F177"/>
    </sheetView>
  </sheetViews>
  <sheetFormatPr baseColWidth="10" defaultColWidth="9.140625" defaultRowHeight="14.25"/>
  <cols>
    <col min="1" max="1" width="12.85546875" style="1194" customWidth="1"/>
    <col min="2" max="2" width="95.42578125" style="176" customWidth="1"/>
    <col min="3" max="3" width="12" style="176" customWidth="1"/>
    <col min="4" max="4" width="15.7109375" style="176" customWidth="1"/>
    <col min="5" max="5" width="19.85546875" style="176" customWidth="1"/>
    <col min="6" max="6" width="26" style="176" customWidth="1"/>
    <col min="7" max="7" width="18.140625" style="44" customWidth="1"/>
    <col min="8" max="8" width="16" style="1144" bestFit="1" customWidth="1"/>
    <col min="9" max="9" width="15" style="1145" bestFit="1" customWidth="1"/>
    <col min="10" max="10" width="16" style="1144" bestFit="1" customWidth="1"/>
    <col min="11" max="11" width="21.42578125" style="1146" bestFit="1" customWidth="1"/>
    <col min="12" max="12" width="18.85546875" style="1146" customWidth="1"/>
    <col min="13" max="13" width="13.7109375" style="1146" bestFit="1" customWidth="1"/>
    <col min="14" max="189" width="9.140625" style="1146"/>
    <col min="190" max="16384" width="9.140625" style="44"/>
  </cols>
  <sheetData>
    <row r="1" spans="1:11" ht="20.25" thickBot="1">
      <c r="A1" s="1912" t="e">
        <f>+#REF!</f>
        <v>#REF!</v>
      </c>
      <c r="B1" s="1913"/>
      <c r="C1" s="1913"/>
      <c r="D1" s="1913"/>
      <c r="E1" s="1913"/>
      <c r="F1" s="1914"/>
    </row>
    <row r="2" spans="1:11" ht="25.5" thickBot="1">
      <c r="A2" s="1856" t="s">
        <v>709</v>
      </c>
      <c r="B2" s="1857"/>
      <c r="C2" s="1857"/>
      <c r="D2" s="1857"/>
      <c r="E2" s="1857"/>
      <c r="F2" s="1858"/>
      <c r="G2" s="1147"/>
    </row>
    <row r="3" spans="1:11" s="1146" customFormat="1" ht="17.100000000000001" customHeight="1">
      <c r="A3" s="1105"/>
      <c r="B3" s="961"/>
      <c r="C3" s="961"/>
      <c r="D3" s="1106"/>
      <c r="E3" s="1107" t="s">
        <v>344</v>
      </c>
      <c r="F3" s="908"/>
      <c r="G3" s="44"/>
      <c r="H3" s="1144"/>
      <c r="I3" s="1145"/>
      <c r="J3" s="1144"/>
    </row>
    <row r="4" spans="1:11" s="1146" customFormat="1" ht="17.100000000000001" customHeight="1">
      <c r="A4" s="1105"/>
      <c r="B4" s="961"/>
      <c r="C4" s="961"/>
      <c r="D4" s="1106"/>
      <c r="E4" s="1107" t="s">
        <v>362</v>
      </c>
      <c r="F4" s="908">
        <f>(940-710)*0</f>
        <v>0</v>
      </c>
      <c r="G4" s="44"/>
      <c r="H4" s="1144"/>
      <c r="I4" s="1145"/>
      <c r="J4" s="1144"/>
    </row>
    <row r="5" spans="1:11" s="1146" customFormat="1" ht="17.100000000000001" customHeight="1">
      <c r="A5" s="1105"/>
      <c r="B5" s="961"/>
      <c r="C5" s="961"/>
      <c r="D5" s="1106"/>
      <c r="E5" s="1107" t="s">
        <v>349</v>
      </c>
      <c r="F5" s="908">
        <f>(925-700+(403)*2 +950*1.2)*0</f>
        <v>0</v>
      </c>
      <c r="G5" s="44"/>
      <c r="H5" s="1144"/>
      <c r="I5" s="1145"/>
      <c r="J5" s="1144"/>
    </row>
    <row r="6" spans="1:11" s="1146" customFormat="1" ht="17.100000000000001" customHeight="1">
      <c r="A6" s="1105"/>
      <c r="B6" s="961"/>
      <c r="C6" s="961"/>
      <c r="D6" s="1106"/>
      <c r="E6" s="1107" t="s">
        <v>345</v>
      </c>
      <c r="F6" s="908">
        <f>(1225-925+(400-0)+(700-400))*0.4*0</f>
        <v>0</v>
      </c>
      <c r="G6" s="44"/>
      <c r="H6" s="1144"/>
      <c r="I6" s="1145"/>
      <c r="J6" s="1144"/>
    </row>
    <row r="7" spans="1:11" s="1146" customFormat="1" ht="17.100000000000001" customHeight="1">
      <c r="A7" s="1105"/>
      <c r="B7" s="961"/>
      <c r="C7" s="961"/>
      <c r="D7" s="1106"/>
      <c r="E7" s="1107" t="s">
        <v>347</v>
      </c>
      <c r="F7" s="908">
        <f>(940-710+(150+143+120+74+42)*2+20*2*10)*0.8*0</f>
        <v>0</v>
      </c>
      <c r="G7" s="44"/>
      <c r="H7" s="1144"/>
      <c r="I7" s="1145"/>
      <c r="J7" s="1144"/>
    </row>
    <row r="8" spans="1:11" s="1146" customFormat="1" ht="17.100000000000001" customHeight="1">
      <c r="A8" s="1105"/>
      <c r="B8" s="961"/>
      <c r="C8" s="961"/>
      <c r="D8" s="1106"/>
      <c r="E8" s="1107" t="s">
        <v>346</v>
      </c>
      <c r="F8" s="908"/>
      <c r="G8" s="44"/>
      <c r="H8" s="1144"/>
      <c r="I8" s="1145"/>
      <c r="J8" s="1144"/>
      <c r="K8" s="1146">
        <f>877*25/10</f>
        <v>2192.5</v>
      </c>
    </row>
    <row r="9" spans="1:11" s="1146" customFormat="1" ht="17.100000000000001" customHeight="1">
      <c r="A9" s="1105"/>
      <c r="B9" s="961"/>
      <c r="C9" s="961"/>
      <c r="D9" s="1106"/>
      <c r="E9" s="1107" t="s">
        <v>707</v>
      </c>
      <c r="F9" s="908">
        <f>250*0</f>
        <v>0</v>
      </c>
      <c r="G9" s="44" t="s">
        <v>679</v>
      </c>
      <c r="H9" s="1144"/>
      <c r="I9" s="1145"/>
      <c r="J9" s="1144"/>
    </row>
    <row r="10" spans="1:11" s="1146" customFormat="1" ht="17.100000000000001" customHeight="1">
      <c r="A10" s="1105"/>
      <c r="B10" s="961"/>
      <c r="C10" s="961"/>
      <c r="D10" s="1106"/>
      <c r="E10" s="1107" t="s">
        <v>594</v>
      </c>
      <c r="F10" s="908">
        <v>250</v>
      </c>
      <c r="G10" s="44">
        <v>810</v>
      </c>
      <c r="H10" s="1144"/>
      <c r="I10" s="1145"/>
      <c r="J10" s="1144"/>
    </row>
    <row r="11" spans="1:11" s="1146" customFormat="1" ht="17.100000000000001" customHeight="1">
      <c r="A11" s="1105"/>
      <c r="B11" s="961"/>
      <c r="C11" s="961"/>
      <c r="D11" s="1106"/>
      <c r="E11" s="1107" t="s">
        <v>708</v>
      </c>
      <c r="F11" s="908">
        <v>150</v>
      </c>
      <c r="G11" s="44"/>
      <c r="H11" s="1144" t="s">
        <v>659</v>
      </c>
      <c r="I11" s="1145"/>
      <c r="J11" s="1144" t="s">
        <v>660</v>
      </c>
    </row>
    <row r="12" spans="1:11" s="1146" customFormat="1" ht="17.100000000000001" customHeight="1">
      <c r="A12" s="1105"/>
      <c r="B12" s="961"/>
      <c r="C12" s="961"/>
      <c r="D12" s="1106"/>
      <c r="E12" s="1107" t="s">
        <v>671</v>
      </c>
      <c r="F12" s="908">
        <f>(1525-1135)*0</f>
        <v>0</v>
      </c>
      <c r="G12" s="44"/>
      <c r="H12" s="1144"/>
      <c r="I12" s="1145">
        <f>840/30</f>
        <v>28</v>
      </c>
      <c r="J12" s="1144"/>
    </row>
    <row r="13" spans="1:11" s="1146" customFormat="1" ht="17.100000000000001" customHeight="1">
      <c r="A13" s="1105"/>
      <c r="B13" s="961"/>
      <c r="C13" s="961"/>
      <c r="D13" s="1106"/>
      <c r="E13" s="1107" t="s">
        <v>657</v>
      </c>
      <c r="F13" s="908"/>
      <c r="G13" s="44">
        <v>9.84</v>
      </c>
      <c r="H13" s="1144">
        <f>+F13*G13</f>
        <v>0</v>
      </c>
      <c r="I13" s="1145">
        <v>4</v>
      </c>
      <c r="J13" s="1144">
        <f>+F13*I13</f>
        <v>0</v>
      </c>
    </row>
    <row r="14" spans="1:11" s="1146" customFormat="1" ht="17.100000000000001" customHeight="1">
      <c r="A14" s="1105"/>
      <c r="B14" s="961"/>
      <c r="C14" s="961"/>
      <c r="D14" s="1106"/>
      <c r="E14" s="1107" t="s">
        <v>658</v>
      </c>
      <c r="F14" s="908"/>
      <c r="G14" s="44">
        <v>9.84</v>
      </c>
      <c r="H14" s="1144">
        <f t="shared" ref="H14:H17" si="0">+F14*G14</f>
        <v>0</v>
      </c>
      <c r="I14" s="1145">
        <v>5</v>
      </c>
      <c r="J14" s="1144">
        <f t="shared" ref="J14:J20" si="1">+F14*I14</f>
        <v>0</v>
      </c>
    </row>
    <row r="15" spans="1:11" s="1146" customFormat="1" ht="17.100000000000001" customHeight="1">
      <c r="A15" s="1105"/>
      <c r="B15" s="961"/>
      <c r="C15" s="961"/>
      <c r="D15" s="1106"/>
      <c r="E15" s="1107" t="s">
        <v>352</v>
      </c>
      <c r="F15" s="908">
        <f>700*0</f>
        <v>0</v>
      </c>
      <c r="G15" s="44">
        <v>9.84</v>
      </c>
      <c r="H15" s="1144">
        <f t="shared" si="0"/>
        <v>0</v>
      </c>
      <c r="I15" s="1145">
        <v>3.5</v>
      </c>
      <c r="J15" s="1144">
        <f t="shared" si="1"/>
        <v>0</v>
      </c>
    </row>
    <row r="16" spans="1:11" s="1146" customFormat="1" ht="17.100000000000001" customHeight="1">
      <c r="A16" s="1105"/>
      <c r="B16" s="961"/>
      <c r="C16" s="961"/>
      <c r="D16" s="1106"/>
      <c r="E16" s="1107" t="s">
        <v>350</v>
      </c>
      <c r="F16" s="908"/>
      <c r="G16" s="44">
        <v>11.84</v>
      </c>
      <c r="H16" s="1144">
        <f t="shared" si="0"/>
        <v>0</v>
      </c>
      <c r="I16" s="1145">
        <f>20-11-2</f>
        <v>7</v>
      </c>
      <c r="J16" s="1144">
        <f t="shared" si="1"/>
        <v>0</v>
      </c>
    </row>
    <row r="17" spans="1:189" s="1146" customFormat="1" ht="17.100000000000001" customHeight="1">
      <c r="A17" s="1105"/>
      <c r="B17" s="961"/>
      <c r="C17" s="961"/>
      <c r="D17" s="1106"/>
      <c r="E17" s="1107" t="s">
        <v>351</v>
      </c>
      <c r="F17" s="908"/>
      <c r="G17" s="44">
        <v>9.84</v>
      </c>
      <c r="H17" s="1144">
        <f t="shared" si="0"/>
        <v>0</v>
      </c>
      <c r="I17" s="1145">
        <f>2*2</f>
        <v>4</v>
      </c>
      <c r="J17" s="1144">
        <f t="shared" si="1"/>
        <v>0</v>
      </c>
    </row>
    <row r="18" spans="1:189" s="1146" customFormat="1" ht="24" customHeight="1">
      <c r="A18" s="1607" t="s">
        <v>661</v>
      </c>
      <c r="B18" s="1607" t="s">
        <v>584</v>
      </c>
      <c r="C18" s="1607" t="s">
        <v>98</v>
      </c>
      <c r="D18" s="1607" t="s">
        <v>99</v>
      </c>
      <c r="E18" s="1592" t="s">
        <v>100</v>
      </c>
      <c r="F18" s="1592" t="s">
        <v>680</v>
      </c>
      <c r="G18" s="44"/>
      <c r="H18" s="1144">
        <f>SUM(H13:H17)</f>
        <v>0</v>
      </c>
      <c r="I18" s="1145"/>
      <c r="J18" s="1144">
        <f>SUM(J13:J17)</f>
        <v>0</v>
      </c>
    </row>
    <row r="19" spans="1:189" s="1317" customFormat="1" ht="24.95" customHeight="1">
      <c r="A19" s="1905" t="e">
        <f>+#REF!</f>
        <v>#REF!</v>
      </c>
      <c r="B19" s="1906"/>
      <c r="C19" s="1906"/>
      <c r="D19" s="1906"/>
      <c r="E19" s="1906"/>
      <c r="F19" s="1907"/>
      <c r="H19" s="1317">
        <f>+H18+9.84*20*(50-35)</f>
        <v>2952</v>
      </c>
      <c r="J19" s="1317">
        <f>+J18+3*2*F15</f>
        <v>0</v>
      </c>
    </row>
    <row r="20" spans="1:189" s="1152" customFormat="1" ht="30" customHeight="1">
      <c r="A20" s="1610" t="e">
        <f>+#REF!</f>
        <v>#REF!</v>
      </c>
      <c r="B20" s="1611" t="e">
        <f>+#REF!</f>
        <v>#REF!</v>
      </c>
      <c r="C20" s="809"/>
      <c r="D20" s="712"/>
      <c r="E20" s="1613"/>
      <c r="F20" s="650"/>
      <c r="G20" s="1149"/>
      <c r="H20" s="1150"/>
      <c r="I20" s="1151"/>
      <c r="J20" s="1150">
        <f t="shared" si="1"/>
        <v>0</v>
      </c>
    </row>
    <row r="21" spans="1:189" s="1152" customFormat="1" ht="15.95" customHeight="1">
      <c r="A21" s="1418"/>
      <c r="B21" s="467"/>
      <c r="C21" s="714" t="e">
        <f>#REF!</f>
        <v>#REF!</v>
      </c>
      <c r="D21" s="714">
        <v>1</v>
      </c>
      <c r="E21" s="547" t="e">
        <f>J21</f>
        <v>#REF!</v>
      </c>
      <c r="F21" s="547" t="e">
        <f>+D21*E21</f>
        <v>#REF!</v>
      </c>
      <c r="G21" s="1149"/>
      <c r="H21" s="1153" t="e">
        <f>+F169*0.12</f>
        <v>#REF!</v>
      </c>
      <c r="I21" s="1151">
        <v>1</v>
      </c>
      <c r="J21" s="1150" t="e">
        <f>H21*I21</f>
        <v>#REF!</v>
      </c>
    </row>
    <row r="22" spans="1:189" s="1152" customFormat="1" ht="15.95" customHeight="1">
      <c r="A22" s="1511"/>
      <c r="B22" s="1616" t="e">
        <f>+#REF!</f>
        <v>#REF!</v>
      </c>
      <c r="C22" s="809"/>
      <c r="D22" s="712"/>
      <c r="E22" s="650"/>
      <c r="F22" s="650"/>
      <c r="G22" s="1149"/>
      <c r="H22" s="1153"/>
      <c r="I22" s="1151"/>
      <c r="J22" s="1150"/>
    </row>
    <row r="23" spans="1:189" s="1152" customFormat="1" ht="15.95" customHeight="1">
      <c r="A23" s="1511"/>
      <c r="B23" s="1616"/>
      <c r="C23" s="809" t="s">
        <v>205</v>
      </c>
      <c r="D23" s="712">
        <v>1600</v>
      </c>
      <c r="E23" s="650" t="e">
        <f>+'L _traversée'!E10</f>
        <v>#REF!</v>
      </c>
      <c r="F23" s="650" t="e">
        <f>+D23*E23</f>
        <v>#REF!</v>
      </c>
      <c r="G23" s="1149"/>
      <c r="H23" s="1153"/>
      <c r="I23" s="1151"/>
      <c r="J23" s="1150"/>
    </row>
    <row r="24" spans="1:189" s="1152" customFormat="1">
      <c r="A24" s="649" t="e">
        <f>+#REF!</f>
        <v>#REF!</v>
      </c>
      <c r="B24" s="1541" t="e">
        <f>+#REF!</f>
        <v>#REF!</v>
      </c>
      <c r="C24" s="1138"/>
      <c r="D24" s="543"/>
      <c r="E24" s="544"/>
      <c r="F24" s="544"/>
      <c r="G24" s="1149"/>
      <c r="H24" s="1150"/>
      <c r="I24" s="1151"/>
      <c r="J24" s="1150"/>
    </row>
    <row r="25" spans="1:189" s="1152" customFormat="1">
      <c r="A25" s="1418"/>
      <c r="B25" s="1612"/>
      <c r="C25" s="714" t="e">
        <f>#REF!</f>
        <v>#REF!</v>
      </c>
      <c r="D25" s="714">
        <v>1</v>
      </c>
      <c r="E25" s="547" t="e">
        <f>+H25</f>
        <v>#REF!</v>
      </c>
      <c r="F25" s="547" t="e">
        <f>+D25*E25</f>
        <v>#REF!</v>
      </c>
      <c r="G25" s="1149"/>
      <c r="H25" s="1150" t="e">
        <f>+F21*0.25</f>
        <v>#REF!</v>
      </c>
      <c r="I25" s="1151">
        <v>1.1000000000000001</v>
      </c>
      <c r="J25" s="1150" t="e">
        <f>H25*I25</f>
        <v>#REF!</v>
      </c>
    </row>
    <row r="26" spans="1:189" s="1152" customFormat="1" ht="18.75">
      <c r="A26" s="1120"/>
      <c r="B26" s="1121"/>
      <c r="C26" s="1608"/>
      <c r="D26" s="636"/>
      <c r="E26" s="1609" t="s">
        <v>108</v>
      </c>
      <c r="F26" s="1122" t="e">
        <f>SUM(F20:F25)</f>
        <v>#REF!</v>
      </c>
      <c r="G26" s="1149"/>
      <c r="H26" s="1150">
        <f>SUM(F13:F17)</f>
        <v>0</v>
      </c>
      <c r="I26" s="1151"/>
      <c r="J26" s="1150"/>
    </row>
    <row r="27" spans="1:189" s="1146" customFormat="1">
      <c r="A27" s="1113"/>
      <c r="B27" s="926"/>
      <c r="C27" s="926"/>
      <c r="D27" s="1114"/>
      <c r="E27" s="1115"/>
      <c r="F27" s="1115"/>
      <c r="G27" s="44"/>
      <c r="H27" s="1144"/>
      <c r="I27" s="1145"/>
      <c r="J27" s="1144"/>
    </row>
    <row r="28" spans="1:189" s="1146" customFormat="1" ht="24.95" customHeight="1">
      <c r="A28" s="1905" t="e">
        <f>+#REF!</f>
        <v>#REF!</v>
      </c>
      <c r="B28" s="1906"/>
      <c r="C28" s="1906"/>
      <c r="D28" s="1906"/>
      <c r="E28" s="1906"/>
      <c r="F28" s="1907"/>
      <c r="G28" s="44"/>
      <c r="H28" s="1144"/>
      <c r="I28" s="1145"/>
      <c r="J28" s="1144"/>
    </row>
    <row r="29" spans="1:189" s="1146" customFormat="1">
      <c r="A29" s="745" t="e">
        <f>+#REF!</f>
        <v>#REF!</v>
      </c>
      <c r="B29" s="768" t="e">
        <f>+#REF!</f>
        <v>#REF!</v>
      </c>
      <c r="C29" s="1136"/>
      <c r="D29" s="1926">
        <v>1</v>
      </c>
      <c r="E29" s="1926">
        <v>200000000</v>
      </c>
      <c r="F29" s="1926">
        <f>+D29*E29</f>
        <v>200000000</v>
      </c>
      <c r="H29" s="1144"/>
      <c r="I29" s="1145"/>
      <c r="J29" s="1144"/>
      <c r="N29" s="1146">
        <f>1.7*3</f>
        <v>5.0999999999999996</v>
      </c>
    </row>
    <row r="30" spans="1:189" s="1146" customFormat="1">
      <c r="A30" s="1418"/>
      <c r="B30" s="715"/>
      <c r="C30" s="1480" t="e">
        <f>#REF!</f>
        <v>#REF!</v>
      </c>
      <c r="D30" s="1927"/>
      <c r="E30" s="1927"/>
      <c r="F30" s="1927"/>
      <c r="G30" s="1154" t="e">
        <f>+#REF!</f>
        <v>#REF!</v>
      </c>
      <c r="H30" s="1144" t="e">
        <f>+F169</f>
        <v>#REF!</v>
      </c>
      <c r="I30" s="44">
        <v>0.02</v>
      </c>
      <c r="J30" s="1144"/>
    </row>
    <row r="31" spans="1:189" s="1158" customFormat="1">
      <c r="A31" s="745" t="e">
        <f>+#REF!</f>
        <v>#REF!</v>
      </c>
      <c r="B31" s="768" t="e">
        <f>+#REF!</f>
        <v>#REF!</v>
      </c>
      <c r="C31" s="1137"/>
      <c r="D31" s="1927"/>
      <c r="E31" s="1927"/>
      <c r="F31" s="1927"/>
      <c r="G31" s="1154"/>
      <c r="H31" s="1155"/>
      <c r="I31" s="1156"/>
      <c r="J31" s="1155"/>
      <c r="K31" s="1157"/>
      <c r="L31" s="1157"/>
      <c r="M31" s="1157"/>
      <c r="N31" s="1157"/>
      <c r="O31" s="1157"/>
      <c r="P31" s="1157"/>
      <c r="Q31" s="1157"/>
      <c r="R31" s="1157"/>
      <c r="S31" s="1157"/>
      <c r="T31" s="1157"/>
      <c r="U31" s="1157"/>
      <c r="V31" s="1157"/>
      <c r="W31" s="1157"/>
      <c r="X31" s="1157"/>
      <c r="Y31" s="1157"/>
      <c r="Z31" s="1157"/>
      <c r="AA31" s="1157"/>
      <c r="AB31" s="1157"/>
      <c r="AC31" s="1157"/>
      <c r="AD31" s="1157"/>
      <c r="AE31" s="1157"/>
      <c r="AF31" s="1157"/>
      <c r="AG31" s="1157"/>
      <c r="AH31" s="1157"/>
      <c r="AI31" s="1157"/>
      <c r="AJ31" s="1157"/>
      <c r="AK31" s="1157"/>
      <c r="AL31" s="1157"/>
      <c r="AM31" s="1157"/>
      <c r="AN31" s="1157"/>
      <c r="AO31" s="1157"/>
      <c r="AP31" s="1157"/>
      <c r="AQ31" s="1157"/>
      <c r="AR31" s="1157"/>
      <c r="AS31" s="1157"/>
      <c r="AT31" s="1157"/>
      <c r="AU31" s="1157"/>
      <c r="AV31" s="1157"/>
      <c r="AW31" s="1157"/>
      <c r="AX31" s="1157"/>
      <c r="AY31" s="1157"/>
      <c r="AZ31" s="1157"/>
      <c r="BA31" s="1157"/>
      <c r="BB31" s="1157"/>
      <c r="BC31" s="1157"/>
      <c r="BD31" s="1157"/>
      <c r="BE31" s="1157"/>
      <c r="BF31" s="1157"/>
      <c r="BG31" s="1157"/>
      <c r="BH31" s="1157"/>
      <c r="BI31" s="1157"/>
      <c r="BJ31" s="1157"/>
      <c r="BK31" s="1157"/>
      <c r="BL31" s="1157"/>
      <c r="BM31" s="1157"/>
      <c r="BN31" s="1157"/>
      <c r="BO31" s="1157"/>
      <c r="BP31" s="1157"/>
      <c r="BQ31" s="1157"/>
      <c r="BR31" s="1157"/>
      <c r="BS31" s="1157"/>
      <c r="BT31" s="1157"/>
      <c r="BU31" s="1157"/>
      <c r="BV31" s="1157"/>
      <c r="BW31" s="1157"/>
      <c r="BX31" s="1157"/>
      <c r="BY31" s="1157"/>
      <c r="BZ31" s="1157"/>
      <c r="CA31" s="1157"/>
      <c r="CB31" s="1157"/>
      <c r="CC31" s="1157"/>
      <c r="CD31" s="1157"/>
      <c r="CE31" s="1157"/>
      <c r="CF31" s="1157"/>
      <c r="CG31" s="1157"/>
      <c r="CH31" s="1157"/>
      <c r="CI31" s="1157"/>
      <c r="CJ31" s="1157"/>
      <c r="CK31" s="1157"/>
      <c r="CL31" s="1157"/>
      <c r="CM31" s="1157"/>
      <c r="CN31" s="1157"/>
      <c r="CO31" s="1157"/>
      <c r="CP31" s="1157"/>
      <c r="CQ31" s="1157"/>
      <c r="CR31" s="1157"/>
      <c r="CS31" s="1157"/>
      <c r="CT31" s="1157"/>
      <c r="CU31" s="1157"/>
      <c r="CV31" s="1157"/>
      <c r="CW31" s="1157"/>
      <c r="CX31" s="1157"/>
      <c r="CY31" s="1157"/>
      <c r="CZ31" s="1157"/>
      <c r="DA31" s="1157"/>
      <c r="DB31" s="1157"/>
      <c r="DC31" s="1157"/>
      <c r="DD31" s="1157"/>
      <c r="DE31" s="1157"/>
      <c r="DF31" s="1157"/>
      <c r="DG31" s="1157"/>
      <c r="DH31" s="1157"/>
      <c r="DI31" s="1157"/>
      <c r="DJ31" s="1157"/>
      <c r="DK31" s="1157"/>
      <c r="DL31" s="1157"/>
      <c r="DM31" s="1157"/>
      <c r="DN31" s="1157"/>
      <c r="DO31" s="1157"/>
      <c r="DP31" s="1157"/>
      <c r="DQ31" s="1157"/>
      <c r="DR31" s="1157"/>
      <c r="DS31" s="1157"/>
      <c r="DT31" s="1157"/>
      <c r="DU31" s="1157"/>
      <c r="DV31" s="1157"/>
      <c r="DW31" s="1157"/>
      <c r="DX31" s="1157"/>
      <c r="DY31" s="1157"/>
      <c r="DZ31" s="1157"/>
      <c r="EA31" s="1157"/>
      <c r="EB31" s="1157"/>
      <c r="EC31" s="1157"/>
      <c r="ED31" s="1157"/>
      <c r="EE31" s="1157"/>
      <c r="EF31" s="1157"/>
      <c r="EG31" s="1157"/>
      <c r="EH31" s="1157"/>
      <c r="EI31" s="1157"/>
      <c r="EJ31" s="1157"/>
      <c r="EK31" s="1157"/>
      <c r="EL31" s="1157"/>
      <c r="EM31" s="1157"/>
      <c r="EN31" s="1157"/>
      <c r="EO31" s="1157"/>
      <c r="EP31" s="1157"/>
      <c r="EQ31" s="1157"/>
      <c r="ER31" s="1157"/>
      <c r="ES31" s="1157"/>
      <c r="ET31" s="1157"/>
      <c r="EU31" s="1157"/>
      <c r="EV31" s="1157"/>
      <c r="EW31" s="1157"/>
      <c r="EX31" s="1157"/>
      <c r="EY31" s="1157"/>
      <c r="EZ31" s="1157"/>
      <c r="FA31" s="1157"/>
      <c r="FB31" s="1157"/>
      <c r="FC31" s="1157"/>
      <c r="FD31" s="1157"/>
      <c r="FE31" s="1157"/>
      <c r="FF31" s="1157"/>
      <c r="FG31" s="1157"/>
      <c r="FH31" s="1157"/>
      <c r="FI31" s="1157"/>
      <c r="FJ31" s="1157"/>
      <c r="FK31" s="1157"/>
      <c r="FL31" s="1157"/>
      <c r="FM31" s="1157"/>
      <c r="FN31" s="1157"/>
      <c r="FO31" s="1157"/>
      <c r="FP31" s="1157"/>
      <c r="FQ31" s="1157"/>
      <c r="FR31" s="1157"/>
      <c r="FS31" s="1157"/>
      <c r="FT31" s="1157"/>
      <c r="FU31" s="1157"/>
      <c r="FV31" s="1157"/>
      <c r="FW31" s="1157"/>
      <c r="FX31" s="1157"/>
      <c r="FY31" s="1157"/>
      <c r="FZ31" s="1157"/>
      <c r="GA31" s="1157"/>
      <c r="GB31" s="1157"/>
      <c r="GC31" s="1157"/>
      <c r="GD31" s="1157"/>
      <c r="GE31" s="1157"/>
      <c r="GF31" s="1157"/>
      <c r="GG31" s="1157"/>
    </row>
    <row r="32" spans="1:189" s="1158" customFormat="1">
      <c r="A32" s="1418"/>
      <c r="B32" s="715"/>
      <c r="C32" s="1481" t="e">
        <f>#REF!</f>
        <v>#REF!</v>
      </c>
      <c r="D32" s="1927"/>
      <c r="E32" s="1927"/>
      <c r="F32" s="1927"/>
      <c r="G32" s="1154" t="e">
        <f t="shared" ref="G32" si="2">+H32*I32</f>
        <v>#REF!</v>
      </c>
      <c r="H32" s="1155" t="e">
        <f>+H30</f>
        <v>#REF!</v>
      </c>
      <c r="I32" s="1156">
        <v>0.02</v>
      </c>
      <c r="J32" s="1155" t="e">
        <f>H32*I32</f>
        <v>#REF!</v>
      </c>
      <c r="K32" s="1157"/>
      <c r="L32" s="1157"/>
      <c r="M32" s="1157"/>
      <c r="N32" s="1157"/>
      <c r="O32" s="1157"/>
      <c r="P32" s="1157"/>
      <c r="Q32" s="1157"/>
      <c r="R32" s="1157"/>
      <c r="S32" s="1157"/>
      <c r="T32" s="1157"/>
      <c r="U32" s="1157"/>
      <c r="V32" s="1157"/>
      <c r="W32" s="1157"/>
      <c r="X32" s="1157"/>
      <c r="Y32" s="1157"/>
      <c r="Z32" s="1157"/>
      <c r="AA32" s="1157"/>
      <c r="AB32" s="1157"/>
      <c r="AC32" s="1157"/>
      <c r="AD32" s="1157"/>
      <c r="AE32" s="1157"/>
      <c r="AF32" s="1157"/>
      <c r="AG32" s="1157"/>
      <c r="AH32" s="1157"/>
      <c r="AI32" s="1157"/>
      <c r="AJ32" s="1157"/>
      <c r="AK32" s="1157"/>
      <c r="AL32" s="1157"/>
      <c r="AM32" s="1157"/>
      <c r="AN32" s="1157"/>
      <c r="AO32" s="1157"/>
      <c r="AP32" s="1157"/>
      <c r="AQ32" s="1157"/>
      <c r="AR32" s="1157"/>
      <c r="AS32" s="1157"/>
      <c r="AT32" s="1157"/>
      <c r="AU32" s="1157"/>
      <c r="AV32" s="1157"/>
      <c r="AW32" s="1157"/>
      <c r="AX32" s="1157"/>
      <c r="AY32" s="1157"/>
      <c r="AZ32" s="1157"/>
      <c r="BA32" s="1157"/>
      <c r="BB32" s="1157"/>
      <c r="BC32" s="1157"/>
      <c r="BD32" s="1157"/>
      <c r="BE32" s="1157"/>
      <c r="BF32" s="1157"/>
      <c r="BG32" s="1157"/>
      <c r="BH32" s="1157"/>
      <c r="BI32" s="1157"/>
      <c r="BJ32" s="1157"/>
      <c r="BK32" s="1157"/>
      <c r="BL32" s="1157"/>
      <c r="BM32" s="1157"/>
      <c r="BN32" s="1157"/>
      <c r="BO32" s="1157"/>
      <c r="BP32" s="1157"/>
      <c r="BQ32" s="1157"/>
      <c r="BR32" s="1157"/>
      <c r="BS32" s="1157"/>
      <c r="BT32" s="1157"/>
      <c r="BU32" s="1157"/>
      <c r="BV32" s="1157"/>
      <c r="BW32" s="1157"/>
      <c r="BX32" s="1157"/>
      <c r="BY32" s="1157"/>
      <c r="BZ32" s="1157"/>
      <c r="CA32" s="1157"/>
      <c r="CB32" s="1157"/>
      <c r="CC32" s="1157"/>
      <c r="CD32" s="1157"/>
      <c r="CE32" s="1157"/>
      <c r="CF32" s="1157"/>
      <c r="CG32" s="1157"/>
      <c r="CH32" s="1157"/>
      <c r="CI32" s="1157"/>
      <c r="CJ32" s="1157"/>
      <c r="CK32" s="1157"/>
      <c r="CL32" s="1157"/>
      <c r="CM32" s="1157"/>
      <c r="CN32" s="1157"/>
      <c r="CO32" s="1157"/>
      <c r="CP32" s="1157"/>
      <c r="CQ32" s="1157"/>
      <c r="CR32" s="1157"/>
      <c r="CS32" s="1157"/>
      <c r="CT32" s="1157"/>
      <c r="CU32" s="1157"/>
      <c r="CV32" s="1157"/>
      <c r="CW32" s="1157"/>
      <c r="CX32" s="1157"/>
      <c r="CY32" s="1157"/>
      <c r="CZ32" s="1157"/>
      <c r="DA32" s="1157"/>
      <c r="DB32" s="1157"/>
      <c r="DC32" s="1157"/>
      <c r="DD32" s="1157"/>
      <c r="DE32" s="1157"/>
      <c r="DF32" s="1157"/>
      <c r="DG32" s="1157"/>
      <c r="DH32" s="1157"/>
      <c r="DI32" s="1157"/>
      <c r="DJ32" s="1157"/>
      <c r="DK32" s="1157"/>
      <c r="DL32" s="1157"/>
      <c r="DM32" s="1157"/>
      <c r="DN32" s="1157"/>
      <c r="DO32" s="1157"/>
      <c r="DP32" s="1157"/>
      <c r="DQ32" s="1157"/>
      <c r="DR32" s="1157"/>
      <c r="DS32" s="1157"/>
      <c r="DT32" s="1157"/>
      <c r="DU32" s="1157"/>
      <c r="DV32" s="1157"/>
      <c r="DW32" s="1157"/>
      <c r="DX32" s="1157"/>
      <c r="DY32" s="1157"/>
      <c r="DZ32" s="1157"/>
      <c r="EA32" s="1157"/>
      <c r="EB32" s="1157"/>
      <c r="EC32" s="1157"/>
      <c r="ED32" s="1157"/>
      <c r="EE32" s="1157"/>
      <c r="EF32" s="1157"/>
      <c r="EG32" s="1157"/>
      <c r="EH32" s="1157"/>
      <c r="EI32" s="1157"/>
      <c r="EJ32" s="1157"/>
      <c r="EK32" s="1157"/>
      <c r="EL32" s="1157"/>
      <c r="EM32" s="1157"/>
      <c r="EN32" s="1157"/>
      <c r="EO32" s="1157"/>
      <c r="EP32" s="1157"/>
      <c r="EQ32" s="1157"/>
      <c r="ER32" s="1157"/>
      <c r="ES32" s="1157"/>
      <c r="ET32" s="1157"/>
      <c r="EU32" s="1157"/>
      <c r="EV32" s="1157"/>
      <c r="EW32" s="1157"/>
      <c r="EX32" s="1157"/>
      <c r="EY32" s="1157"/>
      <c r="EZ32" s="1157"/>
      <c r="FA32" s="1157"/>
      <c r="FB32" s="1157"/>
      <c r="FC32" s="1157"/>
      <c r="FD32" s="1157"/>
      <c r="FE32" s="1157"/>
      <c r="FF32" s="1157"/>
      <c r="FG32" s="1157"/>
      <c r="FH32" s="1157"/>
      <c r="FI32" s="1157"/>
      <c r="FJ32" s="1157"/>
      <c r="FK32" s="1157"/>
      <c r="FL32" s="1157"/>
      <c r="FM32" s="1157"/>
      <c r="FN32" s="1157"/>
      <c r="FO32" s="1157"/>
      <c r="FP32" s="1157"/>
      <c r="FQ32" s="1157"/>
      <c r="FR32" s="1157"/>
      <c r="FS32" s="1157"/>
      <c r="FT32" s="1157"/>
      <c r="FU32" s="1157"/>
      <c r="FV32" s="1157"/>
      <c r="FW32" s="1157"/>
      <c r="FX32" s="1157"/>
      <c r="FY32" s="1157"/>
      <c r="FZ32" s="1157"/>
      <c r="GA32" s="1157"/>
      <c r="GB32" s="1157"/>
      <c r="GC32" s="1157"/>
      <c r="GD32" s="1157"/>
      <c r="GE32" s="1157"/>
      <c r="GF32" s="1157"/>
      <c r="GG32" s="1157"/>
    </row>
    <row r="33" spans="1:189">
      <c r="A33" s="745" t="e">
        <f>+#REF!</f>
        <v>#REF!</v>
      </c>
      <c r="B33" s="768" t="e">
        <f>+#REF!</f>
        <v>#REF!</v>
      </c>
      <c r="C33" s="1136"/>
      <c r="D33" s="1927"/>
      <c r="E33" s="1927"/>
      <c r="F33" s="1927"/>
      <c r="G33" s="1154"/>
    </row>
    <row r="34" spans="1:189">
      <c r="A34" s="1418"/>
      <c r="B34" s="715"/>
      <c r="C34" s="1480" t="e">
        <f>#REF!</f>
        <v>#REF!</v>
      </c>
      <c r="D34" s="1927"/>
      <c r="E34" s="1927"/>
      <c r="F34" s="1927"/>
      <c r="G34" s="1154" t="e">
        <f>+#REF!</f>
        <v>#REF!</v>
      </c>
      <c r="H34" s="1144" t="e">
        <f>+H32</f>
        <v>#REF!</v>
      </c>
      <c r="I34" s="1145">
        <v>0.01</v>
      </c>
    </row>
    <row r="35" spans="1:189">
      <c r="A35" s="745" t="e">
        <f>+#REF!</f>
        <v>#REF!</v>
      </c>
      <c r="B35" s="768" t="e">
        <f>+#REF!</f>
        <v>#REF!</v>
      </c>
      <c r="C35" s="1136"/>
      <c r="D35" s="1927"/>
      <c r="E35" s="1927"/>
      <c r="F35" s="1927"/>
      <c r="G35" s="1154"/>
    </row>
    <row r="36" spans="1:189">
      <c r="A36" s="1418"/>
      <c r="B36" s="715"/>
      <c r="C36" s="1480" t="e">
        <f>#REF!</f>
        <v>#REF!</v>
      </c>
      <c r="D36" s="1927"/>
      <c r="E36" s="1927"/>
      <c r="F36" s="1927"/>
      <c r="H36" s="1144" t="e">
        <f>H25/50*50%</f>
        <v>#REF!</v>
      </c>
      <c r="I36" s="1156">
        <v>1.05</v>
      </c>
      <c r="J36" s="1155" t="e">
        <f>H36*I36</f>
        <v>#REF!</v>
      </c>
    </row>
    <row r="37" spans="1:189" ht="30" customHeight="1">
      <c r="A37" s="745" t="e">
        <f>+#REF!</f>
        <v>#REF!</v>
      </c>
      <c r="B37" s="1614" t="e">
        <f>+#REF!</f>
        <v>#REF!</v>
      </c>
      <c r="C37" s="1136"/>
      <c r="D37" s="1927"/>
      <c r="E37" s="1927"/>
      <c r="F37" s="1927"/>
      <c r="H37" s="1144" t="e">
        <f>H25/25*50%</f>
        <v>#REF!</v>
      </c>
      <c r="I37" s="1156">
        <v>1.05</v>
      </c>
      <c r="J37" s="1155" t="e">
        <f>H37*I37</f>
        <v>#REF!</v>
      </c>
    </row>
    <row r="38" spans="1:189">
      <c r="A38" s="1418"/>
      <c r="B38" s="715"/>
      <c r="C38" s="1480" t="e">
        <f>#REF!</f>
        <v>#REF!</v>
      </c>
      <c r="D38" s="1928"/>
      <c r="E38" s="1928"/>
      <c r="F38" s="1928"/>
      <c r="G38" s="1154" t="e">
        <f>SUM(G30:G34)</f>
        <v>#REF!</v>
      </c>
      <c r="H38" s="1144">
        <v>20</v>
      </c>
      <c r="I38" s="1156">
        <v>1.05</v>
      </c>
      <c r="J38" s="1155">
        <f>H38*I38</f>
        <v>21</v>
      </c>
    </row>
    <row r="39" spans="1:189">
      <c r="A39" s="745" t="e">
        <f>+#REF!</f>
        <v>#REF!</v>
      </c>
      <c r="B39" s="768" t="e">
        <f>+#REF!</f>
        <v>#REF!</v>
      </c>
      <c r="C39" s="1136"/>
      <c r="D39" s="544"/>
      <c r="E39" s="1136"/>
      <c r="F39" s="544"/>
      <c r="H39" s="1144" t="e">
        <f>30%*H25</f>
        <v>#REF!</v>
      </c>
      <c r="I39" s="1156">
        <v>1.05</v>
      </c>
      <c r="J39" s="1155" t="e">
        <f>H39*I39</f>
        <v>#REF!</v>
      </c>
    </row>
    <row r="40" spans="1:189">
      <c r="A40" s="1418"/>
      <c r="B40" s="715"/>
      <c r="C40" s="1480" t="e">
        <f>#REF!</f>
        <v>#REF!</v>
      </c>
      <c r="D40" s="547">
        <f>20*0</f>
        <v>0</v>
      </c>
      <c r="E40" s="963" t="e">
        <f>+#REF!</f>
        <v>#REF!</v>
      </c>
      <c r="F40" s="547" t="e">
        <f t="shared" ref="F40" si="3">+D40*E40</f>
        <v>#REF!</v>
      </c>
    </row>
    <row r="41" spans="1:189" ht="18.75">
      <c r="A41" s="1123"/>
      <c r="B41" s="1124"/>
      <c r="C41" s="1608"/>
      <c r="D41" s="636"/>
      <c r="E41" s="1609" t="s">
        <v>106</v>
      </c>
      <c r="F41" s="1122" t="e">
        <f>SUM(F29:F40)</f>
        <v>#REF!</v>
      </c>
    </row>
    <row r="42" spans="1:189" ht="15" customHeight="1">
      <c r="A42" s="1123"/>
      <c r="B42" s="1124"/>
      <c r="C42" s="1124"/>
      <c r="D42" s="1124"/>
      <c r="E42" s="1124"/>
      <c r="F42" s="1124"/>
    </row>
    <row r="43" spans="1:189" ht="24.95" customHeight="1">
      <c r="A43" s="1123"/>
      <c r="B43" s="1124"/>
      <c r="C43" s="1608"/>
      <c r="D43" s="636"/>
      <c r="E43" s="1609" t="s">
        <v>107</v>
      </c>
      <c r="F43" s="1122" t="e">
        <f>+F26+F41</f>
        <v>#REF!</v>
      </c>
    </row>
    <row r="44" spans="1:189" ht="15" customHeight="1">
      <c r="A44" s="1123"/>
      <c r="B44" s="1124"/>
      <c r="C44" s="1124"/>
      <c r="D44" s="1124"/>
      <c r="E44" s="1124"/>
      <c r="F44" s="1124"/>
    </row>
    <row r="45" spans="1:189" ht="24.95" customHeight="1">
      <c r="A45" s="1905" t="e">
        <f>+#REF!</f>
        <v>#REF!</v>
      </c>
      <c r="B45" s="1906"/>
      <c r="C45" s="1906"/>
      <c r="D45" s="1906"/>
      <c r="E45" s="1906"/>
      <c r="F45" s="1907"/>
    </row>
    <row r="46" spans="1:189" s="1149" customFormat="1" ht="15.95" customHeight="1">
      <c r="A46" s="745" t="e">
        <f>+#REF!</f>
        <v>#REF!</v>
      </c>
      <c r="B46" s="768" t="e">
        <f>+#REF!</f>
        <v>#REF!</v>
      </c>
      <c r="C46" s="1534"/>
      <c r="D46" s="543"/>
      <c r="E46" s="544"/>
      <c r="F46" s="544"/>
      <c r="H46" s="1150"/>
      <c r="I46" s="1151"/>
      <c r="J46" s="1150"/>
      <c r="K46" s="1152"/>
      <c r="L46" s="1152"/>
      <c r="M46" s="1152"/>
      <c r="N46" s="1152"/>
      <c r="O46" s="1152"/>
      <c r="P46" s="1152"/>
      <c r="Q46" s="1152"/>
      <c r="R46" s="1152"/>
      <c r="S46" s="1152"/>
      <c r="T46" s="1152"/>
      <c r="U46" s="1152"/>
      <c r="V46" s="1152"/>
      <c r="W46" s="1152"/>
      <c r="X46" s="1152"/>
      <c r="Y46" s="1152"/>
      <c r="Z46" s="1152"/>
      <c r="AA46" s="1152"/>
      <c r="AB46" s="1152"/>
      <c r="AC46" s="1152"/>
      <c r="AD46" s="1152"/>
      <c r="AE46" s="1152"/>
      <c r="AF46" s="1152"/>
      <c r="AG46" s="1152"/>
      <c r="AH46" s="1152"/>
      <c r="AI46" s="1152"/>
      <c r="AJ46" s="1152"/>
      <c r="AK46" s="1152"/>
      <c r="AL46" s="1152"/>
      <c r="AM46" s="1152"/>
      <c r="AN46" s="1152"/>
      <c r="AO46" s="1152"/>
      <c r="AP46" s="1152"/>
      <c r="AQ46" s="1152"/>
      <c r="AR46" s="1152"/>
      <c r="AS46" s="1152"/>
      <c r="AT46" s="1152"/>
      <c r="AU46" s="1152"/>
      <c r="AV46" s="1152"/>
      <c r="AW46" s="1152"/>
      <c r="AX46" s="1152"/>
      <c r="AY46" s="1152"/>
      <c r="AZ46" s="1152"/>
      <c r="BA46" s="1152"/>
      <c r="BB46" s="1152"/>
      <c r="BC46" s="1152"/>
      <c r="BD46" s="1152"/>
      <c r="BE46" s="1152"/>
      <c r="BF46" s="1152"/>
      <c r="BG46" s="1152"/>
      <c r="BH46" s="1152"/>
      <c r="BI46" s="1152"/>
      <c r="BJ46" s="1152"/>
      <c r="BK46" s="1152"/>
      <c r="BL46" s="1152"/>
      <c r="BM46" s="1152"/>
      <c r="BN46" s="1152"/>
      <c r="BO46" s="1152"/>
      <c r="BP46" s="1152"/>
      <c r="BQ46" s="1152"/>
      <c r="BR46" s="1152"/>
      <c r="BS46" s="1152"/>
      <c r="BT46" s="1152"/>
      <c r="BU46" s="1152"/>
      <c r="BV46" s="1152"/>
      <c r="BW46" s="1152"/>
      <c r="BX46" s="1152"/>
      <c r="BY46" s="1152"/>
      <c r="BZ46" s="1152"/>
      <c r="CA46" s="1152"/>
      <c r="CB46" s="1152"/>
      <c r="CC46" s="1152"/>
      <c r="CD46" s="1152"/>
      <c r="CE46" s="1152"/>
      <c r="CF46" s="1152"/>
      <c r="CG46" s="1152"/>
      <c r="CH46" s="1152"/>
      <c r="CI46" s="1152"/>
      <c r="CJ46" s="1152"/>
      <c r="CK46" s="1152"/>
      <c r="CL46" s="1152"/>
      <c r="CM46" s="1152"/>
      <c r="CN46" s="1152"/>
      <c r="CO46" s="1152"/>
      <c r="CP46" s="1152"/>
      <c r="CQ46" s="1152"/>
      <c r="CR46" s="1152"/>
      <c r="CS46" s="1152"/>
      <c r="CT46" s="1152"/>
      <c r="CU46" s="1152"/>
      <c r="CV46" s="1152"/>
      <c r="CW46" s="1152"/>
      <c r="CX46" s="1152"/>
      <c r="CY46" s="1152"/>
      <c r="CZ46" s="1152"/>
      <c r="DA46" s="1152"/>
      <c r="DB46" s="1152"/>
      <c r="DC46" s="1152"/>
      <c r="DD46" s="1152"/>
      <c r="DE46" s="1152"/>
      <c r="DF46" s="1152"/>
      <c r="DG46" s="1152"/>
      <c r="DH46" s="1152"/>
      <c r="DI46" s="1152"/>
      <c r="DJ46" s="1152"/>
      <c r="DK46" s="1152"/>
      <c r="DL46" s="1152"/>
      <c r="DM46" s="1152"/>
      <c r="DN46" s="1152"/>
      <c r="DO46" s="1152"/>
      <c r="DP46" s="1152"/>
      <c r="DQ46" s="1152"/>
      <c r="DR46" s="1152"/>
      <c r="DS46" s="1152"/>
      <c r="DT46" s="1152"/>
      <c r="DU46" s="1152"/>
      <c r="DV46" s="1152"/>
      <c r="DW46" s="1152"/>
      <c r="DX46" s="1152"/>
      <c r="DY46" s="1152"/>
      <c r="DZ46" s="1152"/>
      <c r="EA46" s="1152"/>
      <c r="EB46" s="1152"/>
      <c r="EC46" s="1152"/>
      <c r="ED46" s="1152"/>
      <c r="EE46" s="1152"/>
      <c r="EF46" s="1152"/>
      <c r="EG46" s="1152"/>
      <c r="EH46" s="1152"/>
      <c r="EI46" s="1152"/>
      <c r="EJ46" s="1152"/>
      <c r="EK46" s="1152"/>
      <c r="EL46" s="1152"/>
      <c r="EM46" s="1152"/>
      <c r="EN46" s="1152"/>
      <c r="EO46" s="1152"/>
      <c r="EP46" s="1152"/>
      <c r="EQ46" s="1152"/>
      <c r="ER46" s="1152"/>
      <c r="ES46" s="1152"/>
      <c r="ET46" s="1152"/>
      <c r="EU46" s="1152"/>
      <c r="EV46" s="1152"/>
      <c r="EW46" s="1152"/>
      <c r="EX46" s="1152"/>
      <c r="EY46" s="1152"/>
      <c r="EZ46" s="1152"/>
      <c r="FA46" s="1152"/>
      <c r="FB46" s="1152"/>
      <c r="FC46" s="1152"/>
      <c r="FD46" s="1152"/>
      <c r="FE46" s="1152"/>
      <c r="FF46" s="1152"/>
      <c r="FG46" s="1152"/>
      <c r="FH46" s="1152"/>
      <c r="FI46" s="1152"/>
      <c r="FJ46" s="1152"/>
      <c r="FK46" s="1152"/>
      <c r="FL46" s="1152"/>
      <c r="FM46" s="1152"/>
      <c r="FN46" s="1152"/>
      <c r="FO46" s="1152"/>
      <c r="FP46" s="1152"/>
      <c r="FQ46" s="1152"/>
      <c r="FR46" s="1152"/>
      <c r="FS46" s="1152"/>
      <c r="FT46" s="1152"/>
      <c r="FU46" s="1152"/>
      <c r="FV46" s="1152"/>
      <c r="FW46" s="1152"/>
      <c r="FX46" s="1152"/>
      <c r="FY46" s="1152"/>
      <c r="FZ46" s="1152"/>
      <c r="GA46" s="1152"/>
      <c r="GB46" s="1152"/>
      <c r="GC46" s="1152"/>
      <c r="GD46" s="1152"/>
      <c r="GE46" s="1152"/>
      <c r="GF46" s="1152"/>
      <c r="GG46" s="1152"/>
    </row>
    <row r="47" spans="1:189" s="1149" customFormat="1" ht="15.95" customHeight="1">
      <c r="A47" s="639"/>
      <c r="B47" s="467"/>
      <c r="C47" s="1554" t="e">
        <f>#REF!</f>
        <v>#REF!</v>
      </c>
      <c r="D47" s="1669">
        <v>1</v>
      </c>
      <c r="E47" s="547">
        <f>25672373</f>
        <v>25672373</v>
      </c>
      <c r="F47" s="547">
        <f>+D47*E47</f>
        <v>25672373</v>
      </c>
      <c r="H47" s="1150"/>
      <c r="I47" s="1151"/>
      <c r="J47" s="1150"/>
      <c r="K47" s="1152"/>
      <c r="L47" s="1152"/>
      <c r="M47" s="1152"/>
      <c r="N47" s="1152"/>
      <c r="O47" s="1152"/>
      <c r="P47" s="1152"/>
      <c r="Q47" s="1152"/>
      <c r="R47" s="1152"/>
      <c r="S47" s="1152"/>
      <c r="T47" s="1152"/>
      <c r="U47" s="1152"/>
      <c r="V47" s="1152"/>
      <c r="W47" s="1152"/>
      <c r="X47" s="1152"/>
      <c r="Y47" s="1152"/>
      <c r="Z47" s="1152"/>
      <c r="AA47" s="1152"/>
      <c r="AB47" s="1152"/>
      <c r="AC47" s="1152"/>
      <c r="AD47" s="1152"/>
      <c r="AE47" s="1152"/>
      <c r="AF47" s="1152"/>
      <c r="AG47" s="1152"/>
      <c r="AH47" s="1152"/>
      <c r="AI47" s="1152"/>
      <c r="AJ47" s="1152"/>
      <c r="AK47" s="1152"/>
      <c r="AL47" s="1152"/>
      <c r="AM47" s="1152"/>
      <c r="AN47" s="1152"/>
      <c r="AO47" s="1152"/>
      <c r="AP47" s="1152"/>
      <c r="AQ47" s="1152"/>
      <c r="AR47" s="1152"/>
      <c r="AS47" s="1152"/>
      <c r="AT47" s="1152"/>
      <c r="AU47" s="1152"/>
      <c r="AV47" s="1152"/>
      <c r="AW47" s="1152"/>
      <c r="AX47" s="1152"/>
      <c r="AY47" s="1152"/>
      <c r="AZ47" s="1152"/>
      <c r="BA47" s="1152"/>
      <c r="BB47" s="1152"/>
      <c r="BC47" s="1152"/>
      <c r="BD47" s="1152"/>
      <c r="BE47" s="1152"/>
      <c r="BF47" s="1152"/>
      <c r="BG47" s="1152"/>
      <c r="BH47" s="1152"/>
      <c r="BI47" s="1152"/>
      <c r="BJ47" s="1152"/>
      <c r="BK47" s="1152"/>
      <c r="BL47" s="1152"/>
      <c r="BM47" s="1152"/>
      <c r="BN47" s="1152"/>
      <c r="BO47" s="1152"/>
      <c r="BP47" s="1152"/>
      <c r="BQ47" s="1152"/>
      <c r="BR47" s="1152"/>
      <c r="BS47" s="1152"/>
      <c r="BT47" s="1152"/>
      <c r="BU47" s="1152"/>
      <c r="BV47" s="1152"/>
      <c r="BW47" s="1152"/>
      <c r="BX47" s="1152"/>
      <c r="BY47" s="1152"/>
      <c r="BZ47" s="1152"/>
      <c r="CA47" s="1152"/>
      <c r="CB47" s="1152"/>
      <c r="CC47" s="1152"/>
      <c r="CD47" s="1152"/>
      <c r="CE47" s="1152"/>
      <c r="CF47" s="1152"/>
      <c r="CG47" s="1152"/>
      <c r="CH47" s="1152"/>
      <c r="CI47" s="1152"/>
      <c r="CJ47" s="1152"/>
      <c r="CK47" s="1152"/>
      <c r="CL47" s="1152"/>
      <c r="CM47" s="1152"/>
      <c r="CN47" s="1152"/>
      <c r="CO47" s="1152"/>
      <c r="CP47" s="1152"/>
      <c r="CQ47" s="1152"/>
      <c r="CR47" s="1152"/>
      <c r="CS47" s="1152"/>
      <c r="CT47" s="1152"/>
      <c r="CU47" s="1152"/>
      <c r="CV47" s="1152"/>
      <c r="CW47" s="1152"/>
      <c r="CX47" s="1152"/>
      <c r="CY47" s="1152"/>
      <c r="CZ47" s="1152"/>
      <c r="DA47" s="1152"/>
      <c r="DB47" s="1152"/>
      <c r="DC47" s="1152"/>
      <c r="DD47" s="1152"/>
      <c r="DE47" s="1152"/>
      <c r="DF47" s="1152"/>
      <c r="DG47" s="1152"/>
      <c r="DH47" s="1152"/>
      <c r="DI47" s="1152"/>
      <c r="DJ47" s="1152"/>
      <c r="DK47" s="1152"/>
      <c r="DL47" s="1152"/>
      <c r="DM47" s="1152"/>
      <c r="DN47" s="1152"/>
      <c r="DO47" s="1152"/>
      <c r="DP47" s="1152"/>
      <c r="DQ47" s="1152"/>
      <c r="DR47" s="1152"/>
      <c r="DS47" s="1152"/>
      <c r="DT47" s="1152"/>
      <c r="DU47" s="1152"/>
      <c r="DV47" s="1152"/>
      <c r="DW47" s="1152"/>
      <c r="DX47" s="1152"/>
      <c r="DY47" s="1152"/>
      <c r="DZ47" s="1152"/>
      <c r="EA47" s="1152"/>
      <c r="EB47" s="1152"/>
      <c r="EC47" s="1152"/>
      <c r="ED47" s="1152"/>
      <c r="EE47" s="1152"/>
      <c r="EF47" s="1152"/>
      <c r="EG47" s="1152"/>
      <c r="EH47" s="1152"/>
      <c r="EI47" s="1152"/>
      <c r="EJ47" s="1152"/>
      <c r="EK47" s="1152"/>
      <c r="EL47" s="1152"/>
      <c r="EM47" s="1152"/>
      <c r="EN47" s="1152"/>
      <c r="EO47" s="1152"/>
      <c r="EP47" s="1152"/>
      <c r="EQ47" s="1152"/>
      <c r="ER47" s="1152"/>
      <c r="ES47" s="1152"/>
      <c r="ET47" s="1152"/>
      <c r="EU47" s="1152"/>
      <c r="EV47" s="1152"/>
      <c r="EW47" s="1152"/>
      <c r="EX47" s="1152"/>
      <c r="EY47" s="1152"/>
      <c r="EZ47" s="1152"/>
      <c r="FA47" s="1152"/>
      <c r="FB47" s="1152"/>
      <c r="FC47" s="1152"/>
      <c r="FD47" s="1152"/>
      <c r="FE47" s="1152"/>
      <c r="FF47" s="1152"/>
      <c r="FG47" s="1152"/>
      <c r="FH47" s="1152"/>
      <c r="FI47" s="1152"/>
      <c r="FJ47" s="1152"/>
      <c r="FK47" s="1152"/>
      <c r="FL47" s="1152"/>
      <c r="FM47" s="1152"/>
      <c r="FN47" s="1152"/>
      <c r="FO47" s="1152"/>
      <c r="FP47" s="1152"/>
      <c r="FQ47" s="1152"/>
      <c r="FR47" s="1152"/>
      <c r="FS47" s="1152"/>
      <c r="FT47" s="1152"/>
      <c r="FU47" s="1152"/>
      <c r="FV47" s="1152"/>
      <c r="FW47" s="1152"/>
      <c r="FX47" s="1152"/>
      <c r="FY47" s="1152"/>
      <c r="FZ47" s="1152"/>
      <c r="GA47" s="1152"/>
      <c r="GB47" s="1152"/>
      <c r="GC47" s="1152"/>
      <c r="GD47" s="1152"/>
      <c r="GE47" s="1152"/>
      <c r="GF47" s="1152"/>
      <c r="GG47" s="1152"/>
    </row>
    <row r="48" spans="1:189" s="1149" customFormat="1" ht="15.95" customHeight="1">
      <c r="A48" s="745" t="e">
        <f>+#REF!</f>
        <v>#REF!</v>
      </c>
      <c r="B48" s="768" t="e">
        <f>+#REF!</f>
        <v>#REF!</v>
      </c>
      <c r="C48" s="1534"/>
      <c r="D48" s="543"/>
      <c r="E48" s="544"/>
      <c r="F48" s="544"/>
      <c r="H48" s="1150"/>
      <c r="I48" s="1151"/>
      <c r="J48" s="1150"/>
      <c r="K48" s="1152"/>
      <c r="L48" s="1152"/>
      <c r="M48" s="1152"/>
      <c r="N48" s="1152"/>
      <c r="O48" s="1152"/>
      <c r="P48" s="1152"/>
      <c r="Q48" s="1152"/>
      <c r="R48" s="1152"/>
      <c r="S48" s="1152"/>
      <c r="T48" s="1152"/>
      <c r="U48" s="1152"/>
      <c r="V48" s="1152"/>
      <c r="W48" s="1152"/>
      <c r="X48" s="1152"/>
      <c r="Y48" s="1152"/>
      <c r="Z48" s="1152"/>
      <c r="AA48" s="1152"/>
      <c r="AB48" s="1152"/>
      <c r="AC48" s="1152"/>
      <c r="AD48" s="1152"/>
      <c r="AE48" s="1152"/>
      <c r="AF48" s="1152"/>
      <c r="AG48" s="1152"/>
      <c r="AH48" s="1152"/>
      <c r="AI48" s="1152"/>
      <c r="AJ48" s="1152"/>
      <c r="AK48" s="1152"/>
      <c r="AL48" s="1152"/>
      <c r="AM48" s="1152"/>
      <c r="AN48" s="1152"/>
      <c r="AO48" s="1152"/>
      <c r="AP48" s="1152"/>
      <c r="AQ48" s="1152"/>
      <c r="AR48" s="1152"/>
      <c r="AS48" s="1152"/>
      <c r="AT48" s="1152"/>
      <c r="AU48" s="1152"/>
      <c r="AV48" s="1152"/>
      <c r="AW48" s="1152"/>
      <c r="AX48" s="1152"/>
      <c r="AY48" s="1152"/>
      <c r="AZ48" s="1152"/>
      <c r="BA48" s="1152"/>
      <c r="BB48" s="1152"/>
      <c r="BC48" s="1152"/>
      <c r="BD48" s="1152"/>
      <c r="BE48" s="1152"/>
      <c r="BF48" s="1152"/>
      <c r="BG48" s="1152"/>
      <c r="BH48" s="1152"/>
      <c r="BI48" s="1152"/>
      <c r="BJ48" s="1152"/>
      <c r="BK48" s="1152"/>
      <c r="BL48" s="1152"/>
      <c r="BM48" s="1152"/>
      <c r="BN48" s="1152"/>
      <c r="BO48" s="1152"/>
      <c r="BP48" s="1152"/>
      <c r="BQ48" s="1152"/>
      <c r="BR48" s="1152"/>
      <c r="BS48" s="1152"/>
      <c r="BT48" s="1152"/>
      <c r="BU48" s="1152"/>
      <c r="BV48" s="1152"/>
      <c r="BW48" s="1152"/>
      <c r="BX48" s="1152"/>
      <c r="BY48" s="1152"/>
      <c r="BZ48" s="1152"/>
      <c r="CA48" s="1152"/>
      <c r="CB48" s="1152"/>
      <c r="CC48" s="1152"/>
      <c r="CD48" s="1152"/>
      <c r="CE48" s="1152"/>
      <c r="CF48" s="1152"/>
      <c r="CG48" s="1152"/>
      <c r="CH48" s="1152"/>
      <c r="CI48" s="1152"/>
      <c r="CJ48" s="1152"/>
      <c r="CK48" s="1152"/>
      <c r="CL48" s="1152"/>
      <c r="CM48" s="1152"/>
      <c r="CN48" s="1152"/>
      <c r="CO48" s="1152"/>
      <c r="CP48" s="1152"/>
      <c r="CQ48" s="1152"/>
      <c r="CR48" s="1152"/>
      <c r="CS48" s="1152"/>
      <c r="CT48" s="1152"/>
      <c r="CU48" s="1152"/>
      <c r="CV48" s="1152"/>
      <c r="CW48" s="1152"/>
      <c r="CX48" s="1152"/>
      <c r="CY48" s="1152"/>
      <c r="CZ48" s="1152"/>
      <c r="DA48" s="1152"/>
      <c r="DB48" s="1152"/>
      <c r="DC48" s="1152"/>
      <c r="DD48" s="1152"/>
      <c r="DE48" s="1152"/>
      <c r="DF48" s="1152"/>
      <c r="DG48" s="1152"/>
      <c r="DH48" s="1152"/>
      <c r="DI48" s="1152"/>
      <c r="DJ48" s="1152"/>
      <c r="DK48" s="1152"/>
      <c r="DL48" s="1152"/>
      <c r="DM48" s="1152"/>
      <c r="DN48" s="1152"/>
      <c r="DO48" s="1152"/>
      <c r="DP48" s="1152"/>
      <c r="DQ48" s="1152"/>
      <c r="DR48" s="1152"/>
      <c r="DS48" s="1152"/>
      <c r="DT48" s="1152"/>
      <c r="DU48" s="1152"/>
      <c r="DV48" s="1152"/>
      <c r="DW48" s="1152"/>
      <c r="DX48" s="1152"/>
      <c r="DY48" s="1152"/>
      <c r="DZ48" s="1152"/>
      <c r="EA48" s="1152"/>
      <c r="EB48" s="1152"/>
      <c r="EC48" s="1152"/>
      <c r="ED48" s="1152"/>
      <c r="EE48" s="1152"/>
      <c r="EF48" s="1152"/>
      <c r="EG48" s="1152"/>
      <c r="EH48" s="1152"/>
      <c r="EI48" s="1152"/>
      <c r="EJ48" s="1152"/>
      <c r="EK48" s="1152"/>
      <c r="EL48" s="1152"/>
      <c r="EM48" s="1152"/>
      <c r="EN48" s="1152"/>
      <c r="EO48" s="1152"/>
      <c r="EP48" s="1152"/>
      <c r="EQ48" s="1152"/>
      <c r="ER48" s="1152"/>
      <c r="ES48" s="1152"/>
      <c r="ET48" s="1152"/>
      <c r="EU48" s="1152"/>
      <c r="EV48" s="1152"/>
      <c r="EW48" s="1152"/>
      <c r="EX48" s="1152"/>
      <c r="EY48" s="1152"/>
      <c r="EZ48" s="1152"/>
      <c r="FA48" s="1152"/>
      <c r="FB48" s="1152"/>
      <c r="FC48" s="1152"/>
      <c r="FD48" s="1152"/>
      <c r="FE48" s="1152"/>
      <c r="FF48" s="1152"/>
      <c r="FG48" s="1152"/>
      <c r="FH48" s="1152"/>
      <c r="FI48" s="1152"/>
      <c r="FJ48" s="1152"/>
      <c r="FK48" s="1152"/>
      <c r="FL48" s="1152"/>
      <c r="FM48" s="1152"/>
      <c r="FN48" s="1152"/>
      <c r="FO48" s="1152"/>
      <c r="FP48" s="1152"/>
      <c r="FQ48" s="1152"/>
      <c r="FR48" s="1152"/>
      <c r="FS48" s="1152"/>
      <c r="FT48" s="1152"/>
      <c r="FU48" s="1152"/>
      <c r="FV48" s="1152"/>
      <c r="FW48" s="1152"/>
      <c r="FX48" s="1152"/>
      <c r="FY48" s="1152"/>
      <c r="FZ48" s="1152"/>
      <c r="GA48" s="1152"/>
      <c r="GB48" s="1152"/>
      <c r="GC48" s="1152"/>
      <c r="GD48" s="1152"/>
      <c r="GE48" s="1152"/>
      <c r="GF48" s="1152"/>
      <c r="GG48" s="1152"/>
    </row>
    <row r="49" spans="1:189" s="1149" customFormat="1" ht="15.95" customHeight="1">
      <c r="A49" s="1615" t="e">
        <f>+#REF!</f>
        <v>#REF!</v>
      </c>
      <c r="B49" s="467" t="e">
        <f>+#REF!</f>
        <v>#REF!</v>
      </c>
      <c r="C49" s="1554" t="e">
        <f>#REF!</f>
        <v>#REF!</v>
      </c>
      <c r="D49" s="1669">
        <f>J49</f>
        <v>9600</v>
      </c>
      <c r="E49" s="547" t="e">
        <f>#REF!</f>
        <v>#REF!</v>
      </c>
      <c r="F49" s="547" t="e">
        <f>+D49*E49</f>
        <v>#REF!</v>
      </c>
      <c r="H49" s="1153">
        <f>SUM(F10:F11)*20</f>
        <v>8000</v>
      </c>
      <c r="I49" s="1151">
        <v>1.2</v>
      </c>
      <c r="J49" s="1150">
        <f>H49*I49</f>
        <v>9600</v>
      </c>
      <c r="K49" s="1152"/>
      <c r="L49" s="1152"/>
      <c r="M49" s="1152"/>
      <c r="N49" s="1152"/>
      <c r="O49" s="1152"/>
      <c r="P49" s="1152"/>
      <c r="Q49" s="1152"/>
      <c r="R49" s="1152"/>
      <c r="S49" s="1152"/>
      <c r="T49" s="1152"/>
      <c r="U49" s="1152"/>
      <c r="V49" s="1152"/>
      <c r="W49" s="1152"/>
      <c r="X49" s="1152"/>
      <c r="Y49" s="1152"/>
      <c r="Z49" s="1152"/>
      <c r="AA49" s="1152"/>
      <c r="AB49" s="1152"/>
      <c r="AC49" s="1152"/>
      <c r="AD49" s="1152"/>
      <c r="AE49" s="1152"/>
      <c r="AF49" s="1152"/>
      <c r="AG49" s="1152"/>
      <c r="AH49" s="1152"/>
      <c r="AI49" s="1152"/>
      <c r="AJ49" s="1152"/>
      <c r="AK49" s="1152"/>
      <c r="AL49" s="1152"/>
      <c r="AM49" s="1152"/>
      <c r="AN49" s="1152"/>
      <c r="AO49" s="1152"/>
      <c r="AP49" s="1152"/>
      <c r="AQ49" s="1152"/>
      <c r="AR49" s="1152"/>
      <c r="AS49" s="1152"/>
      <c r="AT49" s="1152"/>
      <c r="AU49" s="1152"/>
      <c r="AV49" s="1152"/>
      <c r="AW49" s="1152"/>
      <c r="AX49" s="1152"/>
      <c r="AY49" s="1152"/>
      <c r="AZ49" s="1152"/>
      <c r="BA49" s="1152"/>
      <c r="BB49" s="1152"/>
      <c r="BC49" s="1152"/>
      <c r="BD49" s="1152"/>
      <c r="BE49" s="1152"/>
      <c r="BF49" s="1152"/>
      <c r="BG49" s="1152"/>
      <c r="BH49" s="1152"/>
      <c r="BI49" s="1152"/>
      <c r="BJ49" s="1152"/>
      <c r="BK49" s="1152"/>
      <c r="BL49" s="1152"/>
      <c r="BM49" s="1152"/>
      <c r="BN49" s="1152"/>
      <c r="BO49" s="1152"/>
      <c r="BP49" s="1152"/>
      <c r="BQ49" s="1152"/>
      <c r="BR49" s="1152"/>
      <c r="BS49" s="1152"/>
      <c r="BT49" s="1152"/>
      <c r="BU49" s="1152"/>
      <c r="BV49" s="1152"/>
      <c r="BW49" s="1152"/>
      <c r="BX49" s="1152"/>
      <c r="BY49" s="1152"/>
      <c r="BZ49" s="1152"/>
      <c r="CA49" s="1152"/>
      <c r="CB49" s="1152"/>
      <c r="CC49" s="1152"/>
      <c r="CD49" s="1152"/>
      <c r="CE49" s="1152"/>
      <c r="CF49" s="1152"/>
      <c r="CG49" s="1152"/>
      <c r="CH49" s="1152"/>
      <c r="CI49" s="1152"/>
      <c r="CJ49" s="1152"/>
      <c r="CK49" s="1152"/>
      <c r="CL49" s="1152"/>
      <c r="CM49" s="1152"/>
      <c r="CN49" s="1152"/>
      <c r="CO49" s="1152"/>
      <c r="CP49" s="1152"/>
      <c r="CQ49" s="1152"/>
      <c r="CR49" s="1152"/>
      <c r="CS49" s="1152"/>
      <c r="CT49" s="1152"/>
      <c r="CU49" s="1152"/>
      <c r="CV49" s="1152"/>
      <c r="CW49" s="1152"/>
      <c r="CX49" s="1152"/>
      <c r="CY49" s="1152"/>
      <c r="CZ49" s="1152"/>
      <c r="DA49" s="1152"/>
      <c r="DB49" s="1152"/>
      <c r="DC49" s="1152"/>
      <c r="DD49" s="1152"/>
      <c r="DE49" s="1152"/>
      <c r="DF49" s="1152"/>
      <c r="DG49" s="1152"/>
      <c r="DH49" s="1152"/>
      <c r="DI49" s="1152"/>
      <c r="DJ49" s="1152"/>
      <c r="DK49" s="1152"/>
      <c r="DL49" s="1152"/>
      <c r="DM49" s="1152"/>
      <c r="DN49" s="1152"/>
      <c r="DO49" s="1152"/>
      <c r="DP49" s="1152"/>
      <c r="DQ49" s="1152"/>
      <c r="DR49" s="1152"/>
      <c r="DS49" s="1152"/>
      <c r="DT49" s="1152"/>
      <c r="DU49" s="1152"/>
      <c r="DV49" s="1152"/>
      <c r="DW49" s="1152"/>
      <c r="DX49" s="1152"/>
      <c r="DY49" s="1152"/>
      <c r="DZ49" s="1152"/>
      <c r="EA49" s="1152"/>
      <c r="EB49" s="1152"/>
      <c r="EC49" s="1152"/>
      <c r="ED49" s="1152"/>
      <c r="EE49" s="1152"/>
      <c r="EF49" s="1152"/>
      <c r="EG49" s="1152"/>
      <c r="EH49" s="1152"/>
      <c r="EI49" s="1152"/>
      <c r="EJ49" s="1152"/>
      <c r="EK49" s="1152"/>
      <c r="EL49" s="1152"/>
      <c r="EM49" s="1152"/>
      <c r="EN49" s="1152"/>
      <c r="EO49" s="1152"/>
      <c r="EP49" s="1152"/>
      <c r="EQ49" s="1152"/>
      <c r="ER49" s="1152"/>
      <c r="ES49" s="1152"/>
      <c r="ET49" s="1152"/>
      <c r="EU49" s="1152"/>
      <c r="EV49" s="1152"/>
      <c r="EW49" s="1152"/>
      <c r="EX49" s="1152"/>
      <c r="EY49" s="1152"/>
      <c r="EZ49" s="1152"/>
      <c r="FA49" s="1152"/>
      <c r="FB49" s="1152"/>
      <c r="FC49" s="1152"/>
      <c r="FD49" s="1152"/>
      <c r="FE49" s="1152"/>
      <c r="FF49" s="1152"/>
      <c r="FG49" s="1152"/>
      <c r="FH49" s="1152"/>
      <c r="FI49" s="1152"/>
      <c r="FJ49" s="1152"/>
      <c r="FK49" s="1152"/>
      <c r="FL49" s="1152"/>
      <c r="FM49" s="1152"/>
      <c r="FN49" s="1152"/>
      <c r="FO49" s="1152"/>
      <c r="FP49" s="1152"/>
      <c r="FQ49" s="1152"/>
      <c r="FR49" s="1152"/>
      <c r="FS49" s="1152"/>
      <c r="FT49" s="1152"/>
      <c r="FU49" s="1152"/>
      <c r="FV49" s="1152"/>
      <c r="FW49" s="1152"/>
      <c r="FX49" s="1152"/>
      <c r="FY49" s="1152"/>
      <c r="FZ49" s="1152"/>
      <c r="GA49" s="1152"/>
      <c r="GB49" s="1152"/>
      <c r="GC49" s="1152"/>
      <c r="GD49" s="1152"/>
      <c r="GE49" s="1152"/>
      <c r="GF49" s="1152"/>
      <c r="GG49" s="1152"/>
    </row>
    <row r="50" spans="1:189" s="1149" customFormat="1" ht="15.95" customHeight="1">
      <c r="A50" s="745" t="e">
        <f>+#REF!</f>
        <v>#REF!</v>
      </c>
      <c r="B50" s="768" t="e">
        <f>+#REF!</f>
        <v>#REF!</v>
      </c>
      <c r="C50" s="1534"/>
      <c r="D50" s="543"/>
      <c r="E50" s="544"/>
      <c r="F50" s="544"/>
      <c r="H50" s="1150"/>
      <c r="I50" s="1151"/>
      <c r="J50" s="1150"/>
      <c r="K50" s="1152"/>
      <c r="L50" s="1152"/>
      <c r="M50" s="1152"/>
      <c r="N50" s="1152"/>
      <c r="O50" s="1152"/>
      <c r="P50" s="1152"/>
      <c r="Q50" s="1152"/>
      <c r="R50" s="1152"/>
      <c r="S50" s="1152"/>
      <c r="T50" s="1152"/>
      <c r="U50" s="1152"/>
      <c r="V50" s="1152"/>
      <c r="W50" s="1152"/>
      <c r="X50" s="1152"/>
      <c r="Y50" s="1152"/>
      <c r="Z50" s="1152"/>
      <c r="AA50" s="1152"/>
      <c r="AB50" s="1152"/>
      <c r="AC50" s="1152"/>
      <c r="AD50" s="1152"/>
      <c r="AE50" s="1152"/>
      <c r="AF50" s="1152"/>
      <c r="AG50" s="1152"/>
      <c r="AH50" s="1152"/>
      <c r="AI50" s="1152"/>
      <c r="AJ50" s="1152"/>
      <c r="AK50" s="1152"/>
      <c r="AL50" s="1152"/>
      <c r="AM50" s="1152"/>
      <c r="AN50" s="1152"/>
      <c r="AO50" s="1152"/>
      <c r="AP50" s="1152"/>
      <c r="AQ50" s="1152"/>
      <c r="AR50" s="1152"/>
      <c r="AS50" s="1152"/>
      <c r="AT50" s="1152"/>
      <c r="AU50" s="1152"/>
      <c r="AV50" s="1152"/>
      <c r="AW50" s="1152"/>
      <c r="AX50" s="1152"/>
      <c r="AY50" s="1152"/>
      <c r="AZ50" s="1152"/>
      <c r="BA50" s="1152"/>
      <c r="BB50" s="1152"/>
      <c r="BC50" s="1152"/>
      <c r="BD50" s="1152"/>
      <c r="BE50" s="1152"/>
      <c r="BF50" s="1152"/>
      <c r="BG50" s="1152"/>
      <c r="BH50" s="1152"/>
      <c r="BI50" s="1152"/>
      <c r="BJ50" s="1152"/>
      <c r="BK50" s="1152"/>
      <c r="BL50" s="1152"/>
      <c r="BM50" s="1152"/>
      <c r="BN50" s="1152"/>
      <c r="BO50" s="1152"/>
      <c r="BP50" s="1152"/>
      <c r="BQ50" s="1152"/>
      <c r="BR50" s="1152"/>
      <c r="BS50" s="1152"/>
      <c r="BT50" s="1152"/>
      <c r="BU50" s="1152"/>
      <c r="BV50" s="1152"/>
      <c r="BW50" s="1152"/>
      <c r="BX50" s="1152"/>
      <c r="BY50" s="1152"/>
      <c r="BZ50" s="1152"/>
      <c r="CA50" s="1152"/>
      <c r="CB50" s="1152"/>
      <c r="CC50" s="1152"/>
      <c r="CD50" s="1152"/>
      <c r="CE50" s="1152"/>
      <c r="CF50" s="1152"/>
      <c r="CG50" s="1152"/>
      <c r="CH50" s="1152"/>
      <c r="CI50" s="1152"/>
      <c r="CJ50" s="1152"/>
      <c r="CK50" s="1152"/>
      <c r="CL50" s="1152"/>
      <c r="CM50" s="1152"/>
      <c r="CN50" s="1152"/>
      <c r="CO50" s="1152"/>
      <c r="CP50" s="1152"/>
      <c r="CQ50" s="1152"/>
      <c r="CR50" s="1152"/>
      <c r="CS50" s="1152"/>
      <c r="CT50" s="1152"/>
      <c r="CU50" s="1152"/>
      <c r="CV50" s="1152"/>
      <c r="CW50" s="1152"/>
      <c r="CX50" s="1152"/>
      <c r="CY50" s="1152"/>
      <c r="CZ50" s="1152"/>
      <c r="DA50" s="1152"/>
      <c r="DB50" s="1152"/>
      <c r="DC50" s="1152"/>
      <c r="DD50" s="1152"/>
      <c r="DE50" s="1152"/>
      <c r="DF50" s="1152"/>
      <c r="DG50" s="1152"/>
      <c r="DH50" s="1152"/>
      <c r="DI50" s="1152"/>
      <c r="DJ50" s="1152"/>
      <c r="DK50" s="1152"/>
      <c r="DL50" s="1152"/>
      <c r="DM50" s="1152"/>
      <c r="DN50" s="1152"/>
      <c r="DO50" s="1152"/>
      <c r="DP50" s="1152"/>
      <c r="DQ50" s="1152"/>
      <c r="DR50" s="1152"/>
      <c r="DS50" s="1152"/>
      <c r="DT50" s="1152"/>
      <c r="DU50" s="1152"/>
      <c r="DV50" s="1152"/>
      <c r="DW50" s="1152"/>
      <c r="DX50" s="1152"/>
      <c r="DY50" s="1152"/>
      <c r="DZ50" s="1152"/>
      <c r="EA50" s="1152"/>
      <c r="EB50" s="1152"/>
      <c r="EC50" s="1152"/>
      <c r="ED50" s="1152"/>
      <c r="EE50" s="1152"/>
      <c r="EF50" s="1152"/>
      <c r="EG50" s="1152"/>
      <c r="EH50" s="1152"/>
      <c r="EI50" s="1152"/>
      <c r="EJ50" s="1152"/>
      <c r="EK50" s="1152"/>
      <c r="EL50" s="1152"/>
      <c r="EM50" s="1152"/>
      <c r="EN50" s="1152"/>
      <c r="EO50" s="1152"/>
      <c r="EP50" s="1152"/>
      <c r="EQ50" s="1152"/>
      <c r="ER50" s="1152"/>
      <c r="ES50" s="1152"/>
      <c r="ET50" s="1152"/>
      <c r="EU50" s="1152"/>
      <c r="EV50" s="1152"/>
      <c r="EW50" s="1152"/>
      <c r="EX50" s="1152"/>
      <c r="EY50" s="1152"/>
      <c r="EZ50" s="1152"/>
      <c r="FA50" s="1152"/>
      <c r="FB50" s="1152"/>
      <c r="FC50" s="1152"/>
      <c r="FD50" s="1152"/>
      <c r="FE50" s="1152"/>
      <c r="FF50" s="1152"/>
      <c r="FG50" s="1152"/>
      <c r="FH50" s="1152"/>
      <c r="FI50" s="1152"/>
      <c r="FJ50" s="1152"/>
      <c r="FK50" s="1152"/>
      <c r="FL50" s="1152"/>
      <c r="FM50" s="1152"/>
      <c r="FN50" s="1152"/>
      <c r="FO50" s="1152"/>
      <c r="FP50" s="1152"/>
      <c r="FQ50" s="1152"/>
      <c r="FR50" s="1152"/>
      <c r="FS50" s="1152"/>
      <c r="FT50" s="1152"/>
      <c r="FU50" s="1152"/>
      <c r="FV50" s="1152"/>
      <c r="FW50" s="1152"/>
      <c r="FX50" s="1152"/>
      <c r="FY50" s="1152"/>
      <c r="FZ50" s="1152"/>
      <c r="GA50" s="1152"/>
      <c r="GB50" s="1152"/>
      <c r="GC50" s="1152"/>
      <c r="GD50" s="1152"/>
      <c r="GE50" s="1152"/>
      <c r="GF50" s="1152"/>
      <c r="GG50" s="1152"/>
    </row>
    <row r="51" spans="1:189" s="1149" customFormat="1" ht="15.95" customHeight="1">
      <c r="A51" s="639"/>
      <c r="B51" s="467"/>
      <c r="C51" s="1554" t="e">
        <f>#REF!</f>
        <v>#REF!</v>
      </c>
      <c r="D51" s="1669">
        <f>J51</f>
        <v>22.05</v>
      </c>
      <c r="E51" s="547" t="e">
        <f>#REF!</f>
        <v>#REF!</v>
      </c>
      <c r="F51" s="547" t="e">
        <f>+D51*E51</f>
        <v>#REF!</v>
      </c>
      <c r="H51" s="1150">
        <v>21</v>
      </c>
      <c r="I51" s="1151">
        <v>1.05</v>
      </c>
      <c r="J51" s="1150">
        <f>H51*I51</f>
        <v>22.05</v>
      </c>
      <c r="K51" s="1152"/>
      <c r="L51" s="1152"/>
      <c r="M51" s="1152"/>
      <c r="N51" s="1152"/>
      <c r="O51" s="1152"/>
      <c r="P51" s="1152"/>
      <c r="Q51" s="1152"/>
      <c r="R51" s="1152"/>
      <c r="S51" s="1152"/>
      <c r="T51" s="1152"/>
      <c r="U51" s="1152"/>
      <c r="V51" s="1152"/>
      <c r="W51" s="1152"/>
      <c r="X51" s="1152"/>
      <c r="Y51" s="1152"/>
      <c r="Z51" s="1152"/>
      <c r="AA51" s="1152"/>
      <c r="AB51" s="1152"/>
      <c r="AC51" s="1152"/>
      <c r="AD51" s="1152"/>
      <c r="AE51" s="1152"/>
      <c r="AF51" s="1152"/>
      <c r="AG51" s="1152"/>
      <c r="AH51" s="1152"/>
      <c r="AI51" s="1152"/>
      <c r="AJ51" s="1152"/>
      <c r="AK51" s="1152"/>
      <c r="AL51" s="1152"/>
      <c r="AM51" s="1152"/>
      <c r="AN51" s="1152"/>
      <c r="AO51" s="1152"/>
      <c r="AP51" s="1152"/>
      <c r="AQ51" s="1152"/>
      <c r="AR51" s="1152"/>
      <c r="AS51" s="1152"/>
      <c r="AT51" s="1152"/>
      <c r="AU51" s="1152"/>
      <c r="AV51" s="1152"/>
      <c r="AW51" s="1152"/>
      <c r="AX51" s="1152"/>
      <c r="AY51" s="1152"/>
      <c r="AZ51" s="1152"/>
      <c r="BA51" s="1152"/>
      <c r="BB51" s="1152"/>
      <c r="BC51" s="1152"/>
      <c r="BD51" s="1152"/>
      <c r="BE51" s="1152"/>
      <c r="BF51" s="1152"/>
      <c r="BG51" s="1152"/>
      <c r="BH51" s="1152"/>
      <c r="BI51" s="1152"/>
      <c r="BJ51" s="1152"/>
      <c r="BK51" s="1152"/>
      <c r="BL51" s="1152"/>
      <c r="BM51" s="1152"/>
      <c r="BN51" s="1152"/>
      <c r="BO51" s="1152"/>
      <c r="BP51" s="1152"/>
      <c r="BQ51" s="1152"/>
      <c r="BR51" s="1152"/>
      <c r="BS51" s="1152"/>
      <c r="BT51" s="1152"/>
      <c r="BU51" s="1152"/>
      <c r="BV51" s="1152"/>
      <c r="BW51" s="1152"/>
      <c r="BX51" s="1152"/>
      <c r="BY51" s="1152"/>
      <c r="BZ51" s="1152"/>
      <c r="CA51" s="1152"/>
      <c r="CB51" s="1152"/>
      <c r="CC51" s="1152"/>
      <c r="CD51" s="1152"/>
      <c r="CE51" s="1152"/>
      <c r="CF51" s="1152"/>
      <c r="CG51" s="1152"/>
      <c r="CH51" s="1152"/>
      <c r="CI51" s="1152"/>
      <c r="CJ51" s="1152"/>
      <c r="CK51" s="1152"/>
      <c r="CL51" s="1152"/>
      <c r="CM51" s="1152"/>
      <c r="CN51" s="1152"/>
      <c r="CO51" s="1152"/>
      <c r="CP51" s="1152"/>
      <c r="CQ51" s="1152"/>
      <c r="CR51" s="1152"/>
      <c r="CS51" s="1152"/>
      <c r="CT51" s="1152"/>
      <c r="CU51" s="1152"/>
      <c r="CV51" s="1152"/>
      <c r="CW51" s="1152"/>
      <c r="CX51" s="1152"/>
      <c r="CY51" s="1152"/>
      <c r="CZ51" s="1152"/>
      <c r="DA51" s="1152"/>
      <c r="DB51" s="1152"/>
      <c r="DC51" s="1152"/>
      <c r="DD51" s="1152"/>
      <c r="DE51" s="1152"/>
      <c r="DF51" s="1152"/>
      <c r="DG51" s="1152"/>
      <c r="DH51" s="1152"/>
      <c r="DI51" s="1152"/>
      <c r="DJ51" s="1152"/>
      <c r="DK51" s="1152"/>
      <c r="DL51" s="1152"/>
      <c r="DM51" s="1152"/>
      <c r="DN51" s="1152"/>
      <c r="DO51" s="1152"/>
      <c r="DP51" s="1152"/>
      <c r="DQ51" s="1152"/>
      <c r="DR51" s="1152"/>
      <c r="DS51" s="1152"/>
      <c r="DT51" s="1152"/>
      <c r="DU51" s="1152"/>
      <c r="DV51" s="1152"/>
      <c r="DW51" s="1152"/>
      <c r="DX51" s="1152"/>
      <c r="DY51" s="1152"/>
      <c r="DZ51" s="1152"/>
      <c r="EA51" s="1152"/>
      <c r="EB51" s="1152"/>
      <c r="EC51" s="1152"/>
      <c r="ED51" s="1152"/>
      <c r="EE51" s="1152"/>
      <c r="EF51" s="1152"/>
      <c r="EG51" s="1152"/>
      <c r="EH51" s="1152"/>
      <c r="EI51" s="1152"/>
      <c r="EJ51" s="1152"/>
      <c r="EK51" s="1152"/>
      <c r="EL51" s="1152"/>
      <c r="EM51" s="1152"/>
      <c r="EN51" s="1152"/>
      <c r="EO51" s="1152"/>
      <c r="EP51" s="1152"/>
      <c r="EQ51" s="1152"/>
      <c r="ER51" s="1152"/>
      <c r="ES51" s="1152"/>
      <c r="ET51" s="1152"/>
      <c r="EU51" s="1152"/>
      <c r="EV51" s="1152"/>
      <c r="EW51" s="1152"/>
      <c r="EX51" s="1152"/>
      <c r="EY51" s="1152"/>
      <c r="EZ51" s="1152"/>
      <c r="FA51" s="1152"/>
      <c r="FB51" s="1152"/>
      <c r="FC51" s="1152"/>
      <c r="FD51" s="1152"/>
      <c r="FE51" s="1152"/>
      <c r="FF51" s="1152"/>
      <c r="FG51" s="1152"/>
      <c r="FH51" s="1152"/>
      <c r="FI51" s="1152"/>
      <c r="FJ51" s="1152"/>
      <c r="FK51" s="1152"/>
      <c r="FL51" s="1152"/>
      <c r="FM51" s="1152"/>
      <c r="FN51" s="1152"/>
      <c r="FO51" s="1152"/>
      <c r="FP51" s="1152"/>
      <c r="FQ51" s="1152"/>
      <c r="FR51" s="1152"/>
      <c r="FS51" s="1152"/>
      <c r="FT51" s="1152"/>
      <c r="FU51" s="1152"/>
      <c r="FV51" s="1152"/>
      <c r="FW51" s="1152"/>
      <c r="FX51" s="1152"/>
      <c r="FY51" s="1152"/>
      <c r="FZ51" s="1152"/>
      <c r="GA51" s="1152"/>
      <c r="GB51" s="1152"/>
      <c r="GC51" s="1152"/>
      <c r="GD51" s="1152"/>
      <c r="GE51" s="1152"/>
      <c r="GF51" s="1152"/>
      <c r="GG51" s="1152"/>
    </row>
    <row r="52" spans="1:189" s="1149" customFormat="1" ht="15.95" customHeight="1">
      <c r="A52" s="745" t="e">
        <f>+#REF!</f>
        <v>#REF!</v>
      </c>
      <c r="B52" s="768" t="e">
        <f>+#REF!</f>
        <v>#REF!</v>
      </c>
      <c r="C52" s="1617"/>
      <c r="D52" s="954"/>
      <c r="E52" s="954"/>
      <c r="F52" s="954"/>
      <c r="H52" s="1150"/>
      <c r="I52" s="1151"/>
      <c r="J52" s="1150"/>
      <c r="K52" s="1152"/>
      <c r="L52" s="1152"/>
      <c r="M52" s="1152"/>
      <c r="N52" s="1152"/>
      <c r="O52" s="1152"/>
      <c r="P52" s="1152"/>
      <c r="Q52" s="1152"/>
      <c r="R52" s="1152"/>
      <c r="S52" s="1152"/>
      <c r="T52" s="1152"/>
      <c r="U52" s="1152"/>
      <c r="V52" s="1152"/>
      <c r="W52" s="1152"/>
      <c r="X52" s="1152"/>
      <c r="Y52" s="1152"/>
      <c r="Z52" s="1152"/>
      <c r="AA52" s="1152"/>
      <c r="AB52" s="1152"/>
      <c r="AC52" s="1152"/>
      <c r="AD52" s="1152"/>
      <c r="AE52" s="1152"/>
      <c r="AF52" s="1152"/>
      <c r="AG52" s="1152"/>
      <c r="AH52" s="1152"/>
      <c r="AI52" s="1152"/>
      <c r="AJ52" s="1152"/>
      <c r="AK52" s="1152"/>
      <c r="AL52" s="1152"/>
      <c r="AM52" s="1152"/>
      <c r="AN52" s="1152"/>
      <c r="AO52" s="1152"/>
      <c r="AP52" s="1152"/>
      <c r="AQ52" s="1152"/>
      <c r="AR52" s="1152"/>
      <c r="AS52" s="1152"/>
      <c r="AT52" s="1152"/>
      <c r="AU52" s="1152"/>
      <c r="AV52" s="1152"/>
      <c r="AW52" s="1152"/>
      <c r="AX52" s="1152"/>
      <c r="AY52" s="1152"/>
      <c r="AZ52" s="1152"/>
      <c r="BA52" s="1152"/>
      <c r="BB52" s="1152"/>
      <c r="BC52" s="1152"/>
      <c r="BD52" s="1152"/>
      <c r="BE52" s="1152"/>
      <c r="BF52" s="1152"/>
      <c r="BG52" s="1152"/>
      <c r="BH52" s="1152"/>
      <c r="BI52" s="1152"/>
      <c r="BJ52" s="1152"/>
      <c r="BK52" s="1152"/>
      <c r="BL52" s="1152"/>
      <c r="BM52" s="1152"/>
      <c r="BN52" s="1152"/>
      <c r="BO52" s="1152"/>
      <c r="BP52" s="1152"/>
      <c r="BQ52" s="1152"/>
      <c r="BR52" s="1152"/>
      <c r="BS52" s="1152"/>
      <c r="BT52" s="1152"/>
      <c r="BU52" s="1152"/>
      <c r="BV52" s="1152"/>
      <c r="BW52" s="1152"/>
      <c r="BX52" s="1152"/>
      <c r="BY52" s="1152"/>
      <c r="BZ52" s="1152"/>
      <c r="CA52" s="1152"/>
      <c r="CB52" s="1152"/>
      <c r="CC52" s="1152"/>
      <c r="CD52" s="1152"/>
      <c r="CE52" s="1152"/>
      <c r="CF52" s="1152"/>
      <c r="CG52" s="1152"/>
      <c r="CH52" s="1152"/>
      <c r="CI52" s="1152"/>
      <c r="CJ52" s="1152"/>
      <c r="CK52" s="1152"/>
      <c r="CL52" s="1152"/>
      <c r="CM52" s="1152"/>
      <c r="CN52" s="1152"/>
      <c r="CO52" s="1152"/>
      <c r="CP52" s="1152"/>
      <c r="CQ52" s="1152"/>
      <c r="CR52" s="1152"/>
      <c r="CS52" s="1152"/>
      <c r="CT52" s="1152"/>
      <c r="CU52" s="1152"/>
      <c r="CV52" s="1152"/>
      <c r="CW52" s="1152"/>
      <c r="CX52" s="1152"/>
      <c r="CY52" s="1152"/>
      <c r="CZ52" s="1152"/>
      <c r="DA52" s="1152"/>
      <c r="DB52" s="1152"/>
      <c r="DC52" s="1152"/>
      <c r="DD52" s="1152"/>
      <c r="DE52" s="1152"/>
      <c r="DF52" s="1152"/>
      <c r="DG52" s="1152"/>
      <c r="DH52" s="1152"/>
      <c r="DI52" s="1152"/>
      <c r="DJ52" s="1152"/>
      <c r="DK52" s="1152"/>
      <c r="DL52" s="1152"/>
      <c r="DM52" s="1152"/>
      <c r="DN52" s="1152"/>
      <c r="DO52" s="1152"/>
      <c r="DP52" s="1152"/>
      <c r="DQ52" s="1152"/>
      <c r="DR52" s="1152"/>
      <c r="DS52" s="1152"/>
      <c r="DT52" s="1152"/>
      <c r="DU52" s="1152"/>
      <c r="DV52" s="1152"/>
      <c r="DW52" s="1152"/>
      <c r="DX52" s="1152"/>
      <c r="DY52" s="1152"/>
      <c r="DZ52" s="1152"/>
      <c r="EA52" s="1152"/>
      <c r="EB52" s="1152"/>
      <c r="EC52" s="1152"/>
      <c r="ED52" s="1152"/>
      <c r="EE52" s="1152"/>
      <c r="EF52" s="1152"/>
      <c r="EG52" s="1152"/>
      <c r="EH52" s="1152"/>
      <c r="EI52" s="1152"/>
      <c r="EJ52" s="1152"/>
      <c r="EK52" s="1152"/>
      <c r="EL52" s="1152"/>
      <c r="EM52" s="1152"/>
      <c r="EN52" s="1152"/>
      <c r="EO52" s="1152"/>
      <c r="EP52" s="1152"/>
      <c r="EQ52" s="1152"/>
      <c r="ER52" s="1152"/>
      <c r="ES52" s="1152"/>
      <c r="ET52" s="1152"/>
      <c r="EU52" s="1152"/>
      <c r="EV52" s="1152"/>
      <c r="EW52" s="1152"/>
      <c r="EX52" s="1152"/>
      <c r="EY52" s="1152"/>
      <c r="EZ52" s="1152"/>
      <c r="FA52" s="1152"/>
      <c r="FB52" s="1152"/>
      <c r="FC52" s="1152"/>
      <c r="FD52" s="1152"/>
      <c r="FE52" s="1152"/>
      <c r="FF52" s="1152"/>
      <c r="FG52" s="1152"/>
      <c r="FH52" s="1152"/>
      <c r="FI52" s="1152"/>
      <c r="FJ52" s="1152"/>
      <c r="FK52" s="1152"/>
      <c r="FL52" s="1152"/>
      <c r="FM52" s="1152"/>
      <c r="FN52" s="1152"/>
      <c r="FO52" s="1152"/>
      <c r="FP52" s="1152"/>
      <c r="FQ52" s="1152"/>
      <c r="FR52" s="1152"/>
      <c r="FS52" s="1152"/>
      <c r="FT52" s="1152"/>
      <c r="FU52" s="1152"/>
      <c r="FV52" s="1152"/>
      <c r="FW52" s="1152"/>
      <c r="FX52" s="1152"/>
      <c r="FY52" s="1152"/>
      <c r="FZ52" s="1152"/>
      <c r="GA52" s="1152"/>
      <c r="GB52" s="1152"/>
      <c r="GC52" s="1152"/>
      <c r="GD52" s="1152"/>
      <c r="GE52" s="1152"/>
      <c r="GF52" s="1152"/>
      <c r="GG52" s="1152"/>
    </row>
    <row r="53" spans="1:189" s="1149" customFormat="1" ht="15.95" customHeight="1">
      <c r="A53" s="638" t="e">
        <f>+#REF!</f>
        <v>#REF!</v>
      </c>
      <c r="B53" s="1616" t="e">
        <f>+#REF!</f>
        <v>#REF!</v>
      </c>
      <c r="C53" s="1553" t="e">
        <f>#REF!</f>
        <v>#REF!</v>
      </c>
      <c r="D53" s="1139">
        <v>1</v>
      </c>
      <c r="E53" s="1668">
        <f>35555625</f>
        <v>35555625</v>
      </c>
      <c r="F53" s="1668">
        <f>+D53*E53</f>
        <v>35555625</v>
      </c>
      <c r="H53" s="1151">
        <v>1</v>
      </c>
      <c r="I53" s="1151">
        <f>1.05</f>
        <v>1.05</v>
      </c>
      <c r="J53" s="1151">
        <f>H53*I53</f>
        <v>1.05</v>
      </c>
      <c r="K53" s="1152"/>
      <c r="L53" s="1152"/>
      <c r="M53" s="1152"/>
      <c r="N53" s="1152"/>
      <c r="O53" s="1152"/>
      <c r="P53" s="1152"/>
      <c r="Q53" s="1152"/>
      <c r="R53" s="1152"/>
      <c r="S53" s="1152"/>
      <c r="T53" s="1152"/>
      <c r="U53" s="1152"/>
      <c r="V53" s="1152"/>
      <c r="W53" s="1152"/>
      <c r="X53" s="1152"/>
      <c r="Y53" s="1152"/>
      <c r="Z53" s="1152"/>
      <c r="AA53" s="1152"/>
      <c r="AB53" s="1152"/>
      <c r="AC53" s="1152"/>
      <c r="AD53" s="1152"/>
      <c r="AE53" s="1152"/>
      <c r="AF53" s="1152"/>
      <c r="AG53" s="1152"/>
      <c r="AH53" s="1152"/>
      <c r="AI53" s="1152"/>
      <c r="AJ53" s="1152"/>
      <c r="AK53" s="1152"/>
      <c r="AL53" s="1152"/>
      <c r="AM53" s="1152"/>
      <c r="AN53" s="1152"/>
      <c r="AO53" s="1152"/>
      <c r="AP53" s="1152"/>
      <c r="AQ53" s="1152"/>
      <c r="AR53" s="1152"/>
      <c r="AS53" s="1152"/>
      <c r="AT53" s="1152"/>
      <c r="AU53" s="1152"/>
      <c r="AV53" s="1152"/>
      <c r="AW53" s="1152"/>
      <c r="AX53" s="1152"/>
      <c r="AY53" s="1152"/>
      <c r="AZ53" s="1152"/>
      <c r="BA53" s="1152"/>
      <c r="BB53" s="1152"/>
      <c r="BC53" s="1152"/>
      <c r="BD53" s="1152"/>
      <c r="BE53" s="1152"/>
      <c r="BF53" s="1152"/>
      <c r="BG53" s="1152"/>
      <c r="BH53" s="1152"/>
      <c r="BI53" s="1152"/>
      <c r="BJ53" s="1152"/>
      <c r="BK53" s="1152"/>
      <c r="BL53" s="1152"/>
      <c r="BM53" s="1152"/>
      <c r="BN53" s="1152"/>
      <c r="BO53" s="1152"/>
      <c r="BP53" s="1152"/>
      <c r="BQ53" s="1152"/>
      <c r="BR53" s="1152"/>
      <c r="BS53" s="1152"/>
      <c r="BT53" s="1152"/>
      <c r="BU53" s="1152"/>
      <c r="BV53" s="1152"/>
      <c r="BW53" s="1152"/>
      <c r="BX53" s="1152"/>
      <c r="BY53" s="1152"/>
      <c r="BZ53" s="1152"/>
      <c r="CA53" s="1152"/>
      <c r="CB53" s="1152"/>
      <c r="CC53" s="1152"/>
      <c r="CD53" s="1152"/>
      <c r="CE53" s="1152"/>
      <c r="CF53" s="1152"/>
      <c r="CG53" s="1152"/>
      <c r="CH53" s="1152"/>
      <c r="CI53" s="1152"/>
      <c r="CJ53" s="1152"/>
      <c r="CK53" s="1152"/>
      <c r="CL53" s="1152"/>
      <c r="CM53" s="1152"/>
      <c r="CN53" s="1152"/>
      <c r="CO53" s="1152"/>
      <c r="CP53" s="1152"/>
      <c r="CQ53" s="1152"/>
      <c r="CR53" s="1152"/>
      <c r="CS53" s="1152"/>
      <c r="CT53" s="1152"/>
      <c r="CU53" s="1152"/>
      <c r="CV53" s="1152"/>
      <c r="CW53" s="1152"/>
      <c r="CX53" s="1152"/>
      <c r="CY53" s="1152"/>
      <c r="CZ53" s="1152"/>
      <c r="DA53" s="1152"/>
      <c r="DB53" s="1152"/>
      <c r="DC53" s="1152"/>
      <c r="DD53" s="1152"/>
      <c r="DE53" s="1152"/>
      <c r="DF53" s="1152"/>
      <c r="DG53" s="1152"/>
      <c r="DH53" s="1152"/>
      <c r="DI53" s="1152"/>
      <c r="DJ53" s="1152"/>
      <c r="DK53" s="1152"/>
      <c r="DL53" s="1152"/>
      <c r="DM53" s="1152"/>
      <c r="DN53" s="1152"/>
      <c r="DO53" s="1152"/>
      <c r="DP53" s="1152"/>
      <c r="DQ53" s="1152"/>
      <c r="DR53" s="1152"/>
      <c r="DS53" s="1152"/>
      <c r="DT53" s="1152"/>
      <c r="DU53" s="1152"/>
      <c r="DV53" s="1152"/>
      <c r="DW53" s="1152"/>
      <c r="DX53" s="1152"/>
      <c r="DY53" s="1152"/>
      <c r="DZ53" s="1152"/>
      <c r="EA53" s="1152"/>
      <c r="EB53" s="1152"/>
      <c r="EC53" s="1152"/>
      <c r="ED53" s="1152"/>
      <c r="EE53" s="1152"/>
      <c r="EF53" s="1152"/>
      <c r="EG53" s="1152"/>
      <c r="EH53" s="1152"/>
      <c r="EI53" s="1152"/>
      <c r="EJ53" s="1152"/>
      <c r="EK53" s="1152"/>
      <c r="EL53" s="1152"/>
      <c r="EM53" s="1152"/>
      <c r="EN53" s="1152"/>
      <c r="EO53" s="1152"/>
      <c r="EP53" s="1152"/>
      <c r="EQ53" s="1152"/>
      <c r="ER53" s="1152"/>
      <c r="ES53" s="1152"/>
      <c r="ET53" s="1152"/>
      <c r="EU53" s="1152"/>
      <c r="EV53" s="1152"/>
      <c r="EW53" s="1152"/>
      <c r="EX53" s="1152"/>
      <c r="EY53" s="1152"/>
      <c r="EZ53" s="1152"/>
      <c r="FA53" s="1152"/>
      <c r="FB53" s="1152"/>
      <c r="FC53" s="1152"/>
      <c r="FD53" s="1152"/>
      <c r="FE53" s="1152"/>
      <c r="FF53" s="1152"/>
      <c r="FG53" s="1152"/>
      <c r="FH53" s="1152"/>
      <c r="FI53" s="1152"/>
      <c r="FJ53" s="1152"/>
      <c r="FK53" s="1152"/>
      <c r="FL53" s="1152"/>
      <c r="FM53" s="1152"/>
      <c r="FN53" s="1152"/>
      <c r="FO53" s="1152"/>
      <c r="FP53" s="1152"/>
      <c r="FQ53" s="1152"/>
      <c r="FR53" s="1152"/>
      <c r="FS53" s="1152"/>
      <c r="FT53" s="1152"/>
      <c r="FU53" s="1152"/>
      <c r="FV53" s="1152"/>
      <c r="FW53" s="1152"/>
      <c r="FX53" s="1152"/>
      <c r="FY53" s="1152"/>
      <c r="FZ53" s="1152"/>
      <c r="GA53" s="1152"/>
      <c r="GB53" s="1152"/>
      <c r="GC53" s="1152"/>
      <c r="GD53" s="1152"/>
      <c r="GE53" s="1152"/>
      <c r="GF53" s="1152"/>
      <c r="GG53" s="1152"/>
    </row>
    <row r="54" spans="1:189" s="1149" customFormat="1" ht="15.95" customHeight="1">
      <c r="A54" s="638" t="e">
        <f>+#REF!</f>
        <v>#REF!</v>
      </c>
      <c r="B54" s="1616" t="e">
        <f>+#REF!</f>
        <v>#REF!</v>
      </c>
      <c r="C54" s="1553" t="e">
        <f>#REF!</f>
        <v>#REF!</v>
      </c>
      <c r="D54" s="1139">
        <v>1</v>
      </c>
      <c r="E54" s="1668">
        <f>28444500</f>
        <v>28444500</v>
      </c>
      <c r="F54" s="1668">
        <f>+D54*E54</f>
        <v>28444500</v>
      </c>
      <c r="H54" s="1151">
        <f>H53</f>
        <v>1</v>
      </c>
      <c r="I54" s="1151">
        <f>1.05</f>
        <v>1.05</v>
      </c>
      <c r="J54" s="1151">
        <f>H54*I54</f>
        <v>1.05</v>
      </c>
      <c r="K54" s="1152"/>
      <c r="L54" s="1152"/>
      <c r="M54" s="1152"/>
      <c r="N54" s="1152"/>
      <c r="O54" s="1152"/>
      <c r="P54" s="1152"/>
      <c r="Q54" s="1152"/>
      <c r="R54" s="1152"/>
      <c r="S54" s="1152"/>
      <c r="T54" s="1152"/>
      <c r="U54" s="1152"/>
      <c r="V54" s="1152"/>
      <c r="W54" s="1152"/>
      <c r="X54" s="1152"/>
      <c r="Y54" s="1152"/>
      <c r="Z54" s="1152"/>
      <c r="AA54" s="1152"/>
      <c r="AB54" s="1152"/>
      <c r="AC54" s="1152"/>
      <c r="AD54" s="1152"/>
      <c r="AE54" s="1152"/>
      <c r="AF54" s="1152"/>
      <c r="AG54" s="1152"/>
      <c r="AH54" s="1152"/>
      <c r="AI54" s="1152"/>
      <c r="AJ54" s="1152"/>
      <c r="AK54" s="1152"/>
      <c r="AL54" s="1152"/>
      <c r="AM54" s="1152"/>
      <c r="AN54" s="1152"/>
      <c r="AO54" s="1152"/>
      <c r="AP54" s="1152"/>
      <c r="AQ54" s="1152"/>
      <c r="AR54" s="1152"/>
      <c r="AS54" s="1152"/>
      <c r="AT54" s="1152"/>
      <c r="AU54" s="1152"/>
      <c r="AV54" s="1152"/>
      <c r="AW54" s="1152"/>
      <c r="AX54" s="1152"/>
      <c r="AY54" s="1152"/>
      <c r="AZ54" s="1152"/>
      <c r="BA54" s="1152"/>
      <c r="BB54" s="1152"/>
      <c r="BC54" s="1152"/>
      <c r="BD54" s="1152"/>
      <c r="BE54" s="1152"/>
      <c r="BF54" s="1152"/>
      <c r="BG54" s="1152"/>
      <c r="BH54" s="1152"/>
      <c r="BI54" s="1152"/>
      <c r="BJ54" s="1152"/>
      <c r="BK54" s="1152"/>
      <c r="BL54" s="1152"/>
      <c r="BM54" s="1152"/>
      <c r="BN54" s="1152"/>
      <c r="BO54" s="1152"/>
      <c r="BP54" s="1152"/>
      <c r="BQ54" s="1152"/>
      <c r="BR54" s="1152"/>
      <c r="BS54" s="1152"/>
      <c r="BT54" s="1152"/>
      <c r="BU54" s="1152"/>
      <c r="BV54" s="1152"/>
      <c r="BW54" s="1152"/>
      <c r="BX54" s="1152"/>
      <c r="BY54" s="1152"/>
      <c r="BZ54" s="1152"/>
      <c r="CA54" s="1152"/>
      <c r="CB54" s="1152"/>
      <c r="CC54" s="1152"/>
      <c r="CD54" s="1152"/>
      <c r="CE54" s="1152"/>
      <c r="CF54" s="1152"/>
      <c r="CG54" s="1152"/>
      <c r="CH54" s="1152"/>
      <c r="CI54" s="1152"/>
      <c r="CJ54" s="1152"/>
      <c r="CK54" s="1152"/>
      <c r="CL54" s="1152"/>
      <c r="CM54" s="1152"/>
      <c r="CN54" s="1152"/>
      <c r="CO54" s="1152"/>
      <c r="CP54" s="1152"/>
      <c r="CQ54" s="1152"/>
      <c r="CR54" s="1152"/>
      <c r="CS54" s="1152"/>
      <c r="CT54" s="1152"/>
      <c r="CU54" s="1152"/>
      <c r="CV54" s="1152"/>
      <c r="CW54" s="1152"/>
      <c r="CX54" s="1152"/>
      <c r="CY54" s="1152"/>
      <c r="CZ54" s="1152"/>
      <c r="DA54" s="1152"/>
      <c r="DB54" s="1152"/>
      <c r="DC54" s="1152"/>
      <c r="DD54" s="1152"/>
      <c r="DE54" s="1152"/>
      <c r="DF54" s="1152"/>
      <c r="DG54" s="1152"/>
      <c r="DH54" s="1152"/>
      <c r="DI54" s="1152"/>
      <c r="DJ54" s="1152"/>
      <c r="DK54" s="1152"/>
      <c r="DL54" s="1152"/>
      <c r="DM54" s="1152"/>
      <c r="DN54" s="1152"/>
      <c r="DO54" s="1152"/>
      <c r="DP54" s="1152"/>
      <c r="DQ54" s="1152"/>
      <c r="DR54" s="1152"/>
      <c r="DS54" s="1152"/>
      <c r="DT54" s="1152"/>
      <c r="DU54" s="1152"/>
      <c r="DV54" s="1152"/>
      <c r="DW54" s="1152"/>
      <c r="DX54" s="1152"/>
      <c r="DY54" s="1152"/>
      <c r="DZ54" s="1152"/>
      <c r="EA54" s="1152"/>
      <c r="EB54" s="1152"/>
      <c r="EC54" s="1152"/>
      <c r="ED54" s="1152"/>
      <c r="EE54" s="1152"/>
      <c r="EF54" s="1152"/>
      <c r="EG54" s="1152"/>
      <c r="EH54" s="1152"/>
      <c r="EI54" s="1152"/>
      <c r="EJ54" s="1152"/>
      <c r="EK54" s="1152"/>
      <c r="EL54" s="1152"/>
      <c r="EM54" s="1152"/>
      <c r="EN54" s="1152"/>
      <c r="EO54" s="1152"/>
      <c r="EP54" s="1152"/>
      <c r="EQ54" s="1152"/>
      <c r="ER54" s="1152"/>
      <c r="ES54" s="1152"/>
      <c r="ET54" s="1152"/>
      <c r="EU54" s="1152"/>
      <c r="EV54" s="1152"/>
      <c r="EW54" s="1152"/>
      <c r="EX54" s="1152"/>
      <c r="EY54" s="1152"/>
      <c r="EZ54" s="1152"/>
      <c r="FA54" s="1152"/>
      <c r="FB54" s="1152"/>
      <c r="FC54" s="1152"/>
      <c r="FD54" s="1152"/>
      <c r="FE54" s="1152"/>
      <c r="FF54" s="1152"/>
      <c r="FG54" s="1152"/>
      <c r="FH54" s="1152"/>
      <c r="FI54" s="1152"/>
      <c r="FJ54" s="1152"/>
      <c r="FK54" s="1152"/>
      <c r="FL54" s="1152"/>
      <c r="FM54" s="1152"/>
      <c r="FN54" s="1152"/>
      <c r="FO54" s="1152"/>
      <c r="FP54" s="1152"/>
      <c r="FQ54" s="1152"/>
      <c r="FR54" s="1152"/>
      <c r="FS54" s="1152"/>
      <c r="FT54" s="1152"/>
      <c r="FU54" s="1152"/>
      <c r="FV54" s="1152"/>
      <c r="FW54" s="1152"/>
      <c r="FX54" s="1152"/>
      <c r="FY54" s="1152"/>
      <c r="FZ54" s="1152"/>
      <c r="GA54" s="1152"/>
      <c r="GB54" s="1152"/>
      <c r="GC54" s="1152"/>
      <c r="GD54" s="1152"/>
      <c r="GE54" s="1152"/>
      <c r="GF54" s="1152"/>
      <c r="GG54" s="1152"/>
    </row>
    <row r="55" spans="1:189" s="1149" customFormat="1" ht="15.95" customHeight="1">
      <c r="A55" s="638" t="e">
        <f>+#REF!</f>
        <v>#REF!</v>
      </c>
      <c r="B55" s="1616" t="e">
        <f>+#REF!</f>
        <v>#REF!</v>
      </c>
      <c r="C55" s="1553" t="e">
        <f>#REF!</f>
        <v>#REF!</v>
      </c>
      <c r="D55" s="1668">
        <f>J55</f>
        <v>105</v>
      </c>
      <c r="E55" s="1668" t="e">
        <f>#REF!</f>
        <v>#REF!</v>
      </c>
      <c r="F55" s="1668" t="e">
        <f>+D55*E55</f>
        <v>#REF!</v>
      </c>
      <c r="H55" s="1674">
        <f>+F15+1500</f>
        <v>1500</v>
      </c>
      <c r="I55" s="1674">
        <f>1.4*0.05</f>
        <v>6.9999999999999993E-2</v>
      </c>
      <c r="J55" s="1151">
        <f>ROUND(H55*I55,0)</f>
        <v>105</v>
      </c>
      <c r="K55" s="1152"/>
      <c r="L55" s="1152"/>
      <c r="M55" s="1152"/>
      <c r="N55" s="1152"/>
      <c r="O55" s="1152"/>
      <c r="P55" s="1152"/>
      <c r="Q55" s="1152"/>
      <c r="R55" s="1152"/>
      <c r="S55" s="1152"/>
      <c r="T55" s="1152"/>
      <c r="U55" s="1152"/>
      <c r="V55" s="1152"/>
      <c r="W55" s="1152"/>
      <c r="X55" s="1152"/>
      <c r="Y55" s="1152"/>
      <c r="Z55" s="1152"/>
      <c r="AA55" s="1152"/>
      <c r="AB55" s="1152"/>
      <c r="AC55" s="1152"/>
      <c r="AD55" s="1152"/>
      <c r="AE55" s="1152"/>
      <c r="AF55" s="1152"/>
      <c r="AG55" s="1152"/>
      <c r="AH55" s="1152"/>
      <c r="AI55" s="1152"/>
      <c r="AJ55" s="1152"/>
      <c r="AK55" s="1152"/>
      <c r="AL55" s="1152"/>
      <c r="AM55" s="1152"/>
      <c r="AN55" s="1152"/>
      <c r="AO55" s="1152"/>
      <c r="AP55" s="1152"/>
      <c r="AQ55" s="1152"/>
      <c r="AR55" s="1152"/>
      <c r="AS55" s="1152"/>
      <c r="AT55" s="1152"/>
      <c r="AU55" s="1152"/>
      <c r="AV55" s="1152"/>
      <c r="AW55" s="1152"/>
      <c r="AX55" s="1152"/>
      <c r="AY55" s="1152"/>
      <c r="AZ55" s="1152"/>
      <c r="BA55" s="1152"/>
      <c r="BB55" s="1152"/>
      <c r="BC55" s="1152"/>
      <c r="BD55" s="1152"/>
      <c r="BE55" s="1152"/>
      <c r="BF55" s="1152"/>
      <c r="BG55" s="1152"/>
      <c r="BH55" s="1152"/>
      <c r="BI55" s="1152"/>
      <c r="BJ55" s="1152"/>
      <c r="BK55" s="1152"/>
      <c r="BL55" s="1152"/>
      <c r="BM55" s="1152"/>
      <c r="BN55" s="1152"/>
      <c r="BO55" s="1152"/>
      <c r="BP55" s="1152"/>
      <c r="BQ55" s="1152"/>
      <c r="BR55" s="1152"/>
      <c r="BS55" s="1152"/>
      <c r="BT55" s="1152"/>
      <c r="BU55" s="1152"/>
      <c r="BV55" s="1152"/>
      <c r="BW55" s="1152"/>
      <c r="BX55" s="1152"/>
      <c r="BY55" s="1152"/>
      <c r="BZ55" s="1152"/>
      <c r="CA55" s="1152"/>
      <c r="CB55" s="1152"/>
      <c r="CC55" s="1152"/>
      <c r="CD55" s="1152"/>
      <c r="CE55" s="1152"/>
      <c r="CF55" s="1152"/>
      <c r="CG55" s="1152"/>
      <c r="CH55" s="1152"/>
      <c r="CI55" s="1152"/>
      <c r="CJ55" s="1152"/>
      <c r="CK55" s="1152"/>
      <c r="CL55" s="1152"/>
      <c r="CM55" s="1152"/>
      <c r="CN55" s="1152"/>
      <c r="CO55" s="1152"/>
      <c r="CP55" s="1152"/>
      <c r="CQ55" s="1152"/>
      <c r="CR55" s="1152"/>
      <c r="CS55" s="1152"/>
      <c r="CT55" s="1152"/>
      <c r="CU55" s="1152"/>
      <c r="CV55" s="1152"/>
      <c r="CW55" s="1152"/>
      <c r="CX55" s="1152"/>
      <c r="CY55" s="1152"/>
      <c r="CZ55" s="1152"/>
      <c r="DA55" s="1152"/>
      <c r="DB55" s="1152"/>
      <c r="DC55" s="1152"/>
      <c r="DD55" s="1152"/>
      <c r="DE55" s="1152"/>
      <c r="DF55" s="1152"/>
      <c r="DG55" s="1152"/>
      <c r="DH55" s="1152"/>
      <c r="DI55" s="1152"/>
      <c r="DJ55" s="1152"/>
      <c r="DK55" s="1152"/>
      <c r="DL55" s="1152"/>
      <c r="DM55" s="1152"/>
      <c r="DN55" s="1152"/>
      <c r="DO55" s="1152"/>
      <c r="DP55" s="1152"/>
      <c r="DQ55" s="1152"/>
      <c r="DR55" s="1152"/>
      <c r="DS55" s="1152"/>
      <c r="DT55" s="1152"/>
      <c r="DU55" s="1152"/>
      <c r="DV55" s="1152"/>
      <c r="DW55" s="1152"/>
      <c r="DX55" s="1152"/>
      <c r="DY55" s="1152"/>
      <c r="DZ55" s="1152"/>
      <c r="EA55" s="1152"/>
      <c r="EB55" s="1152"/>
      <c r="EC55" s="1152"/>
      <c r="ED55" s="1152"/>
      <c r="EE55" s="1152"/>
      <c r="EF55" s="1152"/>
      <c r="EG55" s="1152"/>
      <c r="EH55" s="1152"/>
      <c r="EI55" s="1152"/>
      <c r="EJ55" s="1152"/>
      <c r="EK55" s="1152"/>
      <c r="EL55" s="1152"/>
      <c r="EM55" s="1152"/>
      <c r="EN55" s="1152"/>
      <c r="EO55" s="1152"/>
      <c r="EP55" s="1152"/>
      <c r="EQ55" s="1152"/>
      <c r="ER55" s="1152"/>
      <c r="ES55" s="1152"/>
      <c r="ET55" s="1152"/>
      <c r="EU55" s="1152"/>
      <c r="EV55" s="1152"/>
      <c r="EW55" s="1152"/>
      <c r="EX55" s="1152"/>
      <c r="EY55" s="1152"/>
      <c r="EZ55" s="1152"/>
      <c r="FA55" s="1152"/>
      <c r="FB55" s="1152"/>
      <c r="FC55" s="1152"/>
      <c r="FD55" s="1152"/>
      <c r="FE55" s="1152"/>
      <c r="FF55" s="1152"/>
      <c r="FG55" s="1152"/>
      <c r="FH55" s="1152"/>
      <c r="FI55" s="1152"/>
      <c r="FJ55" s="1152"/>
      <c r="FK55" s="1152"/>
      <c r="FL55" s="1152"/>
      <c r="FM55" s="1152"/>
      <c r="FN55" s="1152"/>
      <c r="FO55" s="1152"/>
      <c r="FP55" s="1152"/>
      <c r="FQ55" s="1152"/>
      <c r="FR55" s="1152"/>
      <c r="FS55" s="1152"/>
      <c r="FT55" s="1152"/>
      <c r="FU55" s="1152"/>
      <c r="FV55" s="1152"/>
      <c r="FW55" s="1152"/>
      <c r="FX55" s="1152"/>
      <c r="FY55" s="1152"/>
      <c r="FZ55" s="1152"/>
      <c r="GA55" s="1152"/>
      <c r="GB55" s="1152"/>
      <c r="GC55" s="1152"/>
      <c r="GD55" s="1152"/>
      <c r="GE55" s="1152"/>
      <c r="GF55" s="1152"/>
      <c r="GG55" s="1152"/>
    </row>
    <row r="56" spans="1:189" s="1149" customFormat="1" ht="15.95" customHeight="1">
      <c r="A56" s="639" t="e">
        <f>+#REF!</f>
        <v>#REF!</v>
      </c>
      <c r="B56" s="467" t="e">
        <f>+#REF!</f>
        <v>#REF!</v>
      </c>
      <c r="C56" s="1554" t="e">
        <f>#REF!</f>
        <v>#REF!</v>
      </c>
      <c r="D56" s="1140">
        <v>1</v>
      </c>
      <c r="E56" s="1669">
        <v>5835882.2130000005</v>
      </c>
      <c r="F56" s="1669">
        <f>+D56*E56</f>
        <v>5835882.2130000005</v>
      </c>
      <c r="H56" s="1151">
        <f>H54</f>
        <v>1</v>
      </c>
      <c r="I56" s="1151">
        <f>1.05</f>
        <v>1.05</v>
      </c>
      <c r="J56" s="1151">
        <f>H56*I56</f>
        <v>1.05</v>
      </c>
      <c r="K56" s="1152"/>
      <c r="L56" s="1152"/>
      <c r="M56" s="1152"/>
      <c r="N56" s="1152"/>
      <c r="O56" s="1152"/>
      <c r="P56" s="1152"/>
      <c r="Q56" s="1152"/>
      <c r="R56" s="1152"/>
      <c r="S56" s="1152"/>
      <c r="T56" s="1152"/>
      <c r="U56" s="1152"/>
      <c r="V56" s="1152"/>
      <c r="W56" s="1152"/>
      <c r="X56" s="1152"/>
      <c r="Y56" s="1152"/>
      <c r="Z56" s="1152"/>
      <c r="AA56" s="1152"/>
      <c r="AB56" s="1152"/>
      <c r="AC56" s="1152"/>
      <c r="AD56" s="1152"/>
      <c r="AE56" s="1152"/>
      <c r="AF56" s="1152"/>
      <c r="AG56" s="1152"/>
      <c r="AH56" s="1152"/>
      <c r="AI56" s="1152"/>
      <c r="AJ56" s="1152"/>
      <c r="AK56" s="1152"/>
      <c r="AL56" s="1152"/>
      <c r="AM56" s="1152"/>
      <c r="AN56" s="1152"/>
      <c r="AO56" s="1152"/>
      <c r="AP56" s="1152"/>
      <c r="AQ56" s="1152"/>
      <c r="AR56" s="1152"/>
      <c r="AS56" s="1152"/>
      <c r="AT56" s="1152"/>
      <c r="AU56" s="1152"/>
      <c r="AV56" s="1152"/>
      <c r="AW56" s="1152"/>
      <c r="AX56" s="1152"/>
      <c r="AY56" s="1152"/>
      <c r="AZ56" s="1152"/>
      <c r="BA56" s="1152"/>
      <c r="BB56" s="1152"/>
      <c r="BC56" s="1152"/>
      <c r="BD56" s="1152"/>
      <c r="BE56" s="1152"/>
      <c r="BF56" s="1152"/>
      <c r="BG56" s="1152"/>
      <c r="BH56" s="1152"/>
      <c r="BI56" s="1152"/>
      <c r="BJ56" s="1152"/>
      <c r="BK56" s="1152"/>
      <c r="BL56" s="1152"/>
      <c r="BM56" s="1152"/>
      <c r="BN56" s="1152"/>
      <c r="BO56" s="1152"/>
      <c r="BP56" s="1152"/>
      <c r="BQ56" s="1152"/>
      <c r="BR56" s="1152"/>
      <c r="BS56" s="1152"/>
      <c r="BT56" s="1152"/>
      <c r="BU56" s="1152"/>
      <c r="BV56" s="1152"/>
      <c r="BW56" s="1152"/>
      <c r="BX56" s="1152"/>
      <c r="BY56" s="1152"/>
      <c r="BZ56" s="1152"/>
      <c r="CA56" s="1152"/>
      <c r="CB56" s="1152"/>
      <c r="CC56" s="1152"/>
      <c r="CD56" s="1152"/>
      <c r="CE56" s="1152"/>
      <c r="CF56" s="1152"/>
      <c r="CG56" s="1152"/>
      <c r="CH56" s="1152"/>
      <c r="CI56" s="1152"/>
      <c r="CJ56" s="1152"/>
      <c r="CK56" s="1152"/>
      <c r="CL56" s="1152"/>
      <c r="CM56" s="1152"/>
      <c r="CN56" s="1152"/>
      <c r="CO56" s="1152"/>
      <c r="CP56" s="1152"/>
      <c r="CQ56" s="1152"/>
      <c r="CR56" s="1152"/>
      <c r="CS56" s="1152"/>
      <c r="CT56" s="1152"/>
      <c r="CU56" s="1152"/>
      <c r="CV56" s="1152"/>
      <c r="CW56" s="1152"/>
      <c r="CX56" s="1152"/>
      <c r="CY56" s="1152"/>
      <c r="CZ56" s="1152"/>
      <c r="DA56" s="1152"/>
      <c r="DB56" s="1152"/>
      <c r="DC56" s="1152"/>
      <c r="DD56" s="1152"/>
      <c r="DE56" s="1152"/>
      <c r="DF56" s="1152"/>
      <c r="DG56" s="1152"/>
      <c r="DH56" s="1152"/>
      <c r="DI56" s="1152"/>
      <c r="DJ56" s="1152"/>
      <c r="DK56" s="1152"/>
      <c r="DL56" s="1152"/>
      <c r="DM56" s="1152"/>
      <c r="DN56" s="1152"/>
      <c r="DO56" s="1152"/>
      <c r="DP56" s="1152"/>
      <c r="DQ56" s="1152"/>
      <c r="DR56" s="1152"/>
      <c r="DS56" s="1152"/>
      <c r="DT56" s="1152"/>
      <c r="DU56" s="1152"/>
      <c r="DV56" s="1152"/>
      <c r="DW56" s="1152"/>
      <c r="DX56" s="1152"/>
      <c r="DY56" s="1152"/>
      <c r="DZ56" s="1152"/>
      <c r="EA56" s="1152"/>
      <c r="EB56" s="1152"/>
      <c r="EC56" s="1152"/>
      <c r="ED56" s="1152"/>
      <c r="EE56" s="1152"/>
      <c r="EF56" s="1152"/>
      <c r="EG56" s="1152"/>
      <c r="EH56" s="1152"/>
      <c r="EI56" s="1152"/>
      <c r="EJ56" s="1152"/>
      <c r="EK56" s="1152"/>
      <c r="EL56" s="1152"/>
      <c r="EM56" s="1152"/>
      <c r="EN56" s="1152"/>
      <c r="EO56" s="1152"/>
      <c r="EP56" s="1152"/>
      <c r="EQ56" s="1152"/>
      <c r="ER56" s="1152"/>
      <c r="ES56" s="1152"/>
      <c r="ET56" s="1152"/>
      <c r="EU56" s="1152"/>
      <c r="EV56" s="1152"/>
      <c r="EW56" s="1152"/>
      <c r="EX56" s="1152"/>
      <c r="EY56" s="1152"/>
      <c r="EZ56" s="1152"/>
      <c r="FA56" s="1152"/>
      <c r="FB56" s="1152"/>
      <c r="FC56" s="1152"/>
      <c r="FD56" s="1152"/>
      <c r="FE56" s="1152"/>
      <c r="FF56" s="1152"/>
      <c r="FG56" s="1152"/>
      <c r="FH56" s="1152"/>
      <c r="FI56" s="1152"/>
      <c r="FJ56" s="1152"/>
      <c r="FK56" s="1152"/>
      <c r="FL56" s="1152"/>
      <c r="FM56" s="1152"/>
      <c r="FN56" s="1152"/>
      <c r="FO56" s="1152"/>
      <c r="FP56" s="1152"/>
      <c r="FQ56" s="1152"/>
      <c r="FR56" s="1152"/>
      <c r="FS56" s="1152"/>
      <c r="FT56" s="1152"/>
      <c r="FU56" s="1152"/>
      <c r="FV56" s="1152"/>
      <c r="FW56" s="1152"/>
      <c r="FX56" s="1152"/>
      <c r="FY56" s="1152"/>
      <c r="FZ56" s="1152"/>
      <c r="GA56" s="1152"/>
      <c r="GB56" s="1152"/>
      <c r="GC56" s="1152"/>
      <c r="GD56" s="1152"/>
      <c r="GE56" s="1152"/>
      <c r="GF56" s="1152"/>
      <c r="GG56" s="1152"/>
    </row>
    <row r="57" spans="1:189" s="1152" customFormat="1" ht="15.95" customHeight="1">
      <c r="A57" s="745" t="e">
        <f>+#REF!</f>
        <v>#REF!</v>
      </c>
      <c r="B57" s="768" t="e">
        <f>+#REF!</f>
        <v>#REF!</v>
      </c>
      <c r="C57" s="1617"/>
      <c r="D57" s="954"/>
      <c r="E57" s="544"/>
      <c r="F57" s="544"/>
      <c r="G57" s="1149"/>
      <c r="H57" s="1150"/>
      <c r="I57" s="1151"/>
      <c r="J57" s="1150"/>
    </row>
    <row r="58" spans="1:189" s="1152" customFormat="1" ht="15.95" customHeight="1">
      <c r="A58" s="639"/>
      <c r="B58" s="465"/>
      <c r="C58" s="1554" t="e">
        <f>#REF!</f>
        <v>#REF!</v>
      </c>
      <c r="D58" s="1669">
        <f>J58</f>
        <v>0</v>
      </c>
      <c r="E58" s="547" t="e">
        <f>#REF!</f>
        <v>#REF!</v>
      </c>
      <c r="F58" s="547" t="e">
        <f>+D58*E58</f>
        <v>#REF!</v>
      </c>
      <c r="G58" s="1149"/>
      <c r="H58" s="1673">
        <f>+(F13/2+F15)*10</f>
        <v>0</v>
      </c>
      <c r="I58" s="1674">
        <f>1.1*0</f>
        <v>0</v>
      </c>
      <c r="J58" s="1150">
        <f>H58*I58</f>
        <v>0</v>
      </c>
    </row>
    <row r="59" spans="1:189" s="1152" customFormat="1" ht="15.95" customHeight="1">
      <c r="A59" s="745" t="e">
        <f>+#REF!</f>
        <v>#REF!</v>
      </c>
      <c r="B59" s="768" t="e">
        <f>+#REF!</f>
        <v>#REF!</v>
      </c>
      <c r="C59" s="1617"/>
      <c r="D59" s="954"/>
      <c r="E59" s="544"/>
      <c r="F59" s="544"/>
      <c r="G59" s="1149"/>
      <c r="H59" s="1150">
        <f>370+163*2</f>
        <v>696</v>
      </c>
      <c r="I59" s="1151"/>
      <c r="J59" s="1150"/>
    </row>
    <row r="60" spans="1:189" s="1152" customFormat="1" ht="15.95" customHeight="1">
      <c r="A60" s="639"/>
      <c r="B60" s="465"/>
      <c r="C60" s="1554" t="e">
        <f>#REF!</f>
        <v>#REF!</v>
      </c>
      <c r="D60" s="1669">
        <f>J60</f>
        <v>0</v>
      </c>
      <c r="E60" s="547" t="e">
        <f>#REF!</f>
        <v>#REF!</v>
      </c>
      <c r="F60" s="547" t="e">
        <f>+D60*E60</f>
        <v>#REF!</v>
      </c>
      <c r="G60" s="1149"/>
      <c r="H60" s="1673">
        <f>+(F13/2+F15)*2</f>
        <v>0</v>
      </c>
      <c r="I60" s="1674">
        <f>1.1*0</f>
        <v>0</v>
      </c>
      <c r="J60" s="1150">
        <f>H60*I60</f>
        <v>0</v>
      </c>
    </row>
    <row r="61" spans="1:189" s="1152" customFormat="1" ht="15.95" customHeight="1">
      <c r="A61" s="745" t="e">
        <f>+#REF!</f>
        <v>#REF!</v>
      </c>
      <c r="B61" s="768" t="e">
        <f>+#REF!</f>
        <v>#REF!</v>
      </c>
      <c r="C61" s="1617"/>
      <c r="D61" s="954"/>
      <c r="E61" s="544"/>
      <c r="F61" s="544"/>
      <c r="G61" s="1149"/>
      <c r="H61" s="1150"/>
      <c r="I61" s="1151"/>
      <c r="J61" s="1150"/>
    </row>
    <row r="62" spans="1:189" s="1152" customFormat="1" ht="15.95" customHeight="1">
      <c r="A62" s="1615" t="e">
        <f>+#REF!</f>
        <v>#REF!</v>
      </c>
      <c r="B62" s="467" t="e">
        <f>+#REF!</f>
        <v>#REF!</v>
      </c>
      <c r="C62" s="1618" t="e">
        <f>#REF!</f>
        <v>#REF!</v>
      </c>
      <c r="D62" s="1141">
        <f>J62</f>
        <v>1053.6500000000001</v>
      </c>
      <c r="E62" s="1112" t="e">
        <f>#REF!</f>
        <v>#REF!</v>
      </c>
      <c r="F62" s="547" t="e">
        <f>+D62*E62</f>
        <v>#REF!</v>
      </c>
      <c r="G62" s="1149"/>
      <c r="H62" s="1674">
        <f>120+1470+401+310+260+130+320+350+250+355+350+550+255+2160+1140+175+175+130+130+745+372+245+740+1060+345+550+263+475+300+913+790+777+395+320+123+120+396+322+200+206+506+180+270+95+95+240+255+230+200+204+110</f>
        <v>21073</v>
      </c>
      <c r="I62" s="1674">
        <f>0.5*0.1</f>
        <v>0.05</v>
      </c>
      <c r="J62" s="1150">
        <f>H62*I62</f>
        <v>1053.6500000000001</v>
      </c>
    </row>
    <row r="63" spans="1:189" s="1152" customFormat="1" ht="15.95" customHeight="1">
      <c r="A63" s="745" t="e">
        <f>+#REF!</f>
        <v>#REF!</v>
      </c>
      <c r="B63" s="768" t="e">
        <f>+#REF!</f>
        <v>#REF!</v>
      </c>
      <c r="C63" s="1617"/>
      <c r="D63" s="954"/>
      <c r="E63" s="544"/>
      <c r="F63" s="544"/>
      <c r="G63" s="1149"/>
      <c r="H63" s="1150"/>
      <c r="I63" s="1151"/>
      <c r="J63" s="1150"/>
    </row>
    <row r="64" spans="1:189" s="1152" customFormat="1" ht="15.95" customHeight="1">
      <c r="A64" s="639"/>
      <c r="B64" s="465"/>
      <c r="C64" s="1554" t="e">
        <f>#REF!</f>
        <v>#REF!</v>
      </c>
      <c r="D64" s="1669">
        <f>J64</f>
        <v>0</v>
      </c>
      <c r="E64" s="547" t="e">
        <f>#REF!</f>
        <v>#REF!</v>
      </c>
      <c r="F64" s="547" t="e">
        <f>+D64*E64</f>
        <v>#REF!</v>
      </c>
      <c r="G64" s="1149"/>
      <c r="H64" s="1673">
        <f>11*(14*0+15)</f>
        <v>165</v>
      </c>
      <c r="I64" s="1674">
        <f>1*0</f>
        <v>0</v>
      </c>
      <c r="J64" s="1150">
        <f>H64*I64</f>
        <v>0</v>
      </c>
      <c r="K64" s="1152" t="s">
        <v>353</v>
      </c>
    </row>
    <row r="65" spans="1:12" s="1160" customFormat="1" ht="15.95" customHeight="1">
      <c r="A65" s="745" t="e">
        <f>+#REF!</f>
        <v>#REF!</v>
      </c>
      <c r="B65" s="768" t="e">
        <f>+#REF!</f>
        <v>#REF!</v>
      </c>
      <c r="C65" s="1617"/>
      <c r="D65" s="954"/>
      <c r="E65" s="544"/>
      <c r="F65" s="544"/>
      <c r="H65" s="1161"/>
      <c r="I65" s="1162"/>
      <c r="J65" s="1161"/>
    </row>
    <row r="66" spans="1:12" s="1160" customFormat="1" ht="15.95" customHeight="1">
      <c r="A66" s="639"/>
      <c r="B66" s="465"/>
      <c r="C66" s="1554" t="e">
        <f>#REF!</f>
        <v>#REF!</v>
      </c>
      <c r="D66" s="1669">
        <f>J66</f>
        <v>0</v>
      </c>
      <c r="E66" s="547" t="e">
        <f>#REF!</f>
        <v>#REF!</v>
      </c>
      <c r="F66" s="650" t="e">
        <f>+D66*E66</f>
        <v>#REF!</v>
      </c>
      <c r="H66" s="1161">
        <f>162*0</f>
        <v>0</v>
      </c>
      <c r="I66" s="1162">
        <v>1.1000000000000001</v>
      </c>
      <c r="J66" s="1161">
        <f>H66*I66</f>
        <v>0</v>
      </c>
    </row>
    <row r="67" spans="1:12" s="1152" customFormat="1" ht="18.75">
      <c r="A67" s="1125"/>
      <c r="B67" s="1129"/>
      <c r="C67" s="1608"/>
      <c r="D67" s="636"/>
      <c r="E67" s="1609" t="s">
        <v>111</v>
      </c>
      <c r="F67" s="1122" t="e">
        <f>SUM(F46:F66)</f>
        <v>#REF!</v>
      </c>
      <c r="G67" s="1149"/>
      <c r="H67" s="1150"/>
      <c r="I67" s="1151"/>
      <c r="J67" s="1150"/>
    </row>
    <row r="68" spans="1:12" s="1146" customFormat="1" ht="15" customHeight="1">
      <c r="A68" s="1126"/>
      <c r="B68" s="1127"/>
      <c r="C68" s="188"/>
      <c r="D68" s="410"/>
      <c r="E68" s="568"/>
      <c r="F68" s="568"/>
      <c r="G68" s="44"/>
      <c r="H68" s="1144"/>
      <c r="I68" s="1145"/>
      <c r="J68" s="1144"/>
    </row>
    <row r="69" spans="1:12" s="1146" customFormat="1" ht="24.95" customHeight="1">
      <c r="A69" s="1905" t="e">
        <f>+#REF!</f>
        <v>#REF!</v>
      </c>
      <c r="B69" s="1906"/>
      <c r="C69" s="1906"/>
      <c r="D69" s="1906"/>
      <c r="E69" s="1906"/>
      <c r="F69" s="1907"/>
      <c r="G69" s="44"/>
      <c r="H69" s="1144"/>
      <c r="I69" s="1145"/>
      <c r="J69" s="1144"/>
    </row>
    <row r="70" spans="1:12" s="1152" customFormat="1">
      <c r="A70" s="830" t="e">
        <f>+#REF!</f>
        <v>#REF!</v>
      </c>
      <c r="B70" s="768" t="e">
        <f>+#REF!</f>
        <v>#REF!</v>
      </c>
      <c r="C70" s="1478"/>
      <c r="D70" s="954"/>
      <c r="E70" s="544"/>
      <c r="F70" s="544"/>
      <c r="G70" s="1149"/>
      <c r="H70" s="1150"/>
      <c r="I70" s="1151"/>
      <c r="J70" s="1150"/>
    </row>
    <row r="71" spans="1:12" s="1152" customFormat="1">
      <c r="A71" s="1619" t="e">
        <f>+#REF!</f>
        <v>#REF!</v>
      </c>
      <c r="B71" s="467" t="e">
        <f>+#REF!</f>
        <v>#REF!</v>
      </c>
      <c r="C71" s="1672" t="e">
        <f>#REF!</f>
        <v>#REF!</v>
      </c>
      <c r="D71" s="1669">
        <f>J71</f>
        <v>0</v>
      </c>
      <c r="E71" s="547" t="e">
        <f>#REF!</f>
        <v>#REF!</v>
      </c>
      <c r="F71" s="547" t="e">
        <f>+D71*E71</f>
        <v>#REF!</v>
      </c>
      <c r="G71" s="1149"/>
      <c r="H71" s="1163">
        <f>+F15*0.7*10</f>
        <v>0</v>
      </c>
      <c r="I71" s="1151">
        <v>1.1000000000000001</v>
      </c>
      <c r="J71" s="1150">
        <f>H71*I71</f>
        <v>0</v>
      </c>
      <c r="L71" s="1152" t="s">
        <v>354</v>
      </c>
    </row>
    <row r="72" spans="1:12" s="1152" customFormat="1">
      <c r="A72" s="830" t="e">
        <f>+#REF!</f>
        <v>#REF!</v>
      </c>
      <c r="B72" s="768" t="e">
        <f>+#REF!</f>
        <v>#REF!</v>
      </c>
      <c r="C72" s="1478"/>
      <c r="D72" s="954"/>
      <c r="E72" s="544"/>
      <c r="F72" s="544"/>
      <c r="G72" s="1149"/>
      <c r="H72" s="1150"/>
      <c r="I72" s="1151"/>
      <c r="J72" s="1150">
        <f>J71*0</f>
        <v>0</v>
      </c>
    </row>
    <row r="73" spans="1:12" s="1152" customFormat="1">
      <c r="A73" s="1615"/>
      <c r="B73" s="467"/>
      <c r="C73" s="1672" t="e">
        <f>#REF!</f>
        <v>#REF!</v>
      </c>
      <c r="D73" s="1669">
        <f>D71*0.1</f>
        <v>0</v>
      </c>
      <c r="E73" s="547" t="e">
        <f>#REF!</f>
        <v>#REF!</v>
      </c>
      <c r="F73" s="547" t="e">
        <f>+D73*E73</f>
        <v>#REF!</v>
      </c>
      <c r="G73" s="1149"/>
      <c r="H73" s="1150"/>
      <c r="I73" s="1151"/>
      <c r="J73" s="1150"/>
    </row>
    <row r="74" spans="1:12" s="1152" customFormat="1">
      <c r="A74" s="830" t="e">
        <f>+#REF!</f>
        <v>#REF!</v>
      </c>
      <c r="B74" s="768" t="e">
        <f>+#REF!</f>
        <v>#REF!</v>
      </c>
      <c r="C74" s="1478"/>
      <c r="D74" s="954"/>
      <c r="E74" s="544"/>
      <c r="F74" s="544"/>
      <c r="G74" s="1149"/>
      <c r="H74" s="1150"/>
      <c r="I74" s="1151"/>
      <c r="J74" s="1150"/>
    </row>
    <row r="75" spans="1:12" s="1152" customFormat="1">
      <c r="A75" s="1615"/>
      <c r="B75" s="467"/>
      <c r="C75" s="1672" t="e">
        <f>#REF!</f>
        <v>#REF!</v>
      </c>
      <c r="D75" s="1669">
        <f>+K75</f>
        <v>0</v>
      </c>
      <c r="E75" s="547" t="e">
        <f>#REF!</f>
        <v>#REF!</v>
      </c>
      <c r="F75" s="547" t="e">
        <f>+D75*E75</f>
        <v>#REF!</v>
      </c>
      <c r="G75" s="1149"/>
      <c r="H75" s="1150">
        <f>+H71*0.3</f>
        <v>0</v>
      </c>
      <c r="I75" s="1151">
        <v>1.1000000000000001</v>
      </c>
      <c r="J75" s="1150">
        <f>H75*I75</f>
        <v>0</v>
      </c>
      <c r="K75" s="1152">
        <f>J75-J72</f>
        <v>0</v>
      </c>
    </row>
    <row r="76" spans="1:12" s="1164" customFormat="1">
      <c r="A76" s="745" t="e">
        <f>+#REF!</f>
        <v>#REF!</v>
      </c>
      <c r="B76" s="768" t="e">
        <f>+#REF!</f>
        <v>#REF!</v>
      </c>
      <c r="C76" s="1478"/>
      <c r="D76" s="954"/>
      <c r="E76" s="544"/>
      <c r="F76" s="544"/>
      <c r="H76" s="1165"/>
      <c r="I76" s="1166"/>
      <c r="J76" s="1165"/>
    </row>
    <row r="77" spans="1:12" s="1164" customFormat="1">
      <c r="A77" s="1615"/>
      <c r="B77" s="467"/>
      <c r="C77" s="1672" t="e">
        <f>#REF!</f>
        <v>#REF!</v>
      </c>
      <c r="D77" s="1669">
        <f>+J77</f>
        <v>0</v>
      </c>
      <c r="E77" s="1549" t="e">
        <f>+#REF!</f>
        <v>#REF!</v>
      </c>
      <c r="F77" s="547" t="e">
        <f t="shared" ref="F77" si="4">+D77*E77</f>
        <v>#REF!</v>
      </c>
      <c r="H77" s="1165">
        <f>+H164/0.2</f>
        <v>2280</v>
      </c>
      <c r="I77" s="1166">
        <f>1.1*0</f>
        <v>0</v>
      </c>
      <c r="J77" s="1165">
        <f>+H77*I77</f>
        <v>0</v>
      </c>
    </row>
    <row r="78" spans="1:12" s="1152" customFormat="1" ht="18.75">
      <c r="A78" s="1123"/>
      <c r="B78" s="1124"/>
      <c r="C78" s="1608"/>
      <c r="D78" s="636"/>
      <c r="E78" s="1609" t="s">
        <v>110</v>
      </c>
      <c r="F78" s="1122" t="e">
        <f>SUM(F70:F77)</f>
        <v>#REF!</v>
      </c>
      <c r="G78" s="1149"/>
      <c r="H78" s="1150"/>
      <c r="I78" s="1151"/>
      <c r="J78" s="1150"/>
    </row>
    <row r="79" spans="1:12" s="1146" customFormat="1" ht="15" customHeight="1">
      <c r="A79" s="1113"/>
      <c r="B79" s="1130"/>
      <c r="C79" s="926"/>
      <c r="D79" s="1114"/>
      <c r="E79" s="926"/>
      <c r="F79" s="118"/>
      <c r="G79" s="44"/>
      <c r="H79" s="1144"/>
      <c r="I79" s="1145"/>
      <c r="J79" s="1144"/>
    </row>
    <row r="80" spans="1:12" s="1146" customFormat="1" ht="24.95" customHeight="1">
      <c r="A80" s="1905" t="e">
        <f>+#REF!</f>
        <v>#REF!</v>
      </c>
      <c r="B80" s="1906"/>
      <c r="C80" s="1906"/>
      <c r="D80" s="1906"/>
      <c r="E80" s="1906"/>
      <c r="F80" s="1907"/>
      <c r="G80" s="44"/>
      <c r="H80" s="145">
        <f>+J87*0.15</f>
        <v>0</v>
      </c>
      <c r="I80" s="1145">
        <v>1.05</v>
      </c>
      <c r="J80" s="1144">
        <f>H80*I80</f>
        <v>0</v>
      </c>
    </row>
    <row r="81" spans="1:11" s="1152" customFormat="1" ht="30" customHeight="1">
      <c r="A81" s="745" t="e">
        <f>+#REF!</f>
        <v>#REF!</v>
      </c>
      <c r="B81" s="1448" t="e">
        <f>+#REF!</f>
        <v>#REF!</v>
      </c>
      <c r="C81" s="1478"/>
      <c r="D81" s="543"/>
      <c r="E81" s="544"/>
      <c r="F81" s="544"/>
      <c r="G81" s="1149"/>
      <c r="H81" s="1150"/>
      <c r="I81" s="1151"/>
      <c r="J81" s="1150"/>
      <c r="K81" s="1152" t="s">
        <v>273</v>
      </c>
    </row>
    <row r="82" spans="1:11" s="1152" customFormat="1">
      <c r="A82" s="1615" t="e">
        <f>+#REF!</f>
        <v>#REF!</v>
      </c>
      <c r="B82" s="1280" t="e">
        <f>+#REF!</f>
        <v>#REF!</v>
      </c>
      <c r="C82" s="1672" t="e">
        <f>#REF!</f>
        <v>#REF!</v>
      </c>
      <c r="D82" s="1669">
        <f>J82</f>
        <v>0</v>
      </c>
      <c r="E82" s="547" t="e">
        <f>#REF!</f>
        <v>#REF!</v>
      </c>
      <c r="F82" s="547" t="e">
        <f>+D82*E82</f>
        <v>#REF!</v>
      </c>
      <c r="G82" s="1149"/>
      <c r="H82" s="781">
        <f>+J87*0.35+J88*0.2</f>
        <v>0</v>
      </c>
      <c r="I82" s="1151">
        <v>1.05</v>
      </c>
      <c r="J82" s="1150">
        <f>H82*I82</f>
        <v>0</v>
      </c>
    </row>
    <row r="83" spans="1:11" s="1152" customFormat="1">
      <c r="A83" s="745" t="e">
        <f>+#REF!</f>
        <v>#REF!</v>
      </c>
      <c r="B83" s="830" t="e">
        <f>+#REF!</f>
        <v>#REF!</v>
      </c>
      <c r="C83" s="1478"/>
      <c r="D83" s="543"/>
      <c r="E83" s="544"/>
      <c r="F83" s="544"/>
      <c r="G83" s="1149"/>
      <c r="H83" s="1150"/>
      <c r="I83" s="1151"/>
      <c r="J83" s="1150"/>
    </row>
    <row r="84" spans="1:11" s="1152" customFormat="1">
      <c r="A84" s="1615"/>
      <c r="B84" s="1280"/>
      <c r="C84" s="1672" t="e">
        <f>#REF!</f>
        <v>#REF!</v>
      </c>
      <c r="D84" s="1669">
        <f>J84</f>
        <v>0</v>
      </c>
      <c r="E84" s="547" t="e">
        <f>#REF!</f>
        <v>#REF!</v>
      </c>
      <c r="F84" s="547" t="e">
        <f>+D84*E84</f>
        <v>#REF!</v>
      </c>
      <c r="G84" s="1149"/>
      <c r="H84" s="1150">
        <f>H80*1950*5%</f>
        <v>0</v>
      </c>
      <c r="I84" s="1151">
        <v>1.05</v>
      </c>
      <c r="J84" s="1150">
        <f>H84*I84</f>
        <v>0</v>
      </c>
    </row>
    <row r="85" spans="1:11" s="1152" customFormat="1">
      <c r="A85" s="745" t="e">
        <f>+#REF!</f>
        <v>#REF!</v>
      </c>
      <c r="B85" s="830" t="e">
        <f>+#REF!</f>
        <v>#REF!</v>
      </c>
      <c r="C85" s="1671"/>
      <c r="D85" s="650"/>
      <c r="E85" s="650"/>
      <c r="F85" s="650"/>
      <c r="G85" s="1149"/>
      <c r="H85" s="1150"/>
      <c r="I85" s="1151"/>
      <c r="J85" s="1150"/>
    </row>
    <row r="86" spans="1:11" s="1152" customFormat="1">
      <c r="A86" s="791" t="e">
        <f>+#REF!</f>
        <v>#REF!</v>
      </c>
      <c r="B86" s="824" t="e">
        <f>+#REF!</f>
        <v>#REF!</v>
      </c>
      <c r="C86" s="1671"/>
      <c r="D86" s="650"/>
      <c r="E86" s="650"/>
      <c r="F86" s="650"/>
      <c r="G86" s="1149"/>
      <c r="H86" s="1150"/>
      <c r="I86" s="1151"/>
      <c r="J86" s="1150"/>
    </row>
    <row r="87" spans="1:11" s="1152" customFormat="1">
      <c r="A87" s="484" t="e">
        <f>+#REF!</f>
        <v>#REF!</v>
      </c>
      <c r="B87" s="239" t="e">
        <f>+#REF!</f>
        <v>#REF!</v>
      </c>
      <c r="C87" s="1671" t="e">
        <f>#REF!</f>
        <v>#REF!</v>
      </c>
      <c r="D87" s="650">
        <f>+J87*0.91</f>
        <v>0</v>
      </c>
      <c r="E87" s="650" t="e">
        <f>+#REF!</f>
        <v>#REF!</v>
      </c>
      <c r="F87" s="650" t="e">
        <f>+D87*E87</f>
        <v>#REF!</v>
      </c>
      <c r="G87" s="1149"/>
      <c r="H87" s="698">
        <f>+H19*0</f>
        <v>0</v>
      </c>
      <c r="I87" s="1151">
        <v>1.05</v>
      </c>
      <c r="J87" s="1150">
        <f>+H87*I87</f>
        <v>0</v>
      </c>
    </row>
    <row r="88" spans="1:11" s="1152" customFormat="1">
      <c r="A88" s="484" t="e">
        <f>+#REF!</f>
        <v>#REF!</v>
      </c>
      <c r="B88" s="239" t="e">
        <f>+#REF!</f>
        <v>#REF!</v>
      </c>
      <c r="C88" s="1671" t="e">
        <f>#REF!</f>
        <v>#REF!</v>
      </c>
      <c r="D88" s="650">
        <f>+J88*0.83</f>
        <v>0</v>
      </c>
      <c r="E88" s="650" t="e">
        <f>+#REF!</f>
        <v>#REF!</v>
      </c>
      <c r="F88" s="650" t="e">
        <f t="shared" ref="F88:F107" si="5">+D88*E88</f>
        <v>#REF!</v>
      </c>
      <c r="G88" s="1149"/>
      <c r="H88" s="1150">
        <f>+J19</f>
        <v>0</v>
      </c>
      <c r="I88" s="1151">
        <v>1.05</v>
      </c>
      <c r="J88" s="1150">
        <f>+H88*I88</f>
        <v>0</v>
      </c>
    </row>
    <row r="89" spans="1:11" s="1152" customFormat="1">
      <c r="A89" s="791" t="e">
        <f>+#REF!</f>
        <v>#REF!</v>
      </c>
      <c r="B89" s="824" t="e">
        <f>+#REF!</f>
        <v>#REF!</v>
      </c>
      <c r="C89" s="1671"/>
      <c r="D89" s="1668"/>
      <c r="E89" s="650"/>
      <c r="F89" s="650"/>
      <c r="G89" s="1149"/>
      <c r="H89" s="1150"/>
      <c r="I89" s="1151">
        <v>1.05</v>
      </c>
      <c r="J89" s="1150">
        <f t="shared" ref="J89:J95" si="6">+H89*I89</f>
        <v>0</v>
      </c>
    </row>
    <row r="90" spans="1:11" s="1152" customFormat="1">
      <c r="A90" s="484" t="e">
        <f>+#REF!</f>
        <v>#REF!</v>
      </c>
      <c r="B90" s="239" t="e">
        <f>+#REF!</f>
        <v>#REF!</v>
      </c>
      <c r="C90" s="1671" t="e">
        <f>#REF!</f>
        <v>#REF!</v>
      </c>
      <c r="D90" s="1668">
        <f>+D87</f>
        <v>0</v>
      </c>
      <c r="E90" s="650" t="e">
        <f>+#REF!</f>
        <v>#REF!</v>
      </c>
      <c r="F90" s="650" t="e">
        <f t="shared" si="5"/>
        <v>#REF!</v>
      </c>
      <c r="G90" s="1149"/>
      <c r="H90" s="1150"/>
      <c r="I90" s="1151">
        <v>1.05</v>
      </c>
      <c r="J90" s="1150">
        <f t="shared" si="6"/>
        <v>0</v>
      </c>
    </row>
    <row r="91" spans="1:11" s="1152" customFormat="1">
      <c r="A91" s="1615" t="e">
        <f>+#REF!</f>
        <v>#REF!</v>
      </c>
      <c r="B91" s="1280" t="e">
        <f>+#REF!</f>
        <v>#REF!</v>
      </c>
      <c r="C91" s="1672" t="e">
        <f>#REF!</f>
        <v>#REF!</v>
      </c>
      <c r="D91" s="1669">
        <f>+D88</f>
        <v>0</v>
      </c>
      <c r="E91" s="547" t="e">
        <f>+#REF!</f>
        <v>#REF!</v>
      </c>
      <c r="F91" s="547" t="e">
        <f t="shared" si="5"/>
        <v>#REF!</v>
      </c>
      <c r="G91" s="1149"/>
      <c r="H91" s="1150"/>
      <c r="I91" s="1151">
        <v>1.05</v>
      </c>
      <c r="J91" s="1150">
        <f t="shared" si="6"/>
        <v>0</v>
      </c>
    </row>
    <row r="92" spans="1:11" s="1152" customFormat="1">
      <c r="A92" s="745" t="e">
        <f>+#REF!</f>
        <v>#REF!</v>
      </c>
      <c r="B92" s="830" t="e">
        <f>+#REF!</f>
        <v>#REF!</v>
      </c>
      <c r="C92" s="1671"/>
      <c r="D92" s="1668"/>
      <c r="E92" s="650"/>
      <c r="F92" s="962"/>
      <c r="G92" s="1149"/>
      <c r="H92" s="1150"/>
      <c r="I92" s="1151">
        <v>1.05</v>
      </c>
      <c r="J92" s="1150">
        <f t="shared" si="6"/>
        <v>0</v>
      </c>
    </row>
    <row r="93" spans="1:11" s="1152" customFormat="1">
      <c r="A93" s="791" t="e">
        <f>+#REF!</f>
        <v>#REF!</v>
      </c>
      <c r="B93" s="824" t="e">
        <f>+#REF!</f>
        <v>#REF!</v>
      </c>
      <c r="C93" s="1671"/>
      <c r="D93" s="1668"/>
      <c r="E93" s="650"/>
      <c r="F93" s="962"/>
      <c r="G93" s="1149"/>
      <c r="H93" s="1150"/>
      <c r="I93" s="1151">
        <v>1.05</v>
      </c>
      <c r="J93" s="1150">
        <f t="shared" si="6"/>
        <v>0</v>
      </c>
    </row>
    <row r="94" spans="1:11" s="1152" customFormat="1">
      <c r="A94" s="484" t="e">
        <f>+#REF!</f>
        <v>#REF!</v>
      </c>
      <c r="B94" s="239" t="e">
        <f>+#REF!</f>
        <v>#REF!</v>
      </c>
      <c r="C94" s="1671" t="e">
        <f>#REF!</f>
        <v>#REF!</v>
      </c>
      <c r="D94" s="1668">
        <f>+J94</f>
        <v>0</v>
      </c>
      <c r="E94" s="650" t="e">
        <f>+#REF!</f>
        <v>#REF!</v>
      </c>
      <c r="F94" s="962" t="e">
        <f t="shared" si="5"/>
        <v>#REF!</v>
      </c>
      <c r="G94" s="1149"/>
      <c r="H94" s="1150">
        <f>20*20*0</f>
        <v>0</v>
      </c>
      <c r="I94" s="1151">
        <v>1.05</v>
      </c>
      <c r="J94" s="1150">
        <f t="shared" si="6"/>
        <v>0</v>
      </c>
    </row>
    <row r="95" spans="1:11" s="1152" customFormat="1">
      <c r="A95" s="484" t="e">
        <f>+#REF!</f>
        <v>#REF!</v>
      </c>
      <c r="B95" s="239" t="e">
        <f>+#REF!</f>
        <v>#REF!</v>
      </c>
      <c r="C95" s="1671" t="e">
        <f>#REF!</f>
        <v>#REF!</v>
      </c>
      <c r="D95" s="1668">
        <f>+J95</f>
        <v>0</v>
      </c>
      <c r="E95" s="650" t="e">
        <f>+#REF!</f>
        <v>#REF!</v>
      </c>
      <c r="F95" s="962" t="e">
        <f t="shared" si="5"/>
        <v>#REF!</v>
      </c>
      <c r="G95" s="1149"/>
      <c r="H95" s="1150">
        <f>+F13+F14+F15*2+F16*2+F17*2+20*2*(50-35)*0</f>
        <v>0</v>
      </c>
      <c r="I95" s="1151">
        <v>0.2</v>
      </c>
      <c r="J95" s="1150">
        <f t="shared" si="6"/>
        <v>0</v>
      </c>
    </row>
    <row r="96" spans="1:11" s="1152" customFormat="1">
      <c r="A96" s="484" t="e">
        <f>+#REF!</f>
        <v>#REF!</v>
      </c>
      <c r="B96" s="239" t="e">
        <f>+#REF!</f>
        <v>#REF!</v>
      </c>
      <c r="C96" s="1671" t="e">
        <f>#REF!</f>
        <v>#REF!</v>
      </c>
      <c r="D96" s="1668">
        <f>+J96</f>
        <v>0</v>
      </c>
      <c r="E96" s="650" t="e">
        <f>+#REF!</f>
        <v>#REF!</v>
      </c>
      <c r="F96" s="962" t="e">
        <f t="shared" si="5"/>
        <v>#REF!</v>
      </c>
      <c r="G96" s="1149"/>
      <c r="H96" s="1150">
        <f>+(F13+F14+F15+F16)*2+F17*2+20*(50-35)*2*0</f>
        <v>0</v>
      </c>
      <c r="I96" s="1151">
        <v>1.05</v>
      </c>
      <c r="J96" s="1150">
        <f>+H96*I96</f>
        <v>0</v>
      </c>
    </row>
    <row r="97" spans="1:17" s="1152" customFormat="1">
      <c r="A97" s="791" t="e">
        <f>+#REF!</f>
        <v>#REF!</v>
      </c>
      <c r="B97" s="824" t="e">
        <f>+#REF!</f>
        <v>#REF!</v>
      </c>
      <c r="C97" s="1671"/>
      <c r="D97" s="1668"/>
      <c r="E97" s="650"/>
      <c r="F97" s="962"/>
      <c r="G97" s="1149"/>
      <c r="H97" s="1150"/>
      <c r="I97" s="1151"/>
      <c r="J97" s="1150"/>
    </row>
    <row r="98" spans="1:17" s="1152" customFormat="1">
      <c r="A98" s="484" t="e">
        <f>+#REF!</f>
        <v>#REF!</v>
      </c>
      <c r="B98" s="239" t="e">
        <f>+#REF!</f>
        <v>#REF!</v>
      </c>
      <c r="C98" s="1671" t="e">
        <f>#REF!</f>
        <v>#REF!</v>
      </c>
      <c r="D98" s="1668">
        <f>+D94</f>
        <v>0</v>
      </c>
      <c r="E98" s="650" t="e">
        <f>+#REF!</f>
        <v>#REF!</v>
      </c>
      <c r="F98" s="962" t="e">
        <f t="shared" si="5"/>
        <v>#REF!</v>
      </c>
      <c r="G98" s="1149"/>
      <c r="H98" s="1150"/>
      <c r="I98" s="1151"/>
      <c r="J98" s="1150"/>
    </row>
    <row r="99" spans="1:17" s="1152" customFormat="1">
      <c r="A99" s="484" t="e">
        <f>+#REF!</f>
        <v>#REF!</v>
      </c>
      <c r="B99" s="239" t="e">
        <f>+#REF!</f>
        <v>#REF!</v>
      </c>
      <c r="C99" s="1671" t="e">
        <f>#REF!</f>
        <v>#REF!</v>
      </c>
      <c r="D99" s="1668">
        <f>+D95</f>
        <v>0</v>
      </c>
      <c r="E99" s="650" t="e">
        <f>+#REF!</f>
        <v>#REF!</v>
      </c>
      <c r="F99" s="962" t="e">
        <f t="shared" si="5"/>
        <v>#REF!</v>
      </c>
      <c r="G99" s="1149"/>
      <c r="H99" s="1150"/>
      <c r="I99" s="1151"/>
      <c r="J99" s="1150"/>
    </row>
    <row r="100" spans="1:17" s="1152" customFormat="1">
      <c r="A100" s="1615" t="e">
        <f>+#REF!</f>
        <v>#REF!</v>
      </c>
      <c r="B100" s="1280" t="e">
        <f>+#REF!</f>
        <v>#REF!</v>
      </c>
      <c r="C100" s="1672" t="e">
        <f>#REF!</f>
        <v>#REF!</v>
      </c>
      <c r="D100" s="1669">
        <f>+D96</f>
        <v>0</v>
      </c>
      <c r="E100" s="547" t="e">
        <f>+#REF!</f>
        <v>#REF!</v>
      </c>
      <c r="F100" s="963" t="e">
        <f t="shared" si="5"/>
        <v>#REF!</v>
      </c>
      <c r="G100" s="1149"/>
      <c r="H100" s="1150"/>
      <c r="I100" s="1151"/>
      <c r="J100" s="1150"/>
    </row>
    <row r="101" spans="1:17" s="1152" customFormat="1" ht="30" customHeight="1">
      <c r="A101" s="745" t="e">
        <f>+#REF!</f>
        <v>#REF!</v>
      </c>
      <c r="B101" s="1614" t="e">
        <f>+#REF!</f>
        <v>#REF!</v>
      </c>
      <c r="C101" s="1671"/>
      <c r="D101" s="1668"/>
      <c r="E101" s="650"/>
      <c r="F101" s="962"/>
      <c r="G101" s="1149"/>
      <c r="H101" s="1150"/>
      <c r="I101" s="1151"/>
      <c r="J101" s="1150"/>
    </row>
    <row r="102" spans="1:17" s="1152" customFormat="1">
      <c r="A102" s="791" t="e">
        <f>+#REF!</f>
        <v>#REF!</v>
      </c>
      <c r="B102" s="1620" t="e">
        <f>+#REF!</f>
        <v>#REF!</v>
      </c>
      <c r="C102" s="1671"/>
      <c r="D102" s="1668"/>
      <c r="E102" s="650"/>
      <c r="F102" s="962"/>
      <c r="G102" s="1149"/>
      <c r="H102" s="1150"/>
      <c r="I102" s="1151"/>
      <c r="J102" s="1150">
        <v>1</v>
      </c>
      <c r="K102" s="1152">
        <v>1.5</v>
      </c>
      <c r="L102" s="1319">
        <f>+J132+J133</f>
        <v>0</v>
      </c>
      <c r="M102" s="1320">
        <f t="shared" ref="M102:M105" si="7">+J102*K102*L102</f>
        <v>0</v>
      </c>
      <c r="N102" s="1152">
        <v>1</v>
      </c>
      <c r="O102" s="1152">
        <v>1</v>
      </c>
      <c r="P102" s="1319"/>
      <c r="Q102" s="1152" t="s">
        <v>734</v>
      </c>
    </row>
    <row r="103" spans="1:17" s="1152" customFormat="1">
      <c r="A103" s="484" t="e">
        <f>+#REF!</f>
        <v>#REF!</v>
      </c>
      <c r="B103" s="1616" t="e">
        <f>+#REF!</f>
        <v>#REF!</v>
      </c>
      <c r="C103" s="1671" t="e">
        <f>#REF!</f>
        <v>#REF!</v>
      </c>
      <c r="D103" s="1668">
        <f>+D87*0.1</f>
        <v>0</v>
      </c>
      <c r="E103" s="650" t="e">
        <f>+#REF!</f>
        <v>#REF!</v>
      </c>
      <c r="F103" s="962" t="e">
        <f t="shared" si="5"/>
        <v>#REF!</v>
      </c>
      <c r="G103" s="1149"/>
      <c r="H103" s="1150"/>
      <c r="I103" s="1151"/>
      <c r="J103" s="1150">
        <f>1.5*2+0.3*3+0.1*2+1*2</f>
        <v>6.1</v>
      </c>
      <c r="K103" s="1152">
        <v>3</v>
      </c>
      <c r="L103" s="1319">
        <f>+D140</f>
        <v>129.80000000000001</v>
      </c>
      <c r="M103" s="1320">
        <f t="shared" si="7"/>
        <v>2375.3399999999997</v>
      </c>
      <c r="N103" s="1152">
        <f>1.5+0.3*3</f>
        <v>2.4</v>
      </c>
      <c r="P103" s="1319">
        <f>+Q103*L103*N103</f>
        <v>545.16000000000008</v>
      </c>
      <c r="Q103" s="1152">
        <f>1.5+0.25</f>
        <v>1.75</v>
      </c>
    </row>
    <row r="104" spans="1:17" s="1152" customFormat="1">
      <c r="A104" s="484" t="e">
        <f>+#REF!</f>
        <v>#REF!</v>
      </c>
      <c r="B104" s="1616" t="e">
        <f>+#REF!</f>
        <v>#REF!</v>
      </c>
      <c r="C104" s="1671" t="e">
        <f>#REF!</f>
        <v>#REF!</v>
      </c>
      <c r="D104" s="1668">
        <f>+D88*0.2</f>
        <v>0</v>
      </c>
      <c r="E104" s="650" t="e">
        <f>+#REF!</f>
        <v>#REF!</v>
      </c>
      <c r="F104" s="962" t="e">
        <f t="shared" si="5"/>
        <v>#REF!</v>
      </c>
      <c r="G104" s="1149"/>
      <c r="H104" s="1150"/>
      <c r="I104" s="1151"/>
      <c r="J104" s="1150">
        <f>1+0.1*2+0.6*2</f>
        <v>2.4</v>
      </c>
      <c r="K104" s="1152">
        <f>3.5*0</f>
        <v>0</v>
      </c>
      <c r="L104" s="1319"/>
      <c r="M104" s="1320">
        <f t="shared" si="7"/>
        <v>0</v>
      </c>
      <c r="N104" s="1152">
        <v>1.4</v>
      </c>
      <c r="O104" s="1152">
        <v>1</v>
      </c>
      <c r="P104" s="1319">
        <f t="shared" ref="P104:P107" si="8">+Q104*L104*N104</f>
        <v>0</v>
      </c>
    </row>
    <row r="105" spans="1:17" s="1152" customFormat="1">
      <c r="A105" s="791" t="e">
        <f>+#REF!</f>
        <v>#REF!</v>
      </c>
      <c r="B105" s="1620" t="e">
        <f>+#REF!</f>
        <v>#REF!</v>
      </c>
      <c r="C105" s="1671"/>
      <c r="D105" s="1668"/>
      <c r="E105" s="650"/>
      <c r="F105" s="962"/>
      <c r="G105" s="1149"/>
      <c r="H105" s="1150"/>
      <c r="I105" s="1151"/>
      <c r="J105" s="1150">
        <f>1.6*3+0.1*2+1*2</f>
        <v>7.0000000000000009</v>
      </c>
      <c r="K105" s="1152">
        <v>3</v>
      </c>
      <c r="L105" s="1318">
        <f>+J141</f>
        <v>0</v>
      </c>
      <c r="M105" s="1320">
        <f t="shared" si="7"/>
        <v>0</v>
      </c>
      <c r="N105" s="1152">
        <f>1.6*3+0.3*4</f>
        <v>6.0000000000000009</v>
      </c>
      <c r="O105" s="1152">
        <f>1.6+0.3*2</f>
        <v>2.2000000000000002</v>
      </c>
      <c r="P105" s="1319">
        <f t="shared" si="8"/>
        <v>0</v>
      </c>
    </row>
    <row r="106" spans="1:17" s="1152" customFormat="1">
      <c r="A106" s="484" t="e">
        <f>+#REF!</f>
        <v>#REF!</v>
      </c>
      <c r="B106" s="1616" t="e">
        <f>+#REF!</f>
        <v>#REF!</v>
      </c>
      <c r="C106" s="1671" t="e">
        <f>#REF!</f>
        <v>#REF!</v>
      </c>
      <c r="D106" s="1668">
        <f>+D103</f>
        <v>0</v>
      </c>
      <c r="E106" s="650" t="e">
        <f>+#REF!</f>
        <v>#REF!</v>
      </c>
      <c r="F106" s="962" t="e">
        <f t="shared" si="5"/>
        <v>#REF!</v>
      </c>
      <c r="G106" s="1149"/>
      <c r="H106" s="1150"/>
      <c r="I106" s="1151"/>
      <c r="J106" s="1150">
        <f>1.6*4+0.1*2+1*2</f>
        <v>8.6000000000000014</v>
      </c>
      <c r="K106" s="1152">
        <v>3</v>
      </c>
      <c r="L106" s="1318">
        <f>+D142</f>
        <v>158</v>
      </c>
      <c r="M106" s="1320">
        <f>+J106*K106*L106</f>
        <v>4076.4000000000005</v>
      </c>
      <c r="N106" s="1152">
        <f>1.6*4+0.3*5</f>
        <v>7.9</v>
      </c>
      <c r="O106" s="1152">
        <f t="shared" ref="O106:O107" si="9">1.6+0.3*2</f>
        <v>2.2000000000000002</v>
      </c>
      <c r="P106" s="1319">
        <f t="shared" si="8"/>
        <v>2371.5800000000004</v>
      </c>
      <c r="Q106" s="1152">
        <f>1.6+0.3</f>
        <v>1.9000000000000001</v>
      </c>
    </row>
    <row r="107" spans="1:17" s="1152" customFormat="1">
      <c r="A107" s="1615" t="e">
        <f>+#REF!</f>
        <v>#REF!</v>
      </c>
      <c r="B107" s="467" t="e">
        <f>+#REF!</f>
        <v>#REF!</v>
      </c>
      <c r="C107" s="1671" t="e">
        <f>#REF!</f>
        <v>#REF!</v>
      </c>
      <c r="D107" s="1668">
        <f>+D104</f>
        <v>0</v>
      </c>
      <c r="E107" s="650" t="e">
        <f>+#REF!</f>
        <v>#REF!</v>
      </c>
      <c r="F107" s="962" t="e">
        <f t="shared" si="5"/>
        <v>#REF!</v>
      </c>
      <c r="G107" s="1149"/>
      <c r="H107" s="1150"/>
      <c r="I107" s="1151"/>
      <c r="J107" s="1150">
        <f>1.6*5+0.1*2+1*2</f>
        <v>10.199999999999999</v>
      </c>
      <c r="K107" s="1152">
        <v>3</v>
      </c>
      <c r="L107" s="1318">
        <f>+D143</f>
        <v>289</v>
      </c>
      <c r="M107" s="1320">
        <f>+J107*K107*L107</f>
        <v>8843.4</v>
      </c>
      <c r="N107" s="1152">
        <f>5*1.6+0.3*6</f>
        <v>9.8000000000000007</v>
      </c>
      <c r="O107" s="1152">
        <f t="shared" si="9"/>
        <v>2.2000000000000002</v>
      </c>
      <c r="P107" s="1319">
        <f t="shared" si="8"/>
        <v>5381.18</v>
      </c>
      <c r="Q107" s="1152">
        <f>1.6+0.3</f>
        <v>1.9000000000000001</v>
      </c>
    </row>
    <row r="108" spans="1:17" s="1152" customFormat="1" ht="18.75">
      <c r="A108" s="1125"/>
      <c r="B108" s="1134"/>
      <c r="C108" s="1608"/>
      <c r="D108" s="636"/>
      <c r="E108" s="1609" t="s">
        <v>109</v>
      </c>
      <c r="F108" s="1122" t="e">
        <f>SUM(F81:F107)</f>
        <v>#REF!</v>
      </c>
      <c r="G108" s="1149"/>
      <c r="H108" s="1150"/>
      <c r="I108" s="1151"/>
      <c r="J108" s="1150"/>
      <c r="M108" s="1320">
        <f>SUM(M102:M107)</f>
        <v>15295.14</v>
      </c>
      <c r="P108" s="1152">
        <f>SUM(P102:P107)</f>
        <v>8297.9200000000019</v>
      </c>
    </row>
    <row r="109" spans="1:17" s="1146" customFormat="1" ht="15" customHeight="1">
      <c r="A109" s="1126"/>
      <c r="B109" s="1117"/>
      <c r="C109" s="188"/>
      <c r="D109" s="410"/>
      <c r="E109" s="1131"/>
      <c r="F109" s="1131"/>
      <c r="G109" s="44"/>
      <c r="H109" s="1144"/>
      <c r="I109" s="1145"/>
      <c r="J109" s="1144"/>
      <c r="L109" s="1146">
        <f>5.9/2</f>
        <v>2.95</v>
      </c>
    </row>
    <row r="110" spans="1:17" s="1146" customFormat="1" ht="24.95" customHeight="1">
      <c r="A110" s="1905" t="e">
        <f>+#REF!</f>
        <v>#REF!</v>
      </c>
      <c r="B110" s="1906"/>
      <c r="C110" s="1906"/>
      <c r="D110" s="1906"/>
      <c r="E110" s="1906"/>
      <c r="F110" s="1907"/>
      <c r="G110" s="44"/>
      <c r="H110" s="1144"/>
      <c r="I110" s="1145"/>
      <c r="J110" s="1144"/>
      <c r="L110" s="1146">
        <f>2.95*2</f>
        <v>5.9</v>
      </c>
    </row>
    <row r="111" spans="1:17" s="1146" customFormat="1">
      <c r="A111" s="1449" t="e">
        <f>+#REF!</f>
        <v>#REF!</v>
      </c>
      <c r="B111" s="1614" t="e">
        <f>+#REF!</f>
        <v>#REF!</v>
      </c>
      <c r="C111" s="1534"/>
      <c r="D111" s="543"/>
      <c r="E111" s="544"/>
      <c r="F111" s="1142"/>
      <c r="G111" s="44"/>
      <c r="H111" s="1144"/>
      <c r="I111" s="1145"/>
      <c r="J111" s="1144"/>
      <c r="L111" s="1146">
        <v>6.1</v>
      </c>
    </row>
    <row r="112" spans="1:17" s="1146" customFormat="1">
      <c r="A112" s="1621"/>
      <c r="B112" s="465"/>
      <c r="C112" s="1554" t="e">
        <f>#REF!</f>
        <v>#REF!</v>
      </c>
      <c r="D112" s="1669">
        <f>J112</f>
        <v>18354.167999999998</v>
      </c>
      <c r="E112" s="547" t="e">
        <f>#REF!</f>
        <v>#REF!</v>
      </c>
      <c r="F112" s="547" t="e">
        <f>+D112*E112</f>
        <v>#REF!</v>
      </c>
      <c r="G112" s="44"/>
      <c r="H112" s="1171">
        <f>+M108</f>
        <v>15295.14</v>
      </c>
      <c r="I112" s="1145">
        <v>1.2</v>
      </c>
      <c r="J112" s="1144">
        <f>H112*I112</f>
        <v>18354.167999999998</v>
      </c>
      <c r="K112" s="1146">
        <f>10*3*1500</f>
        <v>45000</v>
      </c>
      <c r="L112" s="1146">
        <f>2*9</f>
        <v>18</v>
      </c>
    </row>
    <row r="113" spans="1:14" s="1146" customFormat="1">
      <c r="A113" s="1449" t="e">
        <f>+#REF!</f>
        <v>#REF!</v>
      </c>
      <c r="B113" s="1614" t="e">
        <f>+#REF!</f>
        <v>#REF!</v>
      </c>
      <c r="C113" s="1534"/>
      <c r="D113" s="543"/>
      <c r="E113" s="544"/>
      <c r="F113" s="1142"/>
      <c r="G113" s="44"/>
      <c r="H113" s="1144"/>
      <c r="I113" s="1145"/>
      <c r="J113" s="1144"/>
      <c r="L113" s="1146">
        <f>2*2</f>
        <v>4</v>
      </c>
    </row>
    <row r="114" spans="1:14" s="1146" customFormat="1">
      <c r="A114" s="1621"/>
      <c r="B114" s="465"/>
      <c r="C114" s="1554" t="e">
        <f>#REF!</f>
        <v>#REF!</v>
      </c>
      <c r="D114" s="1669">
        <f>J114</f>
        <v>10495.829999999996</v>
      </c>
      <c r="E114" s="547" t="e">
        <f>#REF!</f>
        <v>#REF!</v>
      </c>
      <c r="F114" s="547" t="e">
        <f>+D114*E114</f>
        <v>#REF!</v>
      </c>
      <c r="G114" s="44"/>
      <c r="H114" s="1171">
        <f>+H112-P108</f>
        <v>6997.2199999999975</v>
      </c>
      <c r="I114" s="1145">
        <v>1.5</v>
      </c>
      <c r="J114" s="1144">
        <f>H114*I114</f>
        <v>10495.829999999996</v>
      </c>
      <c r="L114" s="1146">
        <f>2*3</f>
        <v>6</v>
      </c>
    </row>
    <row r="115" spans="1:14" s="1146" customFormat="1">
      <c r="A115" s="1449" t="e">
        <f>+#REF!</f>
        <v>#REF!</v>
      </c>
      <c r="B115" s="1614" t="e">
        <f>+#REF!</f>
        <v>#REF!</v>
      </c>
      <c r="C115" s="1534"/>
      <c r="D115" s="543"/>
      <c r="E115" s="544"/>
      <c r="F115" s="1142"/>
      <c r="G115" s="44"/>
      <c r="H115" s="1144"/>
      <c r="I115" s="1145"/>
      <c r="J115" s="1144"/>
    </row>
    <row r="116" spans="1:14" s="1146" customFormat="1">
      <c r="A116" s="1621"/>
      <c r="B116" s="465"/>
      <c r="C116" s="1554" t="e">
        <f>#REF!</f>
        <v>#REF!</v>
      </c>
      <c r="D116" s="1669">
        <f>100*0.6/3</f>
        <v>20</v>
      </c>
      <c r="E116" s="547" t="e">
        <f>#REF!</f>
        <v>#REF!</v>
      </c>
      <c r="F116" s="547" t="e">
        <f>+D116*E116</f>
        <v>#REF!</v>
      </c>
      <c r="G116" s="44"/>
      <c r="H116" s="1144"/>
      <c r="I116" s="1145"/>
      <c r="J116" s="1144"/>
    </row>
    <row r="117" spans="1:14" s="1146" customFormat="1">
      <c r="A117" s="1449" t="e">
        <f>+#REF!</f>
        <v>#REF!</v>
      </c>
      <c r="B117" s="1614" t="e">
        <f>+#REF!</f>
        <v>#REF!</v>
      </c>
      <c r="C117" s="1534"/>
      <c r="D117" s="543"/>
      <c r="E117" s="544"/>
      <c r="F117" s="1142"/>
      <c r="G117" s="44"/>
      <c r="H117" s="1144"/>
      <c r="I117" s="1145"/>
      <c r="J117" s="1144"/>
    </row>
    <row r="118" spans="1:14" s="1146" customFormat="1">
      <c r="A118" s="1621"/>
      <c r="B118" s="465"/>
      <c r="C118" s="1554" t="e">
        <f>#REF!</f>
        <v>#REF!</v>
      </c>
      <c r="D118" s="1669">
        <f>350</f>
        <v>350</v>
      </c>
      <c r="E118" s="547" t="e">
        <f>#REF!</f>
        <v>#REF!</v>
      </c>
      <c r="F118" s="547" t="e">
        <f>+D118*E118</f>
        <v>#REF!</v>
      </c>
      <c r="G118" s="44"/>
      <c r="H118" s="1144"/>
      <c r="I118" s="1145"/>
      <c r="J118" s="1144">
        <f>6.2+2</f>
        <v>8.1999999999999993</v>
      </c>
      <c r="K118" s="1146">
        <f>2</f>
        <v>2</v>
      </c>
    </row>
    <row r="119" spans="1:14" s="1146" customFormat="1">
      <c r="A119" s="1449" t="e">
        <f>+#REF!</f>
        <v>#REF!</v>
      </c>
      <c r="B119" s="1614" t="e">
        <f>+#REF!</f>
        <v>#REF!</v>
      </c>
      <c r="C119" s="1534"/>
      <c r="D119" s="543"/>
      <c r="E119" s="544"/>
      <c r="F119" s="1142"/>
      <c r="G119" s="44"/>
      <c r="H119" s="1144"/>
      <c r="I119" s="1145"/>
      <c r="J119" s="1144"/>
      <c r="K119" s="1146">
        <f>J118*K118/2</f>
        <v>8.1999999999999993</v>
      </c>
    </row>
    <row r="120" spans="1:14" s="1146" customFormat="1">
      <c r="A120" s="1621" t="e">
        <f>+#REF!</f>
        <v>#REF!</v>
      </c>
      <c r="B120" s="465" t="e">
        <f>+#REF!</f>
        <v>#REF!</v>
      </c>
      <c r="C120" s="1554" t="e">
        <f>#REF!</f>
        <v>#REF!</v>
      </c>
      <c r="D120" s="1669">
        <f>(D124)*110</f>
        <v>10725</v>
      </c>
      <c r="E120" s="547" t="e">
        <f>#REF!</f>
        <v>#REF!</v>
      </c>
      <c r="F120" s="547" t="e">
        <f>+D120*E120</f>
        <v>#REF!</v>
      </c>
      <c r="G120" s="44"/>
      <c r="H120" s="1144"/>
      <c r="I120" s="1145"/>
      <c r="J120" s="1144"/>
    </row>
    <row r="121" spans="1:14" s="1146" customFormat="1">
      <c r="A121" s="1449" t="e">
        <f>+#REF!</f>
        <v>#REF!</v>
      </c>
      <c r="B121" s="1614" t="e">
        <f>+#REF!</f>
        <v>#REF!</v>
      </c>
      <c r="C121" s="1534"/>
      <c r="D121" s="543"/>
      <c r="E121" s="544"/>
      <c r="F121" s="1142"/>
      <c r="G121" s="44"/>
      <c r="H121" s="1144"/>
      <c r="I121" s="1145"/>
      <c r="J121" s="1144"/>
      <c r="L121" s="1146">
        <f>0.1+0.25+0.25+0.25+0.1</f>
        <v>0.95</v>
      </c>
    </row>
    <row r="122" spans="1:14" s="1146" customFormat="1">
      <c r="A122" s="1621"/>
      <c r="B122" s="465"/>
      <c r="C122" s="1554" t="e">
        <f>#REF!</f>
        <v>#REF!</v>
      </c>
      <c r="D122" s="1669">
        <f>150*0.6/2</f>
        <v>45</v>
      </c>
      <c r="E122" s="547" t="e">
        <f>#REF!</f>
        <v>#REF!</v>
      </c>
      <c r="F122" s="547" t="e">
        <f>+D122*E122</f>
        <v>#REF!</v>
      </c>
      <c r="G122" s="44"/>
      <c r="H122" s="1144"/>
      <c r="I122" s="1145"/>
      <c r="J122" s="1144"/>
      <c r="L122" s="1146">
        <f>1*2+L121</f>
        <v>2.95</v>
      </c>
      <c r="N122" s="1146">
        <f>0.1+0.25+1.8+0.25</f>
        <v>2.4</v>
      </c>
    </row>
    <row r="123" spans="1:14" s="1146" customFormat="1">
      <c r="A123" s="1449" t="e">
        <f>+#REF!</f>
        <v>#REF!</v>
      </c>
      <c r="B123" s="1614" t="e">
        <f>+#REF!</f>
        <v>#REF!</v>
      </c>
      <c r="C123" s="1534"/>
      <c r="D123" s="543"/>
      <c r="E123" s="544"/>
      <c r="F123" s="1142"/>
      <c r="G123" s="44"/>
      <c r="H123" s="1144"/>
      <c r="I123" s="1145"/>
      <c r="J123" s="1144"/>
    </row>
    <row r="124" spans="1:14" s="1146" customFormat="1">
      <c r="A124" s="1621"/>
      <c r="B124" s="465"/>
      <c r="C124" s="1553" t="e">
        <f>#REF!</f>
        <v>#REF!</v>
      </c>
      <c r="D124" s="1668">
        <f>300*0.65/2</f>
        <v>97.5</v>
      </c>
      <c r="E124" s="650" t="e">
        <f>#REF!</f>
        <v>#REF!</v>
      </c>
      <c r="F124" s="650" t="e">
        <f>+D124*E124</f>
        <v>#REF!</v>
      </c>
      <c r="G124" s="44"/>
      <c r="H124" s="1144"/>
      <c r="I124" s="1145"/>
      <c r="J124" s="1144"/>
    </row>
    <row r="125" spans="1:14" s="1146" customFormat="1" ht="30" customHeight="1">
      <c r="A125" s="1449" t="e">
        <f>+#REF!</f>
        <v>#REF!</v>
      </c>
      <c r="B125" s="1614" t="e">
        <f>+#REF!</f>
        <v>#REF!</v>
      </c>
      <c r="C125" s="1617"/>
      <c r="D125" s="954"/>
      <c r="E125" s="544"/>
      <c r="F125" s="544"/>
      <c r="G125" s="44"/>
      <c r="H125" s="1144"/>
      <c r="I125" s="1145"/>
      <c r="J125" s="1144"/>
    </row>
    <row r="126" spans="1:14" s="1146" customFormat="1">
      <c r="A126" s="484" t="e">
        <f>+#REF!</f>
        <v>#REF!</v>
      </c>
      <c r="B126" s="1616" t="e">
        <f>+#REF!</f>
        <v>#REF!</v>
      </c>
      <c r="C126" s="1553" t="e">
        <f>#REF!</f>
        <v>#REF!</v>
      </c>
      <c r="D126" s="955">
        <f>J126</f>
        <v>0</v>
      </c>
      <c r="E126" s="650" t="e">
        <f>#REF!</f>
        <v>#REF!</v>
      </c>
      <c r="F126" s="650" t="e">
        <f>+D126*E126</f>
        <v>#REF!</v>
      </c>
      <c r="G126" s="44"/>
      <c r="H126" s="1144">
        <f>J62/10</f>
        <v>105.36500000000001</v>
      </c>
      <c r="I126" s="1145">
        <f>1*0</f>
        <v>0</v>
      </c>
      <c r="J126" s="1144">
        <f>H126*I126</f>
        <v>0</v>
      </c>
    </row>
    <row r="127" spans="1:14" s="1146" customFormat="1">
      <c r="A127" s="484" t="e">
        <f>+#REF!</f>
        <v>#REF!</v>
      </c>
      <c r="B127" s="1616" t="e">
        <f>+#REF!</f>
        <v>#REF!</v>
      </c>
      <c r="C127" s="1553" t="e">
        <f>#REF!</f>
        <v>#REF!</v>
      </c>
      <c r="D127" s="955">
        <f>J127</f>
        <v>0</v>
      </c>
      <c r="E127" s="650" t="e">
        <f>#REF!</f>
        <v>#REF!</v>
      </c>
      <c r="F127" s="650" t="e">
        <f>+D127*E127</f>
        <v>#REF!</v>
      </c>
      <c r="G127" s="44"/>
      <c r="H127" s="1144">
        <f>0.2%*H62</f>
        <v>42.146000000000001</v>
      </c>
      <c r="I127" s="1145">
        <f>1*0</f>
        <v>0</v>
      </c>
      <c r="J127" s="1144">
        <f>H127*I127</f>
        <v>0</v>
      </c>
    </row>
    <row r="128" spans="1:14" s="1146" customFormat="1">
      <c r="A128" s="1615" t="e">
        <f>+#REF!</f>
        <v>#REF!</v>
      </c>
      <c r="B128" s="467" t="e">
        <f>+#REF!</f>
        <v>#REF!</v>
      </c>
      <c r="C128" s="1554" t="e">
        <f>#REF!</f>
        <v>#REF!</v>
      </c>
      <c r="D128" s="1143">
        <f>H128</f>
        <v>0</v>
      </c>
      <c r="E128" s="547" t="e">
        <f>#REF!</f>
        <v>#REF!</v>
      </c>
      <c r="F128" s="547" t="e">
        <f>+D128*E128</f>
        <v>#REF!</v>
      </c>
      <c r="G128" s="44"/>
      <c r="H128" s="1144">
        <f>10*2*0</f>
        <v>0</v>
      </c>
      <c r="I128" s="1145"/>
      <c r="J128" s="1144"/>
    </row>
    <row r="129" spans="1:189" s="1146" customFormat="1">
      <c r="A129" s="1449" t="e">
        <f>+#REF!</f>
        <v>#REF!</v>
      </c>
      <c r="B129" s="1614" t="e">
        <f>+#REF!</f>
        <v>#REF!</v>
      </c>
      <c r="C129" s="1534"/>
      <c r="D129" s="543"/>
      <c r="E129" s="544"/>
      <c r="F129" s="1142"/>
      <c r="G129" s="44"/>
      <c r="H129" s="1144"/>
      <c r="I129" s="1145"/>
      <c r="J129" s="1144"/>
      <c r="L129" s="1146">
        <f>+(10+7)*2*2</f>
        <v>68</v>
      </c>
    </row>
    <row r="130" spans="1:189" s="1146" customFormat="1">
      <c r="A130" s="1621" t="e">
        <f>+#REF!</f>
        <v>#REF!</v>
      </c>
      <c r="B130" s="465" t="e">
        <f>+#REF!</f>
        <v>#REF!</v>
      </c>
      <c r="C130" s="1553" t="e">
        <f>#REF!</f>
        <v>#REF!</v>
      </c>
      <c r="D130" s="1668">
        <f>5*60*0</f>
        <v>0</v>
      </c>
      <c r="E130" s="650" t="e">
        <f>#REF!</f>
        <v>#REF!</v>
      </c>
      <c r="F130" s="650" t="e">
        <f>+D130*E130</f>
        <v>#REF!</v>
      </c>
      <c r="G130" s="44"/>
      <c r="H130" s="1144"/>
      <c r="I130" s="1145"/>
      <c r="J130" s="1144"/>
      <c r="L130" s="1172" t="e">
        <f>+#REF!+#REF!</f>
        <v>#REF!</v>
      </c>
    </row>
    <row r="131" spans="1:189" s="1158" customFormat="1">
      <c r="A131" s="1281" t="e">
        <f>+#REF!</f>
        <v>#REF!</v>
      </c>
      <c r="B131" s="1620" t="e">
        <f>+#REF!</f>
        <v>#REF!</v>
      </c>
      <c r="C131" s="1670"/>
      <c r="D131" s="1667"/>
      <c r="E131" s="544"/>
      <c r="F131" s="544"/>
      <c r="H131" s="1155"/>
      <c r="I131" s="1156"/>
      <c r="J131" s="1155"/>
      <c r="K131" s="1157"/>
      <c r="L131" s="1157"/>
      <c r="M131" s="1157"/>
      <c r="N131" s="1157"/>
      <c r="O131" s="1157"/>
      <c r="P131" s="1157"/>
      <c r="Q131" s="1157"/>
      <c r="R131" s="1157"/>
      <c r="S131" s="1157"/>
      <c r="T131" s="1157"/>
      <c r="U131" s="1157"/>
      <c r="V131" s="1157"/>
      <c r="W131" s="1157"/>
      <c r="X131" s="1157"/>
      <c r="Y131" s="1157"/>
      <c r="Z131" s="1157"/>
      <c r="AA131" s="1157"/>
      <c r="AB131" s="1157"/>
      <c r="AC131" s="1157"/>
      <c r="AD131" s="1157"/>
      <c r="AE131" s="1157"/>
      <c r="AF131" s="1157"/>
      <c r="AG131" s="1157"/>
      <c r="AH131" s="1157"/>
      <c r="AI131" s="1157"/>
      <c r="AJ131" s="1157"/>
      <c r="AK131" s="1157"/>
      <c r="AL131" s="1157"/>
      <c r="AM131" s="1157"/>
      <c r="AN131" s="1157"/>
      <c r="AO131" s="1157"/>
      <c r="AP131" s="1157"/>
      <c r="AQ131" s="1157"/>
      <c r="AR131" s="1157"/>
      <c r="AS131" s="1157"/>
      <c r="AT131" s="1157"/>
      <c r="AU131" s="1157"/>
      <c r="AV131" s="1157"/>
      <c r="AW131" s="1157"/>
      <c r="AX131" s="1157"/>
      <c r="AY131" s="1157"/>
      <c r="AZ131" s="1157"/>
      <c r="BA131" s="1157"/>
      <c r="BB131" s="1157"/>
      <c r="BC131" s="1157"/>
      <c r="BD131" s="1157"/>
      <c r="BE131" s="1157"/>
      <c r="BF131" s="1157"/>
      <c r="BG131" s="1157"/>
      <c r="BH131" s="1157"/>
      <c r="BI131" s="1157"/>
      <c r="BJ131" s="1157"/>
      <c r="BK131" s="1157"/>
      <c r="BL131" s="1157"/>
      <c r="BM131" s="1157"/>
      <c r="BN131" s="1157"/>
      <c r="BO131" s="1157"/>
      <c r="BP131" s="1157"/>
      <c r="BQ131" s="1157"/>
      <c r="BR131" s="1157"/>
      <c r="BS131" s="1157"/>
      <c r="BT131" s="1157"/>
      <c r="BU131" s="1157"/>
      <c r="BV131" s="1157"/>
      <c r="BW131" s="1157"/>
      <c r="BX131" s="1157"/>
      <c r="BY131" s="1157"/>
      <c r="BZ131" s="1157"/>
      <c r="CA131" s="1157"/>
      <c r="CB131" s="1157"/>
      <c r="CC131" s="1157"/>
      <c r="CD131" s="1157"/>
      <c r="CE131" s="1157"/>
      <c r="CF131" s="1157"/>
      <c r="CG131" s="1157"/>
      <c r="CH131" s="1157"/>
      <c r="CI131" s="1157"/>
      <c r="CJ131" s="1157"/>
      <c r="CK131" s="1157"/>
      <c r="CL131" s="1157"/>
      <c r="CM131" s="1157"/>
      <c r="CN131" s="1157"/>
      <c r="CO131" s="1157"/>
      <c r="CP131" s="1157"/>
      <c r="CQ131" s="1157"/>
      <c r="CR131" s="1157"/>
      <c r="CS131" s="1157"/>
      <c r="CT131" s="1157"/>
      <c r="CU131" s="1157"/>
      <c r="CV131" s="1157"/>
      <c r="CW131" s="1157"/>
      <c r="CX131" s="1157"/>
      <c r="CY131" s="1157"/>
      <c r="CZ131" s="1157"/>
      <c r="DA131" s="1157"/>
      <c r="DB131" s="1157"/>
      <c r="DC131" s="1157"/>
      <c r="DD131" s="1157"/>
      <c r="DE131" s="1157"/>
      <c r="DF131" s="1157"/>
      <c r="DG131" s="1157"/>
      <c r="DH131" s="1157"/>
      <c r="DI131" s="1157"/>
      <c r="DJ131" s="1157"/>
      <c r="DK131" s="1157"/>
      <c r="DL131" s="1157"/>
      <c r="DM131" s="1157"/>
      <c r="DN131" s="1157"/>
      <c r="DO131" s="1157"/>
      <c r="DP131" s="1157"/>
      <c r="DQ131" s="1157"/>
      <c r="DR131" s="1157"/>
      <c r="DS131" s="1157"/>
      <c r="DT131" s="1157"/>
      <c r="DU131" s="1157"/>
      <c r="DV131" s="1157"/>
      <c r="DW131" s="1157"/>
      <c r="DX131" s="1157"/>
      <c r="DY131" s="1157"/>
      <c r="DZ131" s="1157"/>
      <c r="EA131" s="1157"/>
      <c r="EB131" s="1157"/>
      <c r="EC131" s="1157"/>
      <c r="ED131" s="1157"/>
      <c r="EE131" s="1157"/>
      <c r="EF131" s="1157"/>
      <c r="EG131" s="1157"/>
      <c r="EH131" s="1157"/>
      <c r="EI131" s="1157"/>
      <c r="EJ131" s="1157"/>
      <c r="EK131" s="1157"/>
      <c r="EL131" s="1157"/>
      <c r="EM131" s="1157"/>
      <c r="EN131" s="1157"/>
      <c r="EO131" s="1157"/>
      <c r="EP131" s="1157"/>
      <c r="EQ131" s="1157"/>
      <c r="ER131" s="1157"/>
      <c r="ES131" s="1157"/>
      <c r="ET131" s="1157"/>
      <c r="EU131" s="1157"/>
      <c r="EV131" s="1157"/>
      <c r="EW131" s="1157"/>
      <c r="EX131" s="1157"/>
      <c r="EY131" s="1157"/>
      <c r="EZ131" s="1157"/>
      <c r="FA131" s="1157"/>
      <c r="FB131" s="1157"/>
      <c r="FC131" s="1157"/>
      <c r="FD131" s="1157"/>
      <c r="FE131" s="1157"/>
      <c r="FF131" s="1157"/>
      <c r="FG131" s="1157"/>
      <c r="FH131" s="1157"/>
      <c r="FI131" s="1157"/>
      <c r="FJ131" s="1157"/>
      <c r="FK131" s="1157"/>
      <c r="FL131" s="1157"/>
      <c r="FM131" s="1157"/>
      <c r="FN131" s="1157"/>
      <c r="FO131" s="1157"/>
      <c r="FP131" s="1157"/>
      <c r="FQ131" s="1157"/>
      <c r="FR131" s="1157"/>
      <c r="FS131" s="1157"/>
      <c r="FT131" s="1157"/>
      <c r="FU131" s="1157"/>
      <c r="FV131" s="1157"/>
      <c r="FW131" s="1157"/>
      <c r="FX131" s="1157"/>
      <c r="FY131" s="1157"/>
      <c r="FZ131" s="1157"/>
      <c r="GA131" s="1157"/>
      <c r="GB131" s="1157"/>
      <c r="GC131" s="1157"/>
      <c r="GD131" s="1157"/>
      <c r="GE131" s="1157"/>
      <c r="GF131" s="1157"/>
      <c r="GG131" s="1157"/>
    </row>
    <row r="132" spans="1:189" s="1158" customFormat="1">
      <c r="A132" s="484" t="e">
        <f>+#REF!</f>
        <v>#REF!</v>
      </c>
      <c r="B132" s="1616" t="e">
        <f>+#REF!</f>
        <v>#REF!</v>
      </c>
      <c r="C132" s="1671" t="e">
        <f>#REF!</f>
        <v>#REF!</v>
      </c>
      <c r="D132" s="1668">
        <f>J132</f>
        <v>0</v>
      </c>
      <c r="E132" s="650" t="e">
        <f>#REF!</f>
        <v>#REF!</v>
      </c>
      <c r="F132" s="650" t="e">
        <f t="shared" ref="F132:F140" si="10">+D132*E132</f>
        <v>#REF!</v>
      </c>
      <c r="H132" s="1155">
        <f>F7</f>
        <v>0</v>
      </c>
      <c r="I132" s="1156">
        <v>1.05</v>
      </c>
      <c r="J132" s="1155">
        <f t="shared" ref="J132:J140" si="11">H132*I132</f>
        <v>0</v>
      </c>
      <c r="K132" s="1157"/>
      <c r="L132" s="1157"/>
      <c r="M132" s="1157"/>
      <c r="N132" s="1157"/>
      <c r="O132" s="1157"/>
      <c r="P132" s="1157"/>
      <c r="Q132" s="1157"/>
      <c r="R132" s="1157"/>
      <c r="S132" s="1157"/>
      <c r="T132" s="1157"/>
      <c r="U132" s="1157"/>
      <c r="V132" s="1157"/>
      <c r="W132" s="1157"/>
      <c r="X132" s="1157"/>
      <c r="Y132" s="1157"/>
      <c r="Z132" s="1157"/>
      <c r="AA132" s="1157"/>
      <c r="AB132" s="1157"/>
      <c r="AC132" s="1157"/>
      <c r="AD132" s="1157"/>
      <c r="AE132" s="1157"/>
      <c r="AF132" s="1157"/>
      <c r="AG132" s="1157"/>
      <c r="AH132" s="1157"/>
      <c r="AI132" s="1157"/>
      <c r="AJ132" s="1157"/>
      <c r="AK132" s="1157"/>
      <c r="AL132" s="1157"/>
      <c r="AM132" s="1157"/>
      <c r="AN132" s="1157"/>
      <c r="AO132" s="1157"/>
      <c r="AP132" s="1157"/>
      <c r="AQ132" s="1157"/>
      <c r="AR132" s="1157"/>
      <c r="AS132" s="1157"/>
      <c r="AT132" s="1157"/>
      <c r="AU132" s="1157"/>
      <c r="AV132" s="1157"/>
      <c r="AW132" s="1157"/>
      <c r="AX132" s="1157"/>
      <c r="AY132" s="1157"/>
      <c r="AZ132" s="1157"/>
      <c r="BA132" s="1157"/>
      <c r="BB132" s="1157"/>
      <c r="BC132" s="1157"/>
      <c r="BD132" s="1157"/>
      <c r="BE132" s="1157"/>
      <c r="BF132" s="1157"/>
      <c r="BG132" s="1157"/>
      <c r="BH132" s="1157"/>
      <c r="BI132" s="1157"/>
      <c r="BJ132" s="1157"/>
      <c r="BK132" s="1157"/>
      <c r="BL132" s="1157"/>
      <c r="BM132" s="1157"/>
      <c r="BN132" s="1157"/>
      <c r="BO132" s="1157"/>
      <c r="BP132" s="1157"/>
      <c r="BQ132" s="1157"/>
      <c r="BR132" s="1157"/>
      <c r="BS132" s="1157"/>
      <c r="BT132" s="1157"/>
      <c r="BU132" s="1157"/>
      <c r="BV132" s="1157"/>
      <c r="BW132" s="1157"/>
      <c r="BX132" s="1157"/>
      <c r="BY132" s="1157"/>
      <c r="BZ132" s="1157"/>
      <c r="CA132" s="1157"/>
      <c r="CB132" s="1157"/>
      <c r="CC132" s="1157"/>
      <c r="CD132" s="1157"/>
      <c r="CE132" s="1157"/>
      <c r="CF132" s="1157"/>
      <c r="CG132" s="1157"/>
      <c r="CH132" s="1157"/>
      <c r="CI132" s="1157"/>
      <c r="CJ132" s="1157"/>
      <c r="CK132" s="1157"/>
      <c r="CL132" s="1157"/>
      <c r="CM132" s="1157"/>
      <c r="CN132" s="1157"/>
      <c r="CO132" s="1157"/>
      <c r="CP132" s="1157"/>
      <c r="CQ132" s="1157"/>
      <c r="CR132" s="1157"/>
      <c r="CS132" s="1157"/>
      <c r="CT132" s="1157"/>
      <c r="CU132" s="1157"/>
      <c r="CV132" s="1157"/>
      <c r="CW132" s="1157"/>
      <c r="CX132" s="1157"/>
      <c r="CY132" s="1157"/>
      <c r="CZ132" s="1157"/>
      <c r="DA132" s="1157"/>
      <c r="DB132" s="1157"/>
      <c r="DC132" s="1157"/>
      <c r="DD132" s="1157"/>
      <c r="DE132" s="1157"/>
      <c r="DF132" s="1157"/>
      <c r="DG132" s="1157"/>
      <c r="DH132" s="1157"/>
      <c r="DI132" s="1157"/>
      <c r="DJ132" s="1157"/>
      <c r="DK132" s="1157"/>
      <c r="DL132" s="1157"/>
      <c r="DM132" s="1157"/>
      <c r="DN132" s="1157"/>
      <c r="DO132" s="1157"/>
      <c r="DP132" s="1157"/>
      <c r="DQ132" s="1157"/>
      <c r="DR132" s="1157"/>
      <c r="DS132" s="1157"/>
      <c r="DT132" s="1157"/>
      <c r="DU132" s="1157"/>
      <c r="DV132" s="1157"/>
      <c r="DW132" s="1157"/>
      <c r="DX132" s="1157"/>
      <c r="DY132" s="1157"/>
      <c r="DZ132" s="1157"/>
      <c r="EA132" s="1157"/>
      <c r="EB132" s="1157"/>
      <c r="EC132" s="1157"/>
      <c r="ED132" s="1157"/>
      <c r="EE132" s="1157"/>
      <c r="EF132" s="1157"/>
      <c r="EG132" s="1157"/>
      <c r="EH132" s="1157"/>
      <c r="EI132" s="1157"/>
      <c r="EJ132" s="1157"/>
      <c r="EK132" s="1157"/>
      <c r="EL132" s="1157"/>
      <c r="EM132" s="1157"/>
      <c r="EN132" s="1157"/>
      <c r="EO132" s="1157"/>
      <c r="EP132" s="1157"/>
      <c r="EQ132" s="1157"/>
      <c r="ER132" s="1157"/>
      <c r="ES132" s="1157"/>
      <c r="ET132" s="1157"/>
      <c r="EU132" s="1157"/>
      <c r="EV132" s="1157"/>
      <c r="EW132" s="1157"/>
      <c r="EX132" s="1157"/>
      <c r="EY132" s="1157"/>
      <c r="EZ132" s="1157"/>
      <c r="FA132" s="1157"/>
      <c r="FB132" s="1157"/>
      <c r="FC132" s="1157"/>
      <c r="FD132" s="1157"/>
      <c r="FE132" s="1157"/>
      <c r="FF132" s="1157"/>
      <c r="FG132" s="1157"/>
      <c r="FH132" s="1157"/>
      <c r="FI132" s="1157"/>
      <c r="FJ132" s="1157"/>
      <c r="FK132" s="1157"/>
      <c r="FL132" s="1157"/>
      <c r="FM132" s="1157"/>
      <c r="FN132" s="1157"/>
      <c r="FO132" s="1157"/>
      <c r="FP132" s="1157"/>
      <c r="FQ132" s="1157"/>
      <c r="FR132" s="1157"/>
      <c r="FS132" s="1157"/>
      <c r="FT132" s="1157"/>
      <c r="FU132" s="1157"/>
      <c r="FV132" s="1157"/>
      <c r="FW132" s="1157"/>
      <c r="FX132" s="1157"/>
      <c r="FY132" s="1157"/>
      <c r="FZ132" s="1157"/>
      <c r="GA132" s="1157"/>
      <c r="GB132" s="1157"/>
      <c r="GC132" s="1157"/>
      <c r="GD132" s="1157"/>
      <c r="GE132" s="1157"/>
      <c r="GF132" s="1157"/>
      <c r="GG132" s="1157"/>
    </row>
    <row r="133" spans="1:189" s="1158" customFormat="1">
      <c r="A133" s="484" t="e">
        <f>+#REF!</f>
        <v>#REF!</v>
      </c>
      <c r="B133" s="1616" t="e">
        <f>+#REF!</f>
        <v>#REF!</v>
      </c>
      <c r="C133" s="1671" t="e">
        <f>#REF!</f>
        <v>#REF!</v>
      </c>
      <c r="D133" s="1668">
        <f t="shared" ref="D133:D140" si="12">J133</f>
        <v>0</v>
      </c>
      <c r="E133" s="650" t="e">
        <f>#REF!</f>
        <v>#REF!</v>
      </c>
      <c r="F133" s="650" t="e">
        <f t="shared" si="10"/>
        <v>#REF!</v>
      </c>
      <c r="H133" s="1155">
        <f>F6</f>
        <v>0</v>
      </c>
      <c r="I133" s="1156">
        <v>1.05</v>
      </c>
      <c r="J133" s="1155">
        <f t="shared" si="11"/>
        <v>0</v>
      </c>
      <c r="K133" s="1157"/>
      <c r="L133" s="1157"/>
      <c r="M133" s="1157"/>
      <c r="N133" s="1157"/>
      <c r="O133" s="1157"/>
      <c r="P133" s="1157"/>
      <c r="Q133" s="1157"/>
      <c r="R133" s="1157"/>
      <c r="S133" s="1157"/>
      <c r="T133" s="1157"/>
      <c r="U133" s="1157"/>
      <c r="V133" s="1157"/>
      <c r="W133" s="1157"/>
      <c r="X133" s="1157"/>
      <c r="Y133" s="1157"/>
      <c r="Z133" s="1157"/>
      <c r="AA133" s="1157"/>
      <c r="AB133" s="1157"/>
      <c r="AC133" s="1157"/>
      <c r="AD133" s="1157"/>
      <c r="AE133" s="1157"/>
      <c r="AF133" s="1157"/>
      <c r="AG133" s="1157"/>
      <c r="AH133" s="1157"/>
      <c r="AI133" s="1157"/>
      <c r="AJ133" s="1157"/>
      <c r="AK133" s="1157"/>
      <c r="AL133" s="1157"/>
      <c r="AM133" s="1157"/>
      <c r="AN133" s="1157"/>
      <c r="AO133" s="1157"/>
      <c r="AP133" s="1157"/>
      <c r="AQ133" s="1157"/>
      <c r="AR133" s="1157"/>
      <c r="AS133" s="1157"/>
      <c r="AT133" s="1157"/>
      <c r="AU133" s="1157"/>
      <c r="AV133" s="1157"/>
      <c r="AW133" s="1157"/>
      <c r="AX133" s="1157"/>
      <c r="AY133" s="1157"/>
      <c r="AZ133" s="1157"/>
      <c r="BA133" s="1157"/>
      <c r="BB133" s="1157"/>
      <c r="BC133" s="1157"/>
      <c r="BD133" s="1157"/>
      <c r="BE133" s="1157"/>
      <c r="BF133" s="1157"/>
      <c r="BG133" s="1157"/>
      <c r="BH133" s="1157"/>
      <c r="BI133" s="1157"/>
      <c r="BJ133" s="1157"/>
      <c r="BK133" s="1157"/>
      <c r="BL133" s="1157"/>
      <c r="BM133" s="1157"/>
      <c r="BN133" s="1157"/>
      <c r="BO133" s="1157"/>
      <c r="BP133" s="1157"/>
      <c r="BQ133" s="1157"/>
      <c r="BR133" s="1157"/>
      <c r="BS133" s="1157"/>
      <c r="BT133" s="1157"/>
      <c r="BU133" s="1157"/>
      <c r="BV133" s="1157"/>
      <c r="BW133" s="1157"/>
      <c r="BX133" s="1157"/>
      <c r="BY133" s="1157"/>
      <c r="BZ133" s="1157"/>
      <c r="CA133" s="1157"/>
      <c r="CB133" s="1157"/>
      <c r="CC133" s="1157"/>
      <c r="CD133" s="1157"/>
      <c r="CE133" s="1157"/>
      <c r="CF133" s="1157"/>
      <c r="CG133" s="1157"/>
      <c r="CH133" s="1157"/>
      <c r="CI133" s="1157"/>
      <c r="CJ133" s="1157"/>
      <c r="CK133" s="1157"/>
      <c r="CL133" s="1157"/>
      <c r="CM133" s="1157"/>
      <c r="CN133" s="1157"/>
      <c r="CO133" s="1157"/>
      <c r="CP133" s="1157"/>
      <c r="CQ133" s="1157"/>
      <c r="CR133" s="1157"/>
      <c r="CS133" s="1157"/>
      <c r="CT133" s="1157"/>
      <c r="CU133" s="1157"/>
      <c r="CV133" s="1157"/>
      <c r="CW133" s="1157"/>
      <c r="CX133" s="1157"/>
      <c r="CY133" s="1157"/>
      <c r="CZ133" s="1157"/>
      <c r="DA133" s="1157"/>
      <c r="DB133" s="1157"/>
      <c r="DC133" s="1157"/>
      <c r="DD133" s="1157"/>
      <c r="DE133" s="1157"/>
      <c r="DF133" s="1157"/>
      <c r="DG133" s="1157"/>
      <c r="DH133" s="1157"/>
      <c r="DI133" s="1157"/>
      <c r="DJ133" s="1157"/>
      <c r="DK133" s="1157"/>
      <c r="DL133" s="1157"/>
      <c r="DM133" s="1157"/>
      <c r="DN133" s="1157"/>
      <c r="DO133" s="1157"/>
      <c r="DP133" s="1157"/>
      <c r="DQ133" s="1157"/>
      <c r="DR133" s="1157"/>
      <c r="DS133" s="1157"/>
      <c r="DT133" s="1157"/>
      <c r="DU133" s="1157"/>
      <c r="DV133" s="1157"/>
      <c r="DW133" s="1157"/>
      <c r="DX133" s="1157"/>
      <c r="DY133" s="1157"/>
      <c r="DZ133" s="1157"/>
      <c r="EA133" s="1157"/>
      <c r="EB133" s="1157"/>
      <c r="EC133" s="1157"/>
      <c r="ED133" s="1157"/>
      <c r="EE133" s="1157"/>
      <c r="EF133" s="1157"/>
      <c r="EG133" s="1157"/>
      <c r="EH133" s="1157"/>
      <c r="EI133" s="1157"/>
      <c r="EJ133" s="1157"/>
      <c r="EK133" s="1157"/>
      <c r="EL133" s="1157"/>
      <c r="EM133" s="1157"/>
      <c r="EN133" s="1157"/>
      <c r="EO133" s="1157"/>
      <c r="EP133" s="1157"/>
      <c r="EQ133" s="1157"/>
      <c r="ER133" s="1157"/>
      <c r="ES133" s="1157"/>
      <c r="ET133" s="1157"/>
      <c r="EU133" s="1157"/>
      <c r="EV133" s="1157"/>
      <c r="EW133" s="1157"/>
      <c r="EX133" s="1157"/>
      <c r="EY133" s="1157"/>
      <c r="EZ133" s="1157"/>
      <c r="FA133" s="1157"/>
      <c r="FB133" s="1157"/>
      <c r="FC133" s="1157"/>
      <c r="FD133" s="1157"/>
      <c r="FE133" s="1157"/>
      <c r="FF133" s="1157"/>
      <c r="FG133" s="1157"/>
      <c r="FH133" s="1157"/>
      <c r="FI133" s="1157"/>
      <c r="FJ133" s="1157"/>
      <c r="FK133" s="1157"/>
      <c r="FL133" s="1157"/>
      <c r="FM133" s="1157"/>
      <c r="FN133" s="1157"/>
      <c r="FO133" s="1157"/>
      <c r="FP133" s="1157"/>
      <c r="FQ133" s="1157"/>
      <c r="FR133" s="1157"/>
      <c r="FS133" s="1157"/>
      <c r="FT133" s="1157"/>
      <c r="FU133" s="1157"/>
      <c r="FV133" s="1157"/>
      <c r="FW133" s="1157"/>
      <c r="FX133" s="1157"/>
      <c r="FY133" s="1157"/>
      <c r="FZ133" s="1157"/>
      <c r="GA133" s="1157"/>
      <c r="GB133" s="1157"/>
      <c r="GC133" s="1157"/>
      <c r="GD133" s="1157"/>
      <c r="GE133" s="1157"/>
      <c r="GF133" s="1157"/>
      <c r="GG133" s="1157"/>
    </row>
    <row r="134" spans="1:189" s="1174" customFormat="1">
      <c r="A134" s="484" t="e">
        <f>+#REF!</f>
        <v>#REF!</v>
      </c>
      <c r="B134" s="1616" t="e">
        <f>+#REF!</f>
        <v>#REF!</v>
      </c>
      <c r="C134" s="1671" t="e">
        <f>#REF!</f>
        <v>#REF!</v>
      </c>
      <c r="D134" s="1668">
        <f t="shared" si="12"/>
        <v>0</v>
      </c>
      <c r="E134" s="650" t="e">
        <f>#REF!</f>
        <v>#REF!</v>
      </c>
      <c r="F134" s="650" t="e">
        <f t="shared" si="10"/>
        <v>#REF!</v>
      </c>
      <c r="H134" s="1175">
        <f>F5</f>
        <v>0</v>
      </c>
      <c r="I134" s="1176">
        <v>1.05</v>
      </c>
      <c r="J134" s="1175">
        <f t="shared" si="11"/>
        <v>0</v>
      </c>
    </row>
    <row r="135" spans="1:189" s="1174" customFormat="1">
      <c r="A135" s="484" t="e">
        <f>+#REF!</f>
        <v>#REF!</v>
      </c>
      <c r="B135" s="1616" t="e">
        <f>+#REF!</f>
        <v>#REF!</v>
      </c>
      <c r="C135" s="1671" t="e">
        <f>#REF!</f>
        <v>#REF!</v>
      </c>
      <c r="D135" s="1668">
        <f t="shared" si="12"/>
        <v>0</v>
      </c>
      <c r="E135" s="650" t="e">
        <f>+#REF!</f>
        <v>#REF!</v>
      </c>
      <c r="F135" s="650" t="e">
        <f t="shared" si="10"/>
        <v>#REF!</v>
      </c>
      <c r="H135" s="1175">
        <f>F4</f>
        <v>0</v>
      </c>
      <c r="I135" s="1176">
        <v>1.05</v>
      </c>
      <c r="J135" s="1175">
        <f t="shared" si="11"/>
        <v>0</v>
      </c>
    </row>
    <row r="136" spans="1:189" s="1174" customFormat="1">
      <c r="A136" s="484" t="e">
        <f>+#REF!</f>
        <v>#REF!</v>
      </c>
      <c r="B136" s="1616" t="e">
        <f>+#REF!</f>
        <v>#REF!</v>
      </c>
      <c r="C136" s="1672" t="e">
        <f>#REF!</f>
        <v>#REF!</v>
      </c>
      <c r="D136" s="1669">
        <f t="shared" si="12"/>
        <v>0</v>
      </c>
      <c r="E136" s="547" t="e">
        <f>+#REF!</f>
        <v>#REF!</v>
      </c>
      <c r="F136" s="547" t="e">
        <f t="shared" si="10"/>
        <v>#REF!</v>
      </c>
      <c r="H136" s="1175">
        <f>F3</f>
        <v>0</v>
      </c>
      <c r="I136" s="1176">
        <v>1.05</v>
      </c>
      <c r="J136" s="1175">
        <f t="shared" si="11"/>
        <v>0</v>
      </c>
    </row>
    <row r="137" spans="1:189" s="1174" customFormat="1">
      <c r="A137" s="1449" t="e">
        <f>+#REF!</f>
        <v>#REF!</v>
      </c>
      <c r="B137" s="1614" t="e">
        <f>+#REF!</f>
        <v>#REF!</v>
      </c>
      <c r="C137" s="1562"/>
      <c r="D137" s="1667"/>
      <c r="E137" s="544"/>
      <c r="F137" s="544"/>
      <c r="H137" s="1175"/>
      <c r="I137" s="1176"/>
      <c r="J137" s="1175"/>
    </row>
    <row r="138" spans="1:189" s="1174" customFormat="1" ht="15" customHeight="1">
      <c r="A138" s="785" t="e">
        <f>+#REF!</f>
        <v>#REF!</v>
      </c>
      <c r="B138" s="786" t="e">
        <f>+#REF!</f>
        <v>#REF!</v>
      </c>
      <c r="C138" s="1553" t="e">
        <f>#REF!</f>
        <v>#REF!</v>
      </c>
      <c r="D138" s="1668">
        <f t="shared" si="12"/>
        <v>0</v>
      </c>
      <c r="E138" s="650" t="e">
        <f>+#REF!</f>
        <v>#REF!</v>
      </c>
      <c r="F138" s="650" t="e">
        <f t="shared" si="10"/>
        <v>#REF!</v>
      </c>
      <c r="H138" s="1175">
        <f>15*25</f>
        <v>375</v>
      </c>
      <c r="I138" s="1176">
        <f>1.1*0</f>
        <v>0</v>
      </c>
      <c r="J138" s="1175">
        <f t="shared" si="11"/>
        <v>0</v>
      </c>
    </row>
    <row r="139" spans="1:189" s="1174" customFormat="1">
      <c r="A139" s="1616" t="e">
        <f>+#REF!</f>
        <v>#REF!</v>
      </c>
      <c r="B139" s="1616" t="e">
        <f>+#REF!</f>
        <v>#REF!</v>
      </c>
      <c r="C139" s="1553" t="e">
        <f>#REF!</f>
        <v>#REF!</v>
      </c>
      <c r="D139" s="1668">
        <f t="shared" si="12"/>
        <v>0</v>
      </c>
      <c r="E139" s="650" t="e">
        <f>+#REF!</f>
        <v>#REF!</v>
      </c>
      <c r="F139" s="650" t="e">
        <f t="shared" si="10"/>
        <v>#REF!</v>
      </c>
      <c r="H139" s="1175">
        <f>4*25</f>
        <v>100</v>
      </c>
      <c r="I139" s="1176">
        <f>1.1*0</f>
        <v>0</v>
      </c>
      <c r="J139" s="1175">
        <f t="shared" si="11"/>
        <v>0</v>
      </c>
    </row>
    <row r="140" spans="1:189" s="1174" customFormat="1">
      <c r="A140" s="1616" t="e">
        <f>+#REF!</f>
        <v>#REF!</v>
      </c>
      <c r="B140" s="1616" t="e">
        <f>+#REF!</f>
        <v>#REF!</v>
      </c>
      <c r="C140" s="1553" t="e">
        <f>#REF!</f>
        <v>#REF!</v>
      </c>
      <c r="D140" s="1668">
        <f t="shared" si="12"/>
        <v>129.80000000000001</v>
      </c>
      <c r="E140" s="650" t="e">
        <f>+#REF!</f>
        <v>#REF!</v>
      </c>
      <c r="F140" s="650" t="e">
        <f t="shared" si="10"/>
        <v>#REF!</v>
      </c>
      <c r="H140" s="1175">
        <f>53+65</f>
        <v>118</v>
      </c>
      <c r="I140" s="1176">
        <v>1.1000000000000001</v>
      </c>
      <c r="J140" s="1175">
        <f t="shared" si="11"/>
        <v>129.80000000000001</v>
      </c>
    </row>
    <row r="141" spans="1:189" s="1158" customFormat="1">
      <c r="A141" s="484" t="e">
        <f>+#REF!</f>
        <v>#REF!</v>
      </c>
      <c r="B141" s="1616" t="e">
        <f>+#REF!</f>
        <v>#REF!</v>
      </c>
      <c r="C141" s="1553" t="e">
        <f>#REF!</f>
        <v>#REF!</v>
      </c>
      <c r="D141" s="1668">
        <f>+J141</f>
        <v>0</v>
      </c>
      <c r="E141" s="650" t="e">
        <f>+#REF!</f>
        <v>#REF!</v>
      </c>
      <c r="F141" s="650" t="e">
        <f>+D141*E141</f>
        <v>#REF!</v>
      </c>
      <c r="H141" s="1155">
        <f>F9</f>
        <v>0</v>
      </c>
      <c r="I141" s="1176">
        <v>1.1000000000000001</v>
      </c>
      <c r="J141" s="1155">
        <f>H141*I141</f>
        <v>0</v>
      </c>
      <c r="K141" s="1157"/>
      <c r="L141" s="1157"/>
      <c r="M141" s="1157"/>
      <c r="N141" s="1157"/>
      <c r="O141" s="1157"/>
      <c r="P141" s="1157"/>
      <c r="Q141" s="1157"/>
      <c r="R141" s="1157"/>
      <c r="S141" s="1157"/>
      <c r="T141" s="1157"/>
      <c r="U141" s="1157"/>
      <c r="V141" s="1157"/>
      <c r="W141" s="1157"/>
      <c r="X141" s="1157"/>
      <c r="Y141" s="1157"/>
      <c r="Z141" s="1157"/>
      <c r="AA141" s="1157"/>
      <c r="AB141" s="1157"/>
      <c r="AC141" s="1157"/>
      <c r="AD141" s="1157"/>
      <c r="AE141" s="1157"/>
      <c r="AF141" s="1157"/>
      <c r="AG141" s="1157"/>
      <c r="AH141" s="1157"/>
      <c r="AI141" s="1157"/>
      <c r="AJ141" s="1157"/>
      <c r="AK141" s="1157"/>
      <c r="AL141" s="1157"/>
      <c r="AM141" s="1157"/>
      <c r="AN141" s="1157"/>
      <c r="AO141" s="1157"/>
      <c r="AP141" s="1157"/>
      <c r="AQ141" s="1157"/>
      <c r="AR141" s="1157"/>
      <c r="AS141" s="1157"/>
      <c r="AT141" s="1157"/>
      <c r="AU141" s="1157"/>
      <c r="AV141" s="1157"/>
      <c r="AW141" s="1157"/>
      <c r="AX141" s="1157"/>
      <c r="AY141" s="1157"/>
      <c r="AZ141" s="1157"/>
      <c r="BA141" s="1157"/>
      <c r="BB141" s="1157"/>
      <c r="BC141" s="1157"/>
      <c r="BD141" s="1157"/>
      <c r="BE141" s="1157"/>
      <c r="BF141" s="1157"/>
      <c r="BG141" s="1157"/>
      <c r="BH141" s="1157"/>
      <c r="BI141" s="1157"/>
      <c r="BJ141" s="1157"/>
      <c r="BK141" s="1157"/>
      <c r="BL141" s="1157"/>
      <c r="BM141" s="1157"/>
      <c r="BN141" s="1157"/>
      <c r="BO141" s="1157"/>
      <c r="BP141" s="1157"/>
      <c r="BQ141" s="1157"/>
      <c r="BR141" s="1157"/>
      <c r="BS141" s="1157"/>
      <c r="BT141" s="1157"/>
      <c r="BU141" s="1157"/>
      <c r="BV141" s="1157"/>
      <c r="BW141" s="1157"/>
      <c r="BX141" s="1157"/>
      <c r="BY141" s="1157"/>
      <c r="BZ141" s="1157"/>
      <c r="CA141" s="1157"/>
      <c r="CB141" s="1157"/>
      <c r="CC141" s="1157"/>
      <c r="CD141" s="1157"/>
      <c r="CE141" s="1157"/>
      <c r="CF141" s="1157"/>
      <c r="CG141" s="1157"/>
      <c r="CH141" s="1157"/>
      <c r="CI141" s="1157"/>
      <c r="CJ141" s="1157"/>
      <c r="CK141" s="1157"/>
      <c r="CL141" s="1157"/>
      <c r="CM141" s="1157"/>
      <c r="CN141" s="1157"/>
      <c r="CO141" s="1157"/>
      <c r="CP141" s="1157"/>
      <c r="CQ141" s="1157"/>
      <c r="CR141" s="1157"/>
      <c r="CS141" s="1157"/>
      <c r="CT141" s="1157"/>
      <c r="CU141" s="1157"/>
      <c r="CV141" s="1157"/>
      <c r="CW141" s="1157"/>
      <c r="CX141" s="1157"/>
      <c r="CY141" s="1157"/>
      <c r="CZ141" s="1157"/>
      <c r="DA141" s="1157"/>
      <c r="DB141" s="1157"/>
      <c r="DC141" s="1157"/>
      <c r="DD141" s="1157"/>
      <c r="DE141" s="1157"/>
      <c r="DF141" s="1157"/>
      <c r="DG141" s="1157"/>
      <c r="DH141" s="1157"/>
      <c r="DI141" s="1157"/>
      <c r="DJ141" s="1157"/>
      <c r="DK141" s="1157"/>
      <c r="DL141" s="1157"/>
      <c r="DM141" s="1157"/>
      <c r="DN141" s="1157"/>
      <c r="DO141" s="1157"/>
      <c r="DP141" s="1157"/>
      <c r="DQ141" s="1157"/>
      <c r="DR141" s="1157"/>
      <c r="DS141" s="1157"/>
      <c r="DT141" s="1157"/>
      <c r="DU141" s="1157"/>
      <c r="DV141" s="1157"/>
      <c r="DW141" s="1157"/>
      <c r="DX141" s="1157"/>
      <c r="DY141" s="1157"/>
      <c r="DZ141" s="1157"/>
      <c r="EA141" s="1157"/>
      <c r="EB141" s="1157"/>
      <c r="EC141" s="1157"/>
      <c r="ED141" s="1157"/>
      <c r="EE141" s="1157"/>
      <c r="EF141" s="1157"/>
      <c r="EG141" s="1157"/>
      <c r="EH141" s="1157"/>
      <c r="EI141" s="1157"/>
      <c r="EJ141" s="1157"/>
      <c r="EK141" s="1157"/>
      <c r="EL141" s="1157"/>
      <c r="EM141" s="1157"/>
      <c r="EN141" s="1157"/>
      <c r="EO141" s="1157"/>
      <c r="EP141" s="1157"/>
      <c r="EQ141" s="1157"/>
      <c r="ER141" s="1157"/>
      <c r="ES141" s="1157"/>
      <c r="ET141" s="1157"/>
      <c r="EU141" s="1157"/>
      <c r="EV141" s="1157"/>
      <c r="EW141" s="1157"/>
      <c r="EX141" s="1157"/>
      <c r="EY141" s="1157"/>
      <c r="EZ141" s="1157"/>
      <c r="FA141" s="1157"/>
      <c r="FB141" s="1157"/>
      <c r="FC141" s="1157"/>
      <c r="FD141" s="1157"/>
      <c r="FE141" s="1157"/>
      <c r="FF141" s="1157"/>
      <c r="FG141" s="1157"/>
      <c r="FH141" s="1157"/>
      <c r="FI141" s="1157"/>
      <c r="FJ141" s="1157"/>
      <c r="FK141" s="1157"/>
      <c r="FL141" s="1157"/>
      <c r="FM141" s="1157"/>
      <c r="FN141" s="1157"/>
      <c r="FO141" s="1157"/>
      <c r="FP141" s="1157"/>
      <c r="FQ141" s="1157"/>
      <c r="FR141" s="1157"/>
      <c r="FS141" s="1157"/>
      <c r="FT141" s="1157"/>
      <c r="FU141" s="1157"/>
      <c r="FV141" s="1157"/>
      <c r="FW141" s="1157"/>
      <c r="FX141" s="1157"/>
      <c r="FY141" s="1157"/>
      <c r="FZ141" s="1157"/>
      <c r="GA141" s="1157"/>
      <c r="GB141" s="1157"/>
      <c r="GC141" s="1157"/>
      <c r="GD141" s="1157"/>
      <c r="GE141" s="1157"/>
      <c r="GF141" s="1157"/>
      <c r="GG141" s="1157"/>
    </row>
    <row r="142" spans="1:189" s="1158" customFormat="1">
      <c r="A142" s="484" t="e">
        <f>+#REF!</f>
        <v>#REF!</v>
      </c>
      <c r="B142" s="1616" t="e">
        <f>+#REF!</f>
        <v>#REF!</v>
      </c>
      <c r="C142" s="1553" t="e">
        <f>#REF!</f>
        <v>#REF!</v>
      </c>
      <c r="D142" s="1668">
        <f>+J142</f>
        <v>158</v>
      </c>
      <c r="E142" s="650" t="e">
        <f>+#REF!</f>
        <v>#REF!</v>
      </c>
      <c r="F142" s="650" t="e">
        <f>+D142*E142</f>
        <v>#REF!</v>
      </c>
      <c r="H142" s="1155">
        <v>150</v>
      </c>
      <c r="I142" s="1176">
        <v>1.05</v>
      </c>
      <c r="J142" s="1155">
        <f>ROUND(H142*I142,0)</f>
        <v>158</v>
      </c>
      <c r="K142" s="1157"/>
      <c r="L142" s="1157"/>
      <c r="M142" s="1157"/>
      <c r="N142" s="1157"/>
      <c r="O142" s="1157"/>
      <c r="P142" s="1157"/>
      <c r="Q142" s="1157"/>
      <c r="R142" s="1157"/>
      <c r="S142" s="1157"/>
      <c r="T142" s="1157"/>
      <c r="U142" s="1157"/>
      <c r="V142" s="1157"/>
      <c r="W142" s="1157"/>
      <c r="X142" s="1157"/>
      <c r="Y142" s="1157"/>
      <c r="Z142" s="1157"/>
      <c r="AA142" s="1157"/>
      <c r="AB142" s="1157"/>
      <c r="AC142" s="1157"/>
      <c r="AD142" s="1157"/>
      <c r="AE142" s="1157"/>
      <c r="AF142" s="1157"/>
      <c r="AG142" s="1157"/>
      <c r="AH142" s="1157"/>
      <c r="AI142" s="1157"/>
      <c r="AJ142" s="1157"/>
      <c r="AK142" s="1157"/>
      <c r="AL142" s="1157"/>
      <c r="AM142" s="1157"/>
      <c r="AN142" s="1157"/>
      <c r="AO142" s="1157"/>
      <c r="AP142" s="1157"/>
      <c r="AQ142" s="1157"/>
      <c r="AR142" s="1157"/>
      <c r="AS142" s="1157"/>
      <c r="AT142" s="1157"/>
      <c r="AU142" s="1157"/>
      <c r="AV142" s="1157"/>
      <c r="AW142" s="1157"/>
      <c r="AX142" s="1157"/>
      <c r="AY142" s="1157"/>
      <c r="AZ142" s="1157"/>
      <c r="BA142" s="1157"/>
      <c r="BB142" s="1157"/>
      <c r="BC142" s="1157"/>
      <c r="BD142" s="1157"/>
      <c r="BE142" s="1157"/>
      <c r="BF142" s="1157"/>
      <c r="BG142" s="1157"/>
      <c r="BH142" s="1157"/>
      <c r="BI142" s="1157"/>
      <c r="BJ142" s="1157"/>
      <c r="BK142" s="1157"/>
      <c r="BL142" s="1157"/>
      <c r="BM142" s="1157"/>
      <c r="BN142" s="1157"/>
      <c r="BO142" s="1157"/>
      <c r="BP142" s="1157"/>
      <c r="BQ142" s="1157"/>
      <c r="BR142" s="1157"/>
      <c r="BS142" s="1157"/>
      <c r="BT142" s="1157"/>
      <c r="BU142" s="1157"/>
      <c r="BV142" s="1157"/>
      <c r="BW142" s="1157"/>
      <c r="BX142" s="1157"/>
      <c r="BY142" s="1157"/>
      <c r="BZ142" s="1157"/>
      <c r="CA142" s="1157"/>
      <c r="CB142" s="1157"/>
      <c r="CC142" s="1157"/>
      <c r="CD142" s="1157"/>
      <c r="CE142" s="1157"/>
      <c r="CF142" s="1157"/>
      <c r="CG142" s="1157"/>
      <c r="CH142" s="1157"/>
      <c r="CI142" s="1157"/>
      <c r="CJ142" s="1157"/>
      <c r="CK142" s="1157"/>
      <c r="CL142" s="1157"/>
      <c r="CM142" s="1157"/>
      <c r="CN142" s="1157"/>
      <c r="CO142" s="1157"/>
      <c r="CP142" s="1157"/>
      <c r="CQ142" s="1157"/>
      <c r="CR142" s="1157"/>
      <c r="CS142" s="1157"/>
      <c r="CT142" s="1157"/>
      <c r="CU142" s="1157"/>
      <c r="CV142" s="1157"/>
      <c r="CW142" s="1157"/>
      <c r="CX142" s="1157"/>
      <c r="CY142" s="1157"/>
      <c r="CZ142" s="1157"/>
      <c r="DA142" s="1157"/>
      <c r="DB142" s="1157"/>
      <c r="DC142" s="1157"/>
      <c r="DD142" s="1157"/>
      <c r="DE142" s="1157"/>
      <c r="DF142" s="1157"/>
      <c r="DG142" s="1157"/>
      <c r="DH142" s="1157"/>
      <c r="DI142" s="1157"/>
      <c r="DJ142" s="1157"/>
      <c r="DK142" s="1157"/>
      <c r="DL142" s="1157"/>
      <c r="DM142" s="1157"/>
      <c r="DN142" s="1157"/>
      <c r="DO142" s="1157"/>
      <c r="DP142" s="1157"/>
      <c r="DQ142" s="1157"/>
      <c r="DR142" s="1157"/>
      <c r="DS142" s="1157"/>
      <c r="DT142" s="1157"/>
      <c r="DU142" s="1157"/>
      <c r="DV142" s="1157"/>
      <c r="DW142" s="1157"/>
      <c r="DX142" s="1157"/>
      <c r="DY142" s="1157"/>
      <c r="DZ142" s="1157"/>
      <c r="EA142" s="1157"/>
      <c r="EB142" s="1157"/>
      <c r="EC142" s="1157"/>
      <c r="ED142" s="1157"/>
      <c r="EE142" s="1157"/>
      <c r="EF142" s="1157"/>
      <c r="EG142" s="1157"/>
      <c r="EH142" s="1157"/>
      <c r="EI142" s="1157"/>
      <c r="EJ142" s="1157"/>
      <c r="EK142" s="1157"/>
      <c r="EL142" s="1157"/>
      <c r="EM142" s="1157"/>
      <c r="EN142" s="1157"/>
      <c r="EO142" s="1157"/>
      <c r="EP142" s="1157"/>
      <c r="EQ142" s="1157"/>
      <c r="ER142" s="1157"/>
      <c r="ES142" s="1157"/>
      <c r="ET142" s="1157"/>
      <c r="EU142" s="1157"/>
      <c r="EV142" s="1157"/>
      <c r="EW142" s="1157"/>
      <c r="EX142" s="1157"/>
      <c r="EY142" s="1157"/>
      <c r="EZ142" s="1157"/>
      <c r="FA142" s="1157"/>
      <c r="FB142" s="1157"/>
      <c r="FC142" s="1157"/>
      <c r="FD142" s="1157"/>
      <c r="FE142" s="1157"/>
      <c r="FF142" s="1157"/>
      <c r="FG142" s="1157"/>
      <c r="FH142" s="1157"/>
      <c r="FI142" s="1157"/>
      <c r="FJ142" s="1157"/>
      <c r="FK142" s="1157"/>
      <c r="FL142" s="1157"/>
      <c r="FM142" s="1157"/>
      <c r="FN142" s="1157"/>
      <c r="FO142" s="1157"/>
      <c r="FP142" s="1157"/>
      <c r="FQ142" s="1157"/>
      <c r="FR142" s="1157"/>
      <c r="FS142" s="1157"/>
      <c r="FT142" s="1157"/>
      <c r="FU142" s="1157"/>
      <c r="FV142" s="1157"/>
      <c r="FW142" s="1157"/>
      <c r="FX142" s="1157"/>
      <c r="FY142" s="1157"/>
      <c r="FZ142" s="1157"/>
      <c r="GA142" s="1157"/>
      <c r="GB142" s="1157"/>
      <c r="GC142" s="1157"/>
      <c r="GD142" s="1157"/>
      <c r="GE142" s="1157"/>
      <c r="GF142" s="1157"/>
      <c r="GG142" s="1157"/>
    </row>
    <row r="143" spans="1:189" s="1158" customFormat="1">
      <c r="A143" s="1615" t="e">
        <f>+#REF!</f>
        <v>#REF!</v>
      </c>
      <c r="B143" s="467" t="e">
        <f>+#REF!</f>
        <v>#REF!</v>
      </c>
      <c r="C143" s="1554" t="e">
        <f>#REF!</f>
        <v>#REF!</v>
      </c>
      <c r="D143" s="1669">
        <f>+J143</f>
        <v>289</v>
      </c>
      <c r="E143" s="547" t="e">
        <f>+#REF!</f>
        <v>#REF!</v>
      </c>
      <c r="F143" s="547" t="e">
        <f>+D143*E143</f>
        <v>#REF!</v>
      </c>
      <c r="H143" s="1155">
        <v>275</v>
      </c>
      <c r="I143" s="1176">
        <v>1.05</v>
      </c>
      <c r="J143" s="1155">
        <f>ROUND(H143*I143,0)</f>
        <v>289</v>
      </c>
      <c r="K143" s="1157"/>
      <c r="L143" s="1157"/>
      <c r="M143" s="1157"/>
      <c r="N143" s="1157"/>
      <c r="O143" s="1157"/>
      <c r="P143" s="1157"/>
      <c r="Q143" s="1157"/>
      <c r="R143" s="1157"/>
      <c r="S143" s="1157"/>
      <c r="T143" s="1157"/>
      <c r="U143" s="1157"/>
      <c r="V143" s="1157"/>
      <c r="W143" s="1157"/>
      <c r="X143" s="1157"/>
      <c r="Y143" s="1157"/>
      <c r="Z143" s="1157"/>
      <c r="AA143" s="1157"/>
      <c r="AB143" s="1157"/>
      <c r="AC143" s="1157"/>
      <c r="AD143" s="1157"/>
      <c r="AE143" s="1157"/>
      <c r="AF143" s="1157"/>
      <c r="AG143" s="1157"/>
      <c r="AH143" s="1157"/>
      <c r="AI143" s="1157"/>
      <c r="AJ143" s="1157"/>
      <c r="AK143" s="1157"/>
      <c r="AL143" s="1157"/>
      <c r="AM143" s="1157"/>
      <c r="AN143" s="1157"/>
      <c r="AO143" s="1157"/>
      <c r="AP143" s="1157"/>
      <c r="AQ143" s="1157"/>
      <c r="AR143" s="1157"/>
      <c r="AS143" s="1157"/>
      <c r="AT143" s="1157"/>
      <c r="AU143" s="1157"/>
      <c r="AV143" s="1157"/>
      <c r="AW143" s="1157"/>
      <c r="AX143" s="1157"/>
      <c r="AY143" s="1157"/>
      <c r="AZ143" s="1157"/>
      <c r="BA143" s="1157"/>
      <c r="BB143" s="1157"/>
      <c r="BC143" s="1157"/>
      <c r="BD143" s="1157"/>
      <c r="BE143" s="1157"/>
      <c r="BF143" s="1157"/>
      <c r="BG143" s="1157"/>
      <c r="BH143" s="1157"/>
      <c r="BI143" s="1157"/>
      <c r="BJ143" s="1157"/>
      <c r="BK143" s="1157"/>
      <c r="BL143" s="1157"/>
      <c r="BM143" s="1157"/>
      <c r="BN143" s="1157"/>
      <c r="BO143" s="1157"/>
      <c r="BP143" s="1157"/>
      <c r="BQ143" s="1157"/>
      <c r="BR143" s="1157"/>
      <c r="BS143" s="1157"/>
      <c r="BT143" s="1157"/>
      <c r="BU143" s="1157"/>
      <c r="BV143" s="1157"/>
      <c r="BW143" s="1157"/>
      <c r="BX143" s="1157"/>
      <c r="BY143" s="1157"/>
      <c r="BZ143" s="1157"/>
      <c r="CA143" s="1157"/>
      <c r="CB143" s="1157"/>
      <c r="CC143" s="1157"/>
      <c r="CD143" s="1157"/>
      <c r="CE143" s="1157"/>
      <c r="CF143" s="1157"/>
      <c r="CG143" s="1157"/>
      <c r="CH143" s="1157"/>
      <c r="CI143" s="1157"/>
      <c r="CJ143" s="1157"/>
      <c r="CK143" s="1157"/>
      <c r="CL143" s="1157"/>
      <c r="CM143" s="1157"/>
      <c r="CN143" s="1157"/>
      <c r="CO143" s="1157"/>
      <c r="CP143" s="1157"/>
      <c r="CQ143" s="1157"/>
      <c r="CR143" s="1157"/>
      <c r="CS143" s="1157"/>
      <c r="CT143" s="1157"/>
      <c r="CU143" s="1157"/>
      <c r="CV143" s="1157"/>
      <c r="CW143" s="1157"/>
      <c r="CX143" s="1157"/>
      <c r="CY143" s="1157"/>
      <c r="CZ143" s="1157"/>
      <c r="DA143" s="1157"/>
      <c r="DB143" s="1157"/>
      <c r="DC143" s="1157"/>
      <c r="DD143" s="1157"/>
      <c r="DE143" s="1157"/>
      <c r="DF143" s="1157"/>
      <c r="DG143" s="1157"/>
      <c r="DH143" s="1157"/>
      <c r="DI143" s="1157"/>
      <c r="DJ143" s="1157"/>
      <c r="DK143" s="1157"/>
      <c r="DL143" s="1157"/>
      <c r="DM143" s="1157"/>
      <c r="DN143" s="1157"/>
      <c r="DO143" s="1157"/>
      <c r="DP143" s="1157"/>
      <c r="DQ143" s="1157"/>
      <c r="DR143" s="1157"/>
      <c r="DS143" s="1157"/>
      <c r="DT143" s="1157"/>
      <c r="DU143" s="1157"/>
      <c r="DV143" s="1157"/>
      <c r="DW143" s="1157"/>
      <c r="DX143" s="1157"/>
      <c r="DY143" s="1157"/>
      <c r="DZ143" s="1157"/>
      <c r="EA143" s="1157"/>
      <c r="EB143" s="1157"/>
      <c r="EC143" s="1157"/>
      <c r="ED143" s="1157"/>
      <c r="EE143" s="1157"/>
      <c r="EF143" s="1157"/>
      <c r="EG143" s="1157"/>
      <c r="EH143" s="1157"/>
      <c r="EI143" s="1157"/>
      <c r="EJ143" s="1157"/>
      <c r="EK143" s="1157"/>
      <c r="EL143" s="1157"/>
      <c r="EM143" s="1157"/>
      <c r="EN143" s="1157"/>
      <c r="EO143" s="1157"/>
      <c r="EP143" s="1157"/>
      <c r="EQ143" s="1157"/>
      <c r="ER143" s="1157"/>
      <c r="ES143" s="1157"/>
      <c r="ET143" s="1157"/>
      <c r="EU143" s="1157"/>
      <c r="EV143" s="1157"/>
      <c r="EW143" s="1157"/>
      <c r="EX143" s="1157"/>
      <c r="EY143" s="1157"/>
      <c r="EZ143" s="1157"/>
      <c r="FA143" s="1157"/>
      <c r="FB143" s="1157"/>
      <c r="FC143" s="1157"/>
      <c r="FD143" s="1157"/>
      <c r="FE143" s="1157"/>
      <c r="FF143" s="1157"/>
      <c r="FG143" s="1157"/>
      <c r="FH143" s="1157"/>
      <c r="FI143" s="1157"/>
      <c r="FJ143" s="1157"/>
      <c r="FK143" s="1157"/>
      <c r="FL143" s="1157"/>
      <c r="FM143" s="1157"/>
      <c r="FN143" s="1157"/>
      <c r="FO143" s="1157"/>
      <c r="FP143" s="1157"/>
      <c r="FQ143" s="1157"/>
      <c r="FR143" s="1157"/>
      <c r="FS143" s="1157"/>
      <c r="FT143" s="1157"/>
      <c r="FU143" s="1157"/>
      <c r="FV143" s="1157"/>
      <c r="FW143" s="1157"/>
      <c r="FX143" s="1157"/>
      <c r="FY143" s="1157"/>
      <c r="FZ143" s="1157"/>
      <c r="GA143" s="1157"/>
      <c r="GB143" s="1157"/>
      <c r="GC143" s="1157"/>
      <c r="GD143" s="1157"/>
      <c r="GE143" s="1157"/>
      <c r="GF143" s="1157"/>
      <c r="GG143" s="1157"/>
    </row>
    <row r="144" spans="1:189" s="1178" customFormat="1">
      <c r="A144" s="1281" t="e">
        <f>+#REF!</f>
        <v>#REF!</v>
      </c>
      <c r="B144" s="1620" t="e">
        <f>+#REF!</f>
        <v>#REF!</v>
      </c>
      <c r="C144" s="1671"/>
      <c r="D144" s="1668"/>
      <c r="E144" s="650"/>
      <c r="F144" s="650"/>
      <c r="G144" s="1158"/>
      <c r="H144" s="1155"/>
      <c r="I144" s="1156"/>
      <c r="J144" s="1155"/>
      <c r="K144" s="1177"/>
      <c r="L144" s="1177"/>
      <c r="M144" s="1177"/>
      <c r="N144" s="1177"/>
      <c r="O144" s="1177"/>
      <c r="P144" s="1177"/>
      <c r="Q144" s="1177"/>
      <c r="R144" s="1177"/>
      <c r="S144" s="1177"/>
      <c r="T144" s="1177"/>
      <c r="U144" s="1177"/>
      <c r="V144" s="1177"/>
      <c r="W144" s="1177"/>
      <c r="X144" s="1177"/>
      <c r="Y144" s="1177"/>
      <c r="Z144" s="1177"/>
      <c r="AA144" s="1177"/>
      <c r="AB144" s="1177"/>
      <c r="AC144" s="1177"/>
      <c r="AD144" s="1177"/>
      <c r="AE144" s="1177"/>
      <c r="AF144" s="1177"/>
      <c r="AG144" s="1177"/>
      <c r="AH144" s="1177"/>
      <c r="AI144" s="1177"/>
      <c r="AJ144" s="1177"/>
      <c r="AK144" s="1177"/>
      <c r="AL144" s="1177"/>
      <c r="AM144" s="1177"/>
      <c r="AN144" s="1177"/>
      <c r="AO144" s="1177"/>
      <c r="AP144" s="1177"/>
      <c r="AQ144" s="1177"/>
      <c r="AR144" s="1177"/>
      <c r="AS144" s="1177"/>
      <c r="AT144" s="1177"/>
      <c r="AU144" s="1177"/>
      <c r="AV144" s="1177"/>
      <c r="AW144" s="1177"/>
      <c r="AX144" s="1177"/>
      <c r="AY144" s="1177"/>
      <c r="AZ144" s="1177"/>
      <c r="BA144" s="1177"/>
      <c r="BB144" s="1177"/>
      <c r="BC144" s="1177"/>
      <c r="BD144" s="1177"/>
      <c r="BE144" s="1177"/>
      <c r="BF144" s="1177"/>
      <c r="BG144" s="1177"/>
      <c r="BH144" s="1177"/>
      <c r="BI144" s="1177"/>
      <c r="BJ144" s="1177"/>
      <c r="BK144" s="1177"/>
      <c r="BL144" s="1177"/>
      <c r="BM144" s="1177"/>
      <c r="BN144" s="1177"/>
      <c r="BO144" s="1177"/>
      <c r="BP144" s="1177"/>
      <c r="BQ144" s="1177"/>
      <c r="BR144" s="1177"/>
      <c r="BS144" s="1177"/>
      <c r="BT144" s="1177"/>
      <c r="BU144" s="1177"/>
      <c r="BV144" s="1177"/>
      <c r="BW144" s="1177"/>
      <c r="BX144" s="1177"/>
      <c r="BY144" s="1177"/>
      <c r="BZ144" s="1177"/>
      <c r="CA144" s="1177"/>
      <c r="CB144" s="1177"/>
      <c r="CC144" s="1177"/>
      <c r="CD144" s="1177"/>
      <c r="CE144" s="1177"/>
      <c r="CF144" s="1177"/>
      <c r="CG144" s="1177"/>
      <c r="CH144" s="1177"/>
      <c r="CI144" s="1177"/>
      <c r="CJ144" s="1177"/>
      <c r="CK144" s="1177"/>
      <c r="CL144" s="1177"/>
      <c r="CM144" s="1177"/>
      <c r="CN144" s="1177"/>
      <c r="CO144" s="1177"/>
      <c r="CP144" s="1177"/>
      <c r="CQ144" s="1177"/>
      <c r="CR144" s="1177"/>
      <c r="CS144" s="1177"/>
      <c r="CT144" s="1177"/>
      <c r="CU144" s="1177"/>
      <c r="CV144" s="1177"/>
      <c r="CW144" s="1177"/>
      <c r="CX144" s="1177"/>
      <c r="CY144" s="1177"/>
      <c r="CZ144" s="1177"/>
      <c r="DA144" s="1177"/>
      <c r="DB144" s="1177"/>
      <c r="DC144" s="1177"/>
      <c r="DD144" s="1177"/>
      <c r="DE144" s="1177"/>
      <c r="DF144" s="1177"/>
      <c r="DG144" s="1177"/>
      <c r="DH144" s="1177"/>
      <c r="DI144" s="1177"/>
      <c r="DJ144" s="1177"/>
      <c r="DK144" s="1177"/>
      <c r="DL144" s="1177"/>
      <c r="DM144" s="1177"/>
      <c r="DN144" s="1177"/>
      <c r="DO144" s="1177"/>
      <c r="DP144" s="1177"/>
      <c r="DQ144" s="1177"/>
      <c r="DR144" s="1177"/>
      <c r="DS144" s="1177"/>
      <c r="DT144" s="1177"/>
      <c r="DU144" s="1177"/>
      <c r="DV144" s="1177"/>
      <c r="DW144" s="1177"/>
      <c r="DX144" s="1177"/>
      <c r="DY144" s="1177"/>
      <c r="DZ144" s="1177"/>
      <c r="EA144" s="1177"/>
      <c r="EB144" s="1177"/>
      <c r="EC144" s="1177"/>
      <c r="ED144" s="1177"/>
      <c r="EE144" s="1177"/>
      <c r="EF144" s="1177"/>
      <c r="EG144" s="1177"/>
      <c r="EH144" s="1177"/>
      <c r="EI144" s="1177"/>
      <c r="EJ144" s="1177"/>
      <c r="EK144" s="1177"/>
      <c r="EL144" s="1177"/>
      <c r="EM144" s="1177"/>
      <c r="EN144" s="1177"/>
      <c r="EO144" s="1177"/>
      <c r="EP144" s="1177"/>
      <c r="EQ144" s="1177"/>
      <c r="ER144" s="1177"/>
      <c r="ES144" s="1177"/>
      <c r="ET144" s="1177"/>
      <c r="EU144" s="1177"/>
      <c r="EV144" s="1177"/>
      <c r="EW144" s="1177"/>
      <c r="EX144" s="1177"/>
      <c r="EY144" s="1177"/>
      <c r="EZ144" s="1177"/>
      <c r="FA144" s="1177"/>
      <c r="FB144" s="1177"/>
      <c r="FC144" s="1177"/>
      <c r="FD144" s="1177"/>
      <c r="FE144" s="1177"/>
      <c r="FF144" s="1177"/>
      <c r="FG144" s="1177"/>
      <c r="FH144" s="1177"/>
      <c r="FI144" s="1177"/>
      <c r="FJ144" s="1177"/>
      <c r="FK144" s="1177"/>
      <c r="FL144" s="1177"/>
      <c r="FM144" s="1177"/>
      <c r="FN144" s="1177"/>
      <c r="FO144" s="1177"/>
      <c r="FP144" s="1177"/>
      <c r="FQ144" s="1177"/>
      <c r="FR144" s="1177"/>
      <c r="FS144" s="1177"/>
      <c r="FT144" s="1177"/>
      <c r="FU144" s="1177"/>
      <c r="FV144" s="1177"/>
      <c r="FW144" s="1177"/>
      <c r="FX144" s="1177"/>
      <c r="FY144" s="1177"/>
      <c r="FZ144" s="1177"/>
      <c r="GA144" s="1177"/>
      <c r="GB144" s="1177"/>
      <c r="GC144" s="1177"/>
      <c r="GD144" s="1177"/>
      <c r="GE144" s="1177"/>
      <c r="GF144" s="1177"/>
      <c r="GG144" s="1177"/>
    </row>
    <row r="145" spans="1:189" s="1158" customFormat="1">
      <c r="A145" s="1622" t="e">
        <f>+#REF!</f>
        <v>#REF!</v>
      </c>
      <c r="B145" s="1623" t="e">
        <f>+#REF!</f>
        <v>#REF!</v>
      </c>
      <c r="C145" s="1672" t="e">
        <f>#REF!</f>
        <v>#REF!</v>
      </c>
      <c r="D145" s="1669">
        <f>J145</f>
        <v>0</v>
      </c>
      <c r="E145" s="547" t="e">
        <f>#REF!</f>
        <v>#REF!</v>
      </c>
      <c r="F145" s="547" t="e">
        <f>+D145*E145</f>
        <v>#REF!</v>
      </c>
      <c r="H145" s="1155">
        <f>F12</f>
        <v>0</v>
      </c>
      <c r="I145" s="1156">
        <v>0</v>
      </c>
      <c r="J145" s="1155">
        <f>H145*I145</f>
        <v>0</v>
      </c>
      <c r="K145" s="1157"/>
      <c r="L145" s="1157"/>
      <c r="M145" s="1157"/>
      <c r="N145" s="1157"/>
      <c r="O145" s="1157"/>
      <c r="P145" s="1157"/>
      <c r="Q145" s="1157"/>
      <c r="R145" s="1157"/>
      <c r="S145" s="1157"/>
      <c r="T145" s="1157"/>
      <c r="U145" s="1157"/>
      <c r="V145" s="1157"/>
      <c r="W145" s="1157"/>
      <c r="X145" s="1157"/>
      <c r="Y145" s="1157"/>
      <c r="Z145" s="1157"/>
      <c r="AA145" s="1157"/>
      <c r="AB145" s="1157"/>
      <c r="AC145" s="1157"/>
      <c r="AD145" s="1157"/>
      <c r="AE145" s="1157"/>
      <c r="AF145" s="1157"/>
      <c r="AG145" s="1157"/>
      <c r="AH145" s="1157"/>
      <c r="AI145" s="1157"/>
      <c r="AJ145" s="1157"/>
      <c r="AK145" s="1157"/>
      <c r="AL145" s="1157"/>
      <c r="AM145" s="1157"/>
      <c r="AN145" s="1157"/>
      <c r="AO145" s="1157"/>
      <c r="AP145" s="1157"/>
      <c r="AQ145" s="1157"/>
      <c r="AR145" s="1157"/>
      <c r="AS145" s="1157"/>
      <c r="AT145" s="1157"/>
      <c r="AU145" s="1157"/>
      <c r="AV145" s="1157"/>
      <c r="AW145" s="1157"/>
      <c r="AX145" s="1157"/>
      <c r="AY145" s="1157"/>
      <c r="AZ145" s="1157"/>
      <c r="BA145" s="1157"/>
      <c r="BB145" s="1157"/>
      <c r="BC145" s="1157"/>
      <c r="BD145" s="1157"/>
      <c r="BE145" s="1157"/>
      <c r="BF145" s="1157"/>
      <c r="BG145" s="1157"/>
      <c r="BH145" s="1157"/>
      <c r="BI145" s="1157"/>
      <c r="BJ145" s="1157"/>
      <c r="BK145" s="1157"/>
      <c r="BL145" s="1157"/>
      <c r="BM145" s="1157"/>
      <c r="BN145" s="1157"/>
      <c r="BO145" s="1157"/>
      <c r="BP145" s="1157"/>
      <c r="BQ145" s="1157"/>
      <c r="BR145" s="1157"/>
      <c r="BS145" s="1157"/>
      <c r="BT145" s="1157"/>
      <c r="BU145" s="1157"/>
      <c r="BV145" s="1157"/>
      <c r="BW145" s="1157"/>
      <c r="BX145" s="1157"/>
      <c r="BY145" s="1157"/>
      <c r="BZ145" s="1157"/>
      <c r="CA145" s="1157"/>
      <c r="CB145" s="1157"/>
      <c r="CC145" s="1157"/>
      <c r="CD145" s="1157"/>
      <c r="CE145" s="1157"/>
      <c r="CF145" s="1157"/>
      <c r="CG145" s="1157"/>
      <c r="CH145" s="1157"/>
      <c r="CI145" s="1157"/>
      <c r="CJ145" s="1157"/>
      <c r="CK145" s="1157"/>
      <c r="CL145" s="1157"/>
      <c r="CM145" s="1157"/>
      <c r="CN145" s="1157"/>
      <c r="CO145" s="1157"/>
      <c r="CP145" s="1157"/>
      <c r="CQ145" s="1157"/>
      <c r="CR145" s="1157"/>
      <c r="CS145" s="1157"/>
      <c r="CT145" s="1157"/>
      <c r="CU145" s="1157"/>
      <c r="CV145" s="1157"/>
      <c r="CW145" s="1157"/>
      <c r="CX145" s="1157"/>
      <c r="CY145" s="1157"/>
      <c r="CZ145" s="1157"/>
      <c r="DA145" s="1157"/>
      <c r="DB145" s="1157"/>
      <c r="DC145" s="1157"/>
      <c r="DD145" s="1157"/>
      <c r="DE145" s="1157"/>
      <c r="DF145" s="1157"/>
      <c r="DG145" s="1157"/>
      <c r="DH145" s="1157"/>
      <c r="DI145" s="1157"/>
      <c r="DJ145" s="1157"/>
      <c r="DK145" s="1157"/>
      <c r="DL145" s="1157"/>
      <c r="DM145" s="1157"/>
      <c r="DN145" s="1157"/>
      <c r="DO145" s="1157"/>
      <c r="DP145" s="1157"/>
      <c r="DQ145" s="1157"/>
      <c r="DR145" s="1157"/>
      <c r="DS145" s="1157"/>
      <c r="DT145" s="1157"/>
      <c r="DU145" s="1157"/>
      <c r="DV145" s="1157"/>
      <c r="DW145" s="1157"/>
      <c r="DX145" s="1157"/>
      <c r="DY145" s="1157"/>
      <c r="DZ145" s="1157"/>
      <c r="EA145" s="1157"/>
      <c r="EB145" s="1157"/>
      <c r="EC145" s="1157"/>
      <c r="ED145" s="1157"/>
      <c r="EE145" s="1157"/>
      <c r="EF145" s="1157"/>
      <c r="EG145" s="1157"/>
      <c r="EH145" s="1157"/>
      <c r="EI145" s="1157"/>
      <c r="EJ145" s="1157"/>
      <c r="EK145" s="1157"/>
      <c r="EL145" s="1157"/>
      <c r="EM145" s="1157"/>
      <c r="EN145" s="1157"/>
      <c r="EO145" s="1157"/>
      <c r="EP145" s="1157"/>
      <c r="EQ145" s="1157"/>
      <c r="ER145" s="1157"/>
      <c r="ES145" s="1157"/>
      <c r="ET145" s="1157"/>
      <c r="EU145" s="1157"/>
      <c r="EV145" s="1157"/>
      <c r="EW145" s="1157"/>
      <c r="EX145" s="1157"/>
      <c r="EY145" s="1157"/>
      <c r="EZ145" s="1157"/>
      <c r="FA145" s="1157"/>
      <c r="FB145" s="1157"/>
      <c r="FC145" s="1157"/>
      <c r="FD145" s="1157"/>
      <c r="FE145" s="1157"/>
      <c r="FF145" s="1157"/>
      <c r="FG145" s="1157"/>
      <c r="FH145" s="1157"/>
      <c r="FI145" s="1157"/>
      <c r="FJ145" s="1157"/>
      <c r="FK145" s="1157"/>
      <c r="FL145" s="1157"/>
      <c r="FM145" s="1157"/>
      <c r="FN145" s="1157"/>
      <c r="FO145" s="1157"/>
      <c r="FP145" s="1157"/>
      <c r="FQ145" s="1157"/>
      <c r="FR145" s="1157"/>
      <c r="FS145" s="1157"/>
      <c r="FT145" s="1157"/>
      <c r="FU145" s="1157"/>
      <c r="FV145" s="1157"/>
      <c r="FW145" s="1157"/>
      <c r="FX145" s="1157"/>
      <c r="FY145" s="1157"/>
      <c r="FZ145" s="1157"/>
      <c r="GA145" s="1157"/>
      <c r="GB145" s="1157"/>
      <c r="GC145" s="1157"/>
      <c r="GD145" s="1157"/>
      <c r="GE145" s="1157"/>
      <c r="GF145" s="1157"/>
      <c r="GG145" s="1157"/>
    </row>
    <row r="146" spans="1:189" s="1178" customFormat="1">
      <c r="A146" s="1449" t="e">
        <f>+#REF!</f>
        <v>#REF!</v>
      </c>
      <c r="B146" s="1614" t="e">
        <f>+#REF!</f>
        <v>#REF!</v>
      </c>
      <c r="C146" s="1670"/>
      <c r="D146" s="1667"/>
      <c r="E146" s="544"/>
      <c r="F146" s="544"/>
      <c r="G146" s="1158"/>
      <c r="H146" s="1155"/>
      <c r="I146" s="1156"/>
      <c r="J146" s="1155"/>
      <c r="K146" s="1177"/>
      <c r="L146" s="1177"/>
      <c r="M146" s="1177"/>
      <c r="N146" s="1177"/>
      <c r="O146" s="1177"/>
      <c r="P146" s="1177"/>
      <c r="Q146" s="1177"/>
      <c r="R146" s="1177"/>
      <c r="S146" s="1177"/>
      <c r="T146" s="1177"/>
      <c r="U146" s="1177"/>
      <c r="V146" s="1177"/>
      <c r="W146" s="1177"/>
      <c r="X146" s="1177"/>
      <c r="Y146" s="1177"/>
      <c r="Z146" s="1177"/>
      <c r="AA146" s="1177"/>
      <c r="AB146" s="1177"/>
      <c r="AC146" s="1177"/>
      <c r="AD146" s="1177"/>
      <c r="AE146" s="1177"/>
      <c r="AF146" s="1177"/>
      <c r="AG146" s="1177"/>
      <c r="AH146" s="1177"/>
      <c r="AI146" s="1177"/>
      <c r="AJ146" s="1177"/>
      <c r="AK146" s="1177"/>
      <c r="AL146" s="1177"/>
      <c r="AM146" s="1177"/>
      <c r="AN146" s="1177"/>
      <c r="AO146" s="1177"/>
      <c r="AP146" s="1177"/>
      <c r="AQ146" s="1177"/>
      <c r="AR146" s="1177"/>
      <c r="AS146" s="1177"/>
      <c r="AT146" s="1177"/>
      <c r="AU146" s="1177"/>
      <c r="AV146" s="1177"/>
      <c r="AW146" s="1177"/>
      <c r="AX146" s="1177"/>
      <c r="AY146" s="1177"/>
      <c r="AZ146" s="1177"/>
      <c r="BA146" s="1177"/>
      <c r="BB146" s="1177"/>
      <c r="BC146" s="1177"/>
      <c r="BD146" s="1177"/>
      <c r="BE146" s="1177"/>
      <c r="BF146" s="1177"/>
      <c r="BG146" s="1177"/>
      <c r="BH146" s="1177"/>
      <c r="BI146" s="1177"/>
      <c r="BJ146" s="1177"/>
      <c r="BK146" s="1177"/>
      <c r="BL146" s="1177"/>
      <c r="BM146" s="1177"/>
      <c r="BN146" s="1177"/>
      <c r="BO146" s="1177"/>
      <c r="BP146" s="1177"/>
      <c r="BQ146" s="1177"/>
      <c r="BR146" s="1177"/>
      <c r="BS146" s="1177"/>
      <c r="BT146" s="1177"/>
      <c r="BU146" s="1177"/>
      <c r="BV146" s="1177"/>
      <c r="BW146" s="1177"/>
      <c r="BX146" s="1177"/>
      <c r="BY146" s="1177"/>
      <c r="BZ146" s="1177"/>
      <c r="CA146" s="1177"/>
      <c r="CB146" s="1177"/>
      <c r="CC146" s="1177"/>
      <c r="CD146" s="1177"/>
      <c r="CE146" s="1177"/>
      <c r="CF146" s="1177"/>
      <c r="CG146" s="1177"/>
      <c r="CH146" s="1177"/>
      <c r="CI146" s="1177"/>
      <c r="CJ146" s="1177"/>
      <c r="CK146" s="1177"/>
      <c r="CL146" s="1177"/>
      <c r="CM146" s="1177"/>
      <c r="CN146" s="1177"/>
      <c r="CO146" s="1177"/>
      <c r="CP146" s="1177"/>
      <c r="CQ146" s="1177"/>
      <c r="CR146" s="1177"/>
      <c r="CS146" s="1177"/>
      <c r="CT146" s="1177"/>
      <c r="CU146" s="1177"/>
      <c r="CV146" s="1177"/>
      <c r="CW146" s="1177"/>
      <c r="CX146" s="1177"/>
      <c r="CY146" s="1177"/>
      <c r="CZ146" s="1177"/>
      <c r="DA146" s="1177"/>
      <c r="DB146" s="1177"/>
      <c r="DC146" s="1177"/>
      <c r="DD146" s="1177"/>
      <c r="DE146" s="1177"/>
      <c r="DF146" s="1177"/>
      <c r="DG146" s="1177"/>
      <c r="DH146" s="1177"/>
      <c r="DI146" s="1177"/>
      <c r="DJ146" s="1177"/>
      <c r="DK146" s="1177"/>
      <c r="DL146" s="1177"/>
      <c r="DM146" s="1177"/>
      <c r="DN146" s="1177"/>
      <c r="DO146" s="1177"/>
      <c r="DP146" s="1177"/>
      <c r="DQ146" s="1177"/>
      <c r="DR146" s="1177"/>
      <c r="DS146" s="1177"/>
      <c r="DT146" s="1177"/>
      <c r="DU146" s="1177"/>
      <c r="DV146" s="1177"/>
      <c r="DW146" s="1177"/>
      <c r="DX146" s="1177"/>
      <c r="DY146" s="1177"/>
      <c r="DZ146" s="1177"/>
      <c r="EA146" s="1177"/>
      <c r="EB146" s="1177"/>
      <c r="EC146" s="1177"/>
      <c r="ED146" s="1177"/>
      <c r="EE146" s="1177"/>
      <c r="EF146" s="1177"/>
      <c r="EG146" s="1177"/>
      <c r="EH146" s="1177"/>
      <c r="EI146" s="1177"/>
      <c r="EJ146" s="1177"/>
      <c r="EK146" s="1177"/>
      <c r="EL146" s="1177"/>
      <c r="EM146" s="1177"/>
      <c r="EN146" s="1177"/>
      <c r="EO146" s="1177"/>
      <c r="EP146" s="1177"/>
      <c r="EQ146" s="1177"/>
      <c r="ER146" s="1177"/>
      <c r="ES146" s="1177"/>
      <c r="ET146" s="1177"/>
      <c r="EU146" s="1177"/>
      <c r="EV146" s="1177"/>
      <c r="EW146" s="1177"/>
      <c r="EX146" s="1177"/>
      <c r="EY146" s="1177"/>
      <c r="EZ146" s="1177"/>
      <c r="FA146" s="1177"/>
      <c r="FB146" s="1177"/>
      <c r="FC146" s="1177"/>
      <c r="FD146" s="1177"/>
      <c r="FE146" s="1177"/>
      <c r="FF146" s="1177"/>
      <c r="FG146" s="1177"/>
      <c r="FH146" s="1177"/>
      <c r="FI146" s="1177"/>
      <c r="FJ146" s="1177"/>
      <c r="FK146" s="1177"/>
      <c r="FL146" s="1177"/>
      <c r="FM146" s="1177"/>
      <c r="FN146" s="1177"/>
      <c r="FO146" s="1177"/>
      <c r="FP146" s="1177"/>
      <c r="FQ146" s="1177"/>
      <c r="FR146" s="1177"/>
      <c r="FS146" s="1177"/>
      <c r="FT146" s="1177"/>
      <c r="FU146" s="1177"/>
      <c r="FV146" s="1177"/>
      <c r="FW146" s="1177"/>
      <c r="FX146" s="1177"/>
      <c r="FY146" s="1177"/>
      <c r="FZ146" s="1177"/>
      <c r="GA146" s="1177"/>
      <c r="GB146" s="1177"/>
      <c r="GC146" s="1177"/>
      <c r="GD146" s="1177"/>
      <c r="GE146" s="1177"/>
      <c r="GF146" s="1177"/>
      <c r="GG146" s="1177"/>
    </row>
    <row r="147" spans="1:189" s="1158" customFormat="1">
      <c r="A147" s="1615"/>
      <c r="B147" s="467"/>
      <c r="C147" s="1672" t="e">
        <f>#REF!</f>
        <v>#REF!</v>
      </c>
      <c r="D147" s="1669">
        <f>1*0</f>
        <v>0</v>
      </c>
      <c r="E147" s="547" t="e">
        <f>#REF!</f>
        <v>#REF!</v>
      </c>
      <c r="F147" s="547" t="e">
        <f>+D147*E147</f>
        <v>#REF!</v>
      </c>
      <c r="H147" s="1155">
        <v>0</v>
      </c>
      <c r="I147" s="1156">
        <v>1</v>
      </c>
      <c r="J147" s="1155">
        <f>H147*I147</f>
        <v>0</v>
      </c>
      <c r="K147" s="1157"/>
      <c r="L147" s="1157"/>
      <c r="M147" s="1157"/>
      <c r="N147" s="1157"/>
      <c r="O147" s="1157"/>
      <c r="P147" s="1157"/>
      <c r="Q147" s="1157"/>
      <c r="R147" s="1157"/>
      <c r="S147" s="1157"/>
      <c r="T147" s="1157"/>
      <c r="U147" s="1157"/>
      <c r="V147" s="1157"/>
      <c r="W147" s="1157"/>
      <c r="X147" s="1157"/>
      <c r="Y147" s="1157"/>
      <c r="Z147" s="1157"/>
      <c r="AA147" s="1157"/>
      <c r="AB147" s="1157"/>
      <c r="AC147" s="1157"/>
      <c r="AD147" s="1157"/>
      <c r="AE147" s="1157"/>
      <c r="AF147" s="1157"/>
      <c r="AG147" s="1157"/>
      <c r="AH147" s="1157"/>
      <c r="AI147" s="1157"/>
      <c r="AJ147" s="1157"/>
      <c r="AK147" s="1157"/>
      <c r="AL147" s="1157"/>
      <c r="AM147" s="1157"/>
      <c r="AN147" s="1157"/>
      <c r="AO147" s="1157"/>
      <c r="AP147" s="1157"/>
      <c r="AQ147" s="1157"/>
      <c r="AR147" s="1157"/>
      <c r="AS147" s="1157"/>
      <c r="AT147" s="1157"/>
      <c r="AU147" s="1157"/>
      <c r="AV147" s="1157"/>
      <c r="AW147" s="1157"/>
      <c r="AX147" s="1157"/>
      <c r="AY147" s="1157"/>
      <c r="AZ147" s="1157"/>
      <c r="BA147" s="1157"/>
      <c r="BB147" s="1157"/>
      <c r="BC147" s="1157"/>
      <c r="BD147" s="1157"/>
      <c r="BE147" s="1157"/>
      <c r="BF147" s="1157"/>
      <c r="BG147" s="1157"/>
      <c r="BH147" s="1157"/>
      <c r="BI147" s="1157"/>
      <c r="BJ147" s="1157"/>
      <c r="BK147" s="1157"/>
      <c r="BL147" s="1157"/>
      <c r="BM147" s="1157"/>
      <c r="BN147" s="1157"/>
      <c r="BO147" s="1157"/>
      <c r="BP147" s="1157"/>
      <c r="BQ147" s="1157"/>
      <c r="BR147" s="1157"/>
      <c r="BS147" s="1157"/>
      <c r="BT147" s="1157"/>
      <c r="BU147" s="1157"/>
      <c r="BV147" s="1157"/>
      <c r="BW147" s="1157"/>
      <c r="BX147" s="1157"/>
      <c r="BY147" s="1157"/>
      <c r="BZ147" s="1157"/>
      <c r="CA147" s="1157"/>
      <c r="CB147" s="1157"/>
      <c r="CC147" s="1157"/>
      <c r="CD147" s="1157"/>
      <c r="CE147" s="1157"/>
      <c r="CF147" s="1157"/>
      <c r="CG147" s="1157"/>
      <c r="CH147" s="1157"/>
      <c r="CI147" s="1157"/>
      <c r="CJ147" s="1157"/>
      <c r="CK147" s="1157"/>
      <c r="CL147" s="1157"/>
      <c r="CM147" s="1157"/>
      <c r="CN147" s="1157"/>
      <c r="CO147" s="1157"/>
      <c r="CP147" s="1157"/>
      <c r="CQ147" s="1157"/>
      <c r="CR147" s="1157"/>
      <c r="CS147" s="1157"/>
      <c r="CT147" s="1157"/>
      <c r="CU147" s="1157"/>
      <c r="CV147" s="1157"/>
      <c r="CW147" s="1157"/>
      <c r="CX147" s="1157"/>
      <c r="CY147" s="1157"/>
      <c r="CZ147" s="1157"/>
      <c r="DA147" s="1157"/>
      <c r="DB147" s="1157"/>
      <c r="DC147" s="1157"/>
      <c r="DD147" s="1157"/>
      <c r="DE147" s="1157"/>
      <c r="DF147" s="1157"/>
      <c r="DG147" s="1157"/>
      <c r="DH147" s="1157"/>
      <c r="DI147" s="1157"/>
      <c r="DJ147" s="1157"/>
      <c r="DK147" s="1157"/>
      <c r="DL147" s="1157"/>
      <c r="DM147" s="1157"/>
      <c r="DN147" s="1157"/>
      <c r="DO147" s="1157"/>
      <c r="DP147" s="1157"/>
      <c r="DQ147" s="1157"/>
      <c r="DR147" s="1157"/>
      <c r="DS147" s="1157"/>
      <c r="DT147" s="1157"/>
      <c r="DU147" s="1157"/>
      <c r="DV147" s="1157"/>
      <c r="DW147" s="1157"/>
      <c r="DX147" s="1157"/>
      <c r="DY147" s="1157"/>
      <c r="DZ147" s="1157"/>
      <c r="EA147" s="1157"/>
      <c r="EB147" s="1157"/>
      <c r="EC147" s="1157"/>
      <c r="ED147" s="1157"/>
      <c r="EE147" s="1157"/>
      <c r="EF147" s="1157"/>
      <c r="EG147" s="1157"/>
      <c r="EH147" s="1157"/>
      <c r="EI147" s="1157"/>
      <c r="EJ147" s="1157"/>
      <c r="EK147" s="1157"/>
      <c r="EL147" s="1157"/>
      <c r="EM147" s="1157"/>
      <c r="EN147" s="1157"/>
      <c r="EO147" s="1157"/>
      <c r="EP147" s="1157"/>
      <c r="EQ147" s="1157"/>
      <c r="ER147" s="1157"/>
      <c r="ES147" s="1157"/>
      <c r="ET147" s="1157"/>
      <c r="EU147" s="1157"/>
      <c r="EV147" s="1157"/>
      <c r="EW147" s="1157"/>
      <c r="EX147" s="1157"/>
      <c r="EY147" s="1157"/>
      <c r="EZ147" s="1157"/>
      <c r="FA147" s="1157"/>
      <c r="FB147" s="1157"/>
      <c r="FC147" s="1157"/>
      <c r="FD147" s="1157"/>
      <c r="FE147" s="1157"/>
      <c r="FF147" s="1157"/>
      <c r="FG147" s="1157"/>
      <c r="FH147" s="1157"/>
      <c r="FI147" s="1157"/>
      <c r="FJ147" s="1157"/>
      <c r="FK147" s="1157"/>
      <c r="FL147" s="1157"/>
      <c r="FM147" s="1157"/>
      <c r="FN147" s="1157"/>
      <c r="FO147" s="1157"/>
      <c r="FP147" s="1157"/>
      <c r="FQ147" s="1157"/>
      <c r="FR147" s="1157"/>
      <c r="FS147" s="1157"/>
      <c r="FT147" s="1157"/>
      <c r="FU147" s="1157"/>
      <c r="FV147" s="1157"/>
      <c r="FW147" s="1157"/>
      <c r="FX147" s="1157"/>
      <c r="FY147" s="1157"/>
      <c r="FZ147" s="1157"/>
      <c r="GA147" s="1157"/>
      <c r="GB147" s="1157"/>
      <c r="GC147" s="1157"/>
      <c r="GD147" s="1157"/>
      <c r="GE147" s="1157"/>
      <c r="GF147" s="1157"/>
      <c r="GG147" s="1157"/>
    </row>
    <row r="148" spans="1:189" s="1158" customFormat="1">
      <c r="A148" s="1281" t="e">
        <f>+#REF!</f>
        <v>#REF!</v>
      </c>
      <c r="B148" s="1620" t="e">
        <f>+#REF!</f>
        <v>#REF!</v>
      </c>
      <c r="C148" s="1670"/>
      <c r="D148" s="1667"/>
      <c r="E148" s="544"/>
      <c r="F148" s="544"/>
      <c r="H148" s="1155"/>
      <c r="I148" s="1156"/>
      <c r="J148" s="1155"/>
      <c r="K148" s="1181" t="e">
        <f>+#REF!/#REF!</f>
        <v>#REF!</v>
      </c>
      <c r="L148" s="1157">
        <v>3</v>
      </c>
      <c r="M148" s="1157"/>
      <c r="N148" s="1157"/>
      <c r="O148" s="1157"/>
      <c r="P148" s="1157"/>
      <c r="Q148" s="1157"/>
      <c r="R148" s="1157"/>
      <c r="S148" s="1157"/>
      <c r="T148" s="1157"/>
      <c r="U148" s="1157"/>
      <c r="V148" s="1157"/>
      <c r="W148" s="1157"/>
      <c r="X148" s="1157"/>
      <c r="Y148" s="1157"/>
      <c r="Z148" s="1157"/>
      <c r="AA148" s="1157"/>
      <c r="AB148" s="1157"/>
      <c r="AC148" s="1157"/>
      <c r="AD148" s="1157"/>
      <c r="AE148" s="1157"/>
      <c r="AF148" s="1157"/>
      <c r="AG148" s="1157"/>
      <c r="AH148" s="1157"/>
      <c r="AI148" s="1157"/>
      <c r="AJ148" s="1157"/>
      <c r="AK148" s="1157"/>
      <c r="AL148" s="1157"/>
      <c r="AM148" s="1157"/>
      <c r="AN148" s="1157"/>
      <c r="AO148" s="1157"/>
      <c r="AP148" s="1157"/>
      <c r="AQ148" s="1157"/>
      <c r="AR148" s="1157"/>
      <c r="AS148" s="1157"/>
      <c r="AT148" s="1157"/>
      <c r="AU148" s="1157"/>
      <c r="AV148" s="1157"/>
      <c r="AW148" s="1157"/>
      <c r="AX148" s="1157"/>
      <c r="AY148" s="1157"/>
      <c r="AZ148" s="1157"/>
      <c r="BA148" s="1157"/>
      <c r="BB148" s="1157"/>
      <c r="BC148" s="1157"/>
      <c r="BD148" s="1157"/>
      <c r="BE148" s="1157"/>
      <c r="BF148" s="1157"/>
      <c r="BG148" s="1157"/>
      <c r="BH148" s="1157"/>
      <c r="BI148" s="1157"/>
      <c r="BJ148" s="1157"/>
      <c r="BK148" s="1157"/>
      <c r="BL148" s="1157"/>
      <c r="BM148" s="1157"/>
      <c r="BN148" s="1157"/>
      <c r="BO148" s="1157"/>
      <c r="BP148" s="1157"/>
      <c r="BQ148" s="1157"/>
      <c r="BR148" s="1157"/>
      <c r="BS148" s="1157"/>
      <c r="BT148" s="1157"/>
      <c r="BU148" s="1157"/>
      <c r="BV148" s="1157"/>
      <c r="BW148" s="1157"/>
      <c r="BX148" s="1157"/>
      <c r="BY148" s="1157"/>
      <c r="BZ148" s="1157"/>
      <c r="CA148" s="1157"/>
      <c r="CB148" s="1157"/>
      <c r="CC148" s="1157"/>
      <c r="CD148" s="1157"/>
      <c r="CE148" s="1157"/>
      <c r="CF148" s="1157"/>
      <c r="CG148" s="1157"/>
      <c r="CH148" s="1157"/>
      <c r="CI148" s="1157"/>
      <c r="CJ148" s="1157"/>
      <c r="CK148" s="1157"/>
      <c r="CL148" s="1157"/>
      <c r="CM148" s="1157"/>
      <c r="CN148" s="1157"/>
      <c r="CO148" s="1157"/>
      <c r="CP148" s="1157"/>
      <c r="CQ148" s="1157"/>
      <c r="CR148" s="1157"/>
      <c r="CS148" s="1157"/>
      <c r="CT148" s="1157"/>
      <c r="CU148" s="1157"/>
      <c r="CV148" s="1157"/>
      <c r="CW148" s="1157"/>
      <c r="CX148" s="1157"/>
      <c r="CY148" s="1157"/>
      <c r="CZ148" s="1157"/>
      <c r="DA148" s="1157"/>
      <c r="DB148" s="1157"/>
      <c r="DC148" s="1157"/>
      <c r="DD148" s="1157"/>
      <c r="DE148" s="1157"/>
      <c r="DF148" s="1157"/>
      <c r="DG148" s="1157"/>
      <c r="DH148" s="1157"/>
      <c r="DI148" s="1157"/>
      <c r="DJ148" s="1157"/>
      <c r="DK148" s="1157"/>
      <c r="DL148" s="1157"/>
      <c r="DM148" s="1157"/>
      <c r="DN148" s="1157"/>
      <c r="DO148" s="1157"/>
      <c r="DP148" s="1157"/>
      <c r="DQ148" s="1157"/>
      <c r="DR148" s="1157"/>
      <c r="DS148" s="1157"/>
      <c r="DT148" s="1157"/>
      <c r="DU148" s="1157"/>
      <c r="DV148" s="1157"/>
      <c r="DW148" s="1157"/>
      <c r="DX148" s="1157"/>
      <c r="DY148" s="1157"/>
      <c r="DZ148" s="1157"/>
      <c r="EA148" s="1157"/>
      <c r="EB148" s="1157"/>
      <c r="EC148" s="1157"/>
      <c r="ED148" s="1157"/>
      <c r="EE148" s="1157"/>
      <c r="EF148" s="1157"/>
      <c r="EG148" s="1157"/>
      <c r="EH148" s="1157"/>
      <c r="EI148" s="1157"/>
      <c r="EJ148" s="1157"/>
      <c r="EK148" s="1157"/>
      <c r="EL148" s="1157"/>
      <c r="EM148" s="1157"/>
      <c r="EN148" s="1157"/>
      <c r="EO148" s="1157"/>
      <c r="EP148" s="1157"/>
      <c r="EQ148" s="1157"/>
      <c r="ER148" s="1157"/>
      <c r="ES148" s="1157"/>
      <c r="ET148" s="1157"/>
      <c r="EU148" s="1157"/>
      <c r="EV148" s="1157"/>
      <c r="EW148" s="1157"/>
      <c r="EX148" s="1157"/>
      <c r="EY148" s="1157"/>
      <c r="EZ148" s="1157"/>
      <c r="FA148" s="1157"/>
      <c r="FB148" s="1157"/>
      <c r="FC148" s="1157"/>
      <c r="FD148" s="1157"/>
      <c r="FE148" s="1157"/>
      <c r="FF148" s="1157"/>
      <c r="FG148" s="1157"/>
      <c r="FH148" s="1157"/>
      <c r="FI148" s="1157"/>
      <c r="FJ148" s="1157"/>
      <c r="FK148" s="1157"/>
      <c r="FL148" s="1157"/>
      <c r="FM148" s="1157"/>
      <c r="FN148" s="1157"/>
      <c r="FO148" s="1157"/>
      <c r="FP148" s="1157"/>
      <c r="FQ148" s="1157"/>
      <c r="FR148" s="1157"/>
      <c r="FS148" s="1157"/>
      <c r="FT148" s="1157"/>
      <c r="FU148" s="1157"/>
      <c r="FV148" s="1157"/>
      <c r="FW148" s="1157"/>
      <c r="FX148" s="1157"/>
      <c r="FY148" s="1157"/>
      <c r="FZ148" s="1157"/>
      <c r="GA148" s="1157"/>
      <c r="GB148" s="1157"/>
      <c r="GC148" s="1157"/>
      <c r="GD148" s="1157"/>
      <c r="GE148" s="1157"/>
      <c r="GF148" s="1157"/>
      <c r="GG148" s="1157"/>
    </row>
    <row r="149" spans="1:189" s="1158" customFormat="1" ht="30" customHeight="1">
      <c r="A149" s="1624" t="e">
        <f>+#REF!</f>
        <v>#REF!</v>
      </c>
      <c r="B149" s="1625" t="e">
        <f>+#REF!</f>
        <v>#REF!</v>
      </c>
      <c r="C149" s="1671" t="e">
        <f>#REF!</f>
        <v>#REF!</v>
      </c>
      <c r="D149" s="1668">
        <f>J149</f>
        <v>17.362800000000004</v>
      </c>
      <c r="E149" s="650" t="e">
        <f>#REF!</f>
        <v>#REF!</v>
      </c>
      <c r="F149" s="650" t="e">
        <f>+D149*E149</f>
        <v>#REF!</v>
      </c>
      <c r="H149" s="1155">
        <f>SUM(D138:D143)/50+5</f>
        <v>16.536000000000001</v>
      </c>
      <c r="I149" s="1156">
        <v>1.05</v>
      </c>
      <c r="J149" s="1155">
        <f>H149*I149</f>
        <v>17.362800000000004</v>
      </c>
      <c r="K149" s="1157"/>
      <c r="L149" s="1184" t="e">
        <f>+#REF!/#REF!*L148</f>
        <v>#REF!</v>
      </c>
      <c r="M149" s="1157"/>
      <c r="N149" s="1157"/>
      <c r="O149" s="1157"/>
      <c r="P149" s="1157"/>
      <c r="Q149" s="1157"/>
      <c r="R149" s="1157"/>
      <c r="S149" s="1157"/>
      <c r="T149" s="1157"/>
      <c r="U149" s="1157"/>
      <c r="V149" s="1157"/>
      <c r="W149" s="1157"/>
      <c r="X149" s="1157"/>
      <c r="Y149" s="1157"/>
      <c r="Z149" s="1157"/>
      <c r="AA149" s="1157"/>
      <c r="AB149" s="1157"/>
      <c r="AC149" s="1157"/>
      <c r="AD149" s="1157"/>
      <c r="AE149" s="1157"/>
      <c r="AF149" s="1157"/>
      <c r="AG149" s="1157"/>
      <c r="AH149" s="1157"/>
      <c r="AI149" s="1157"/>
      <c r="AJ149" s="1157"/>
      <c r="AK149" s="1157"/>
      <c r="AL149" s="1157"/>
      <c r="AM149" s="1157"/>
      <c r="AN149" s="1157"/>
      <c r="AO149" s="1157"/>
      <c r="AP149" s="1157"/>
      <c r="AQ149" s="1157"/>
      <c r="AR149" s="1157"/>
      <c r="AS149" s="1157"/>
      <c r="AT149" s="1157"/>
      <c r="AU149" s="1157"/>
      <c r="AV149" s="1157"/>
      <c r="AW149" s="1157"/>
      <c r="AX149" s="1157"/>
      <c r="AY149" s="1157"/>
      <c r="AZ149" s="1157"/>
      <c r="BA149" s="1157"/>
      <c r="BB149" s="1157"/>
      <c r="BC149" s="1157"/>
      <c r="BD149" s="1157"/>
      <c r="BE149" s="1157"/>
      <c r="BF149" s="1157"/>
      <c r="BG149" s="1157"/>
      <c r="BH149" s="1157"/>
      <c r="BI149" s="1157"/>
      <c r="BJ149" s="1157"/>
      <c r="BK149" s="1157"/>
      <c r="BL149" s="1157"/>
      <c r="BM149" s="1157"/>
      <c r="BN149" s="1157"/>
      <c r="BO149" s="1157"/>
      <c r="BP149" s="1157"/>
      <c r="BQ149" s="1157"/>
      <c r="BR149" s="1157"/>
      <c r="BS149" s="1157"/>
      <c r="BT149" s="1157"/>
      <c r="BU149" s="1157"/>
      <c r="BV149" s="1157"/>
      <c r="BW149" s="1157"/>
      <c r="BX149" s="1157"/>
      <c r="BY149" s="1157"/>
      <c r="BZ149" s="1157"/>
      <c r="CA149" s="1157"/>
      <c r="CB149" s="1157"/>
      <c r="CC149" s="1157"/>
      <c r="CD149" s="1157"/>
      <c r="CE149" s="1157"/>
      <c r="CF149" s="1157"/>
      <c r="CG149" s="1157"/>
      <c r="CH149" s="1157"/>
      <c r="CI149" s="1157"/>
      <c r="CJ149" s="1157"/>
      <c r="CK149" s="1157"/>
      <c r="CL149" s="1157"/>
      <c r="CM149" s="1157"/>
      <c r="CN149" s="1157"/>
      <c r="CO149" s="1157"/>
      <c r="CP149" s="1157"/>
      <c r="CQ149" s="1157"/>
      <c r="CR149" s="1157"/>
      <c r="CS149" s="1157"/>
      <c r="CT149" s="1157"/>
      <c r="CU149" s="1157"/>
      <c r="CV149" s="1157"/>
      <c r="CW149" s="1157"/>
      <c r="CX149" s="1157"/>
      <c r="CY149" s="1157"/>
      <c r="CZ149" s="1157"/>
      <c r="DA149" s="1157"/>
      <c r="DB149" s="1157"/>
      <c r="DC149" s="1157"/>
      <c r="DD149" s="1157"/>
      <c r="DE149" s="1157"/>
      <c r="DF149" s="1157"/>
      <c r="DG149" s="1157"/>
      <c r="DH149" s="1157"/>
      <c r="DI149" s="1157"/>
      <c r="DJ149" s="1157"/>
      <c r="DK149" s="1157"/>
      <c r="DL149" s="1157"/>
      <c r="DM149" s="1157"/>
      <c r="DN149" s="1157"/>
      <c r="DO149" s="1157"/>
      <c r="DP149" s="1157"/>
      <c r="DQ149" s="1157"/>
      <c r="DR149" s="1157"/>
      <c r="DS149" s="1157"/>
      <c r="DT149" s="1157"/>
      <c r="DU149" s="1157"/>
      <c r="DV149" s="1157"/>
      <c r="DW149" s="1157"/>
      <c r="DX149" s="1157"/>
      <c r="DY149" s="1157"/>
      <c r="DZ149" s="1157"/>
      <c r="EA149" s="1157"/>
      <c r="EB149" s="1157"/>
      <c r="EC149" s="1157"/>
      <c r="ED149" s="1157"/>
      <c r="EE149" s="1157"/>
      <c r="EF149" s="1157"/>
      <c r="EG149" s="1157"/>
      <c r="EH149" s="1157"/>
      <c r="EI149" s="1157"/>
      <c r="EJ149" s="1157"/>
      <c r="EK149" s="1157"/>
      <c r="EL149" s="1157"/>
      <c r="EM149" s="1157"/>
      <c r="EN149" s="1157"/>
      <c r="EO149" s="1157"/>
      <c r="EP149" s="1157"/>
      <c r="EQ149" s="1157"/>
      <c r="ER149" s="1157"/>
      <c r="ES149" s="1157"/>
      <c r="ET149" s="1157"/>
      <c r="EU149" s="1157"/>
      <c r="EV149" s="1157"/>
      <c r="EW149" s="1157"/>
      <c r="EX149" s="1157"/>
      <c r="EY149" s="1157"/>
      <c r="EZ149" s="1157"/>
      <c r="FA149" s="1157"/>
      <c r="FB149" s="1157"/>
      <c r="FC149" s="1157"/>
      <c r="FD149" s="1157"/>
      <c r="FE149" s="1157"/>
      <c r="FF149" s="1157"/>
      <c r="FG149" s="1157"/>
      <c r="FH149" s="1157"/>
      <c r="FI149" s="1157"/>
      <c r="FJ149" s="1157"/>
      <c r="FK149" s="1157"/>
      <c r="FL149" s="1157"/>
      <c r="FM149" s="1157"/>
      <c r="FN149" s="1157"/>
      <c r="FO149" s="1157"/>
      <c r="FP149" s="1157"/>
      <c r="FQ149" s="1157"/>
      <c r="FR149" s="1157"/>
      <c r="FS149" s="1157"/>
      <c r="FT149" s="1157"/>
      <c r="FU149" s="1157"/>
      <c r="FV149" s="1157"/>
      <c r="FW149" s="1157"/>
      <c r="FX149" s="1157"/>
      <c r="FY149" s="1157"/>
      <c r="FZ149" s="1157"/>
      <c r="GA149" s="1157"/>
      <c r="GB149" s="1157"/>
      <c r="GC149" s="1157"/>
      <c r="GD149" s="1157"/>
      <c r="GE149" s="1157"/>
      <c r="GF149" s="1157"/>
      <c r="GG149" s="1157"/>
    </row>
    <row r="150" spans="1:189" s="1158" customFormat="1">
      <c r="A150" s="1624" t="e">
        <f>+#REF!</f>
        <v>#REF!</v>
      </c>
      <c r="B150" s="1625" t="e">
        <f>+#REF!</f>
        <v>#REF!</v>
      </c>
      <c r="C150" s="1671" t="e">
        <f>#REF!</f>
        <v>#REF!</v>
      </c>
      <c r="D150" s="1668">
        <f>J150</f>
        <v>0</v>
      </c>
      <c r="E150" s="650" t="e">
        <f>#REF!</f>
        <v>#REF!</v>
      </c>
      <c r="F150" s="650" t="e">
        <f>+D150*E150</f>
        <v>#REF!</v>
      </c>
      <c r="H150" s="1155">
        <f>SUM(J132:J136)/12.5</f>
        <v>0</v>
      </c>
      <c r="I150" s="1156">
        <v>1.05</v>
      </c>
      <c r="J150" s="1155">
        <f>H150*I150</f>
        <v>0</v>
      </c>
      <c r="K150" s="1157"/>
      <c r="L150" s="1157"/>
      <c r="M150" s="1157"/>
      <c r="N150" s="1157"/>
      <c r="O150" s="1157"/>
      <c r="P150" s="1157"/>
      <c r="Q150" s="1157"/>
      <c r="R150" s="1157"/>
      <c r="S150" s="1157"/>
      <c r="T150" s="1157"/>
      <c r="U150" s="1157"/>
      <c r="V150" s="1157"/>
      <c r="W150" s="1157"/>
      <c r="X150" s="1157"/>
      <c r="Y150" s="1157"/>
      <c r="Z150" s="1157"/>
      <c r="AA150" s="1157"/>
      <c r="AB150" s="1157"/>
      <c r="AC150" s="1157"/>
      <c r="AD150" s="1157"/>
      <c r="AE150" s="1157"/>
      <c r="AF150" s="1157"/>
      <c r="AG150" s="1157"/>
      <c r="AH150" s="1157"/>
      <c r="AI150" s="1157"/>
      <c r="AJ150" s="1157"/>
      <c r="AK150" s="1157"/>
      <c r="AL150" s="1157"/>
      <c r="AM150" s="1157"/>
      <c r="AN150" s="1157"/>
      <c r="AO150" s="1157"/>
      <c r="AP150" s="1157"/>
      <c r="AQ150" s="1157"/>
      <c r="AR150" s="1157"/>
      <c r="AS150" s="1157"/>
      <c r="AT150" s="1157"/>
      <c r="AU150" s="1157"/>
      <c r="AV150" s="1157"/>
      <c r="AW150" s="1157"/>
      <c r="AX150" s="1157"/>
      <c r="AY150" s="1157"/>
      <c r="AZ150" s="1157"/>
      <c r="BA150" s="1157"/>
      <c r="BB150" s="1157"/>
      <c r="BC150" s="1157"/>
      <c r="BD150" s="1157"/>
      <c r="BE150" s="1157"/>
      <c r="BF150" s="1157"/>
      <c r="BG150" s="1157"/>
      <c r="BH150" s="1157"/>
      <c r="BI150" s="1157"/>
      <c r="BJ150" s="1157"/>
      <c r="BK150" s="1157"/>
      <c r="BL150" s="1157"/>
      <c r="BM150" s="1157"/>
      <c r="BN150" s="1157"/>
      <c r="BO150" s="1157"/>
      <c r="BP150" s="1157"/>
      <c r="BQ150" s="1157"/>
      <c r="BR150" s="1157"/>
      <c r="BS150" s="1157"/>
      <c r="BT150" s="1157"/>
      <c r="BU150" s="1157"/>
      <c r="BV150" s="1157"/>
      <c r="BW150" s="1157"/>
      <c r="BX150" s="1157"/>
      <c r="BY150" s="1157"/>
      <c r="BZ150" s="1157"/>
      <c r="CA150" s="1157"/>
      <c r="CB150" s="1157"/>
      <c r="CC150" s="1157"/>
      <c r="CD150" s="1157"/>
      <c r="CE150" s="1157"/>
      <c r="CF150" s="1157"/>
      <c r="CG150" s="1157"/>
      <c r="CH150" s="1157"/>
      <c r="CI150" s="1157"/>
      <c r="CJ150" s="1157"/>
      <c r="CK150" s="1157"/>
      <c r="CL150" s="1157"/>
      <c r="CM150" s="1157"/>
      <c r="CN150" s="1157"/>
      <c r="CO150" s="1157"/>
      <c r="CP150" s="1157"/>
      <c r="CQ150" s="1157"/>
      <c r="CR150" s="1157"/>
      <c r="CS150" s="1157"/>
      <c r="CT150" s="1157"/>
      <c r="CU150" s="1157"/>
      <c r="CV150" s="1157"/>
      <c r="CW150" s="1157"/>
      <c r="CX150" s="1157"/>
      <c r="CY150" s="1157"/>
      <c r="CZ150" s="1157"/>
      <c r="DA150" s="1157"/>
      <c r="DB150" s="1157"/>
      <c r="DC150" s="1157"/>
      <c r="DD150" s="1157"/>
      <c r="DE150" s="1157"/>
      <c r="DF150" s="1157"/>
      <c r="DG150" s="1157"/>
      <c r="DH150" s="1157"/>
      <c r="DI150" s="1157"/>
      <c r="DJ150" s="1157"/>
      <c r="DK150" s="1157"/>
      <c r="DL150" s="1157"/>
      <c r="DM150" s="1157"/>
      <c r="DN150" s="1157"/>
      <c r="DO150" s="1157"/>
      <c r="DP150" s="1157"/>
      <c r="DQ150" s="1157"/>
      <c r="DR150" s="1157"/>
      <c r="DS150" s="1157"/>
      <c r="DT150" s="1157"/>
      <c r="DU150" s="1157"/>
      <c r="DV150" s="1157"/>
      <c r="DW150" s="1157"/>
      <c r="DX150" s="1157"/>
      <c r="DY150" s="1157"/>
      <c r="DZ150" s="1157"/>
      <c r="EA150" s="1157"/>
      <c r="EB150" s="1157"/>
      <c r="EC150" s="1157"/>
      <c r="ED150" s="1157"/>
      <c r="EE150" s="1157"/>
      <c r="EF150" s="1157"/>
      <c r="EG150" s="1157"/>
      <c r="EH150" s="1157"/>
      <c r="EI150" s="1157"/>
      <c r="EJ150" s="1157"/>
      <c r="EK150" s="1157"/>
      <c r="EL150" s="1157"/>
      <c r="EM150" s="1157"/>
      <c r="EN150" s="1157"/>
      <c r="EO150" s="1157"/>
      <c r="EP150" s="1157"/>
      <c r="EQ150" s="1157"/>
      <c r="ER150" s="1157"/>
      <c r="ES150" s="1157"/>
      <c r="ET150" s="1157"/>
      <c r="EU150" s="1157"/>
      <c r="EV150" s="1157"/>
      <c r="EW150" s="1157"/>
      <c r="EX150" s="1157"/>
      <c r="EY150" s="1157"/>
      <c r="EZ150" s="1157"/>
      <c r="FA150" s="1157"/>
      <c r="FB150" s="1157"/>
      <c r="FC150" s="1157"/>
      <c r="FD150" s="1157"/>
      <c r="FE150" s="1157"/>
      <c r="FF150" s="1157"/>
      <c r="FG150" s="1157"/>
      <c r="FH150" s="1157"/>
      <c r="FI150" s="1157"/>
      <c r="FJ150" s="1157"/>
      <c r="FK150" s="1157"/>
      <c r="FL150" s="1157"/>
      <c r="FM150" s="1157"/>
      <c r="FN150" s="1157"/>
      <c r="FO150" s="1157"/>
      <c r="FP150" s="1157"/>
      <c r="FQ150" s="1157"/>
      <c r="FR150" s="1157"/>
      <c r="FS150" s="1157"/>
      <c r="FT150" s="1157"/>
      <c r="FU150" s="1157"/>
      <c r="FV150" s="1157"/>
      <c r="FW150" s="1157"/>
      <c r="FX150" s="1157"/>
      <c r="FY150" s="1157"/>
      <c r="FZ150" s="1157"/>
      <c r="GA150" s="1157"/>
      <c r="GB150" s="1157"/>
      <c r="GC150" s="1157"/>
      <c r="GD150" s="1157"/>
      <c r="GE150" s="1157"/>
      <c r="GF150" s="1157"/>
      <c r="GG150" s="1157"/>
    </row>
    <row r="151" spans="1:189" s="1158" customFormat="1">
      <c r="A151" s="1615" t="e">
        <f>+#REF!</f>
        <v>#REF!</v>
      </c>
      <c r="B151" s="1626" t="e">
        <f>+#REF!</f>
        <v>#REF!</v>
      </c>
      <c r="C151" s="1672" t="e">
        <f>#REF!</f>
        <v>#REF!</v>
      </c>
      <c r="D151" s="1669">
        <f>+H151</f>
        <v>0</v>
      </c>
      <c r="E151" s="547" t="e">
        <f>+#REF!</f>
        <v>#REF!</v>
      </c>
      <c r="F151" s="547" t="e">
        <f>+D151*E151</f>
        <v>#REF!</v>
      </c>
      <c r="H151" s="1155">
        <v>0</v>
      </c>
      <c r="I151" s="1156"/>
      <c r="J151" s="1155"/>
      <c r="K151" s="1157"/>
      <c r="L151" s="1157"/>
      <c r="M151" s="1157"/>
      <c r="N151" s="1157"/>
      <c r="O151" s="1157"/>
      <c r="P151" s="1157"/>
      <c r="Q151" s="1157"/>
      <c r="R151" s="1157"/>
      <c r="S151" s="1157"/>
      <c r="T151" s="1157"/>
      <c r="U151" s="1157"/>
      <c r="V151" s="1157"/>
      <c r="W151" s="1157"/>
      <c r="X151" s="1157"/>
      <c r="Y151" s="1157"/>
      <c r="Z151" s="1157"/>
      <c r="AA151" s="1157"/>
      <c r="AB151" s="1157"/>
      <c r="AC151" s="1157"/>
      <c r="AD151" s="1157"/>
      <c r="AE151" s="1157"/>
      <c r="AF151" s="1157"/>
      <c r="AG151" s="1157"/>
      <c r="AH151" s="1157"/>
      <c r="AI151" s="1157"/>
      <c r="AJ151" s="1157"/>
      <c r="AK151" s="1157"/>
      <c r="AL151" s="1157"/>
      <c r="AM151" s="1157"/>
      <c r="AN151" s="1157"/>
      <c r="AO151" s="1157"/>
      <c r="AP151" s="1157"/>
      <c r="AQ151" s="1157"/>
      <c r="AR151" s="1157"/>
      <c r="AS151" s="1157"/>
      <c r="AT151" s="1157"/>
      <c r="AU151" s="1157"/>
      <c r="AV151" s="1157"/>
      <c r="AW151" s="1157"/>
      <c r="AX151" s="1157"/>
      <c r="AY151" s="1157"/>
      <c r="AZ151" s="1157"/>
      <c r="BA151" s="1157"/>
      <c r="BB151" s="1157"/>
      <c r="BC151" s="1157"/>
      <c r="BD151" s="1157"/>
      <c r="BE151" s="1157"/>
      <c r="BF151" s="1157"/>
      <c r="BG151" s="1157"/>
      <c r="BH151" s="1157"/>
      <c r="BI151" s="1157"/>
      <c r="BJ151" s="1157"/>
      <c r="BK151" s="1157"/>
      <c r="BL151" s="1157"/>
      <c r="BM151" s="1157"/>
      <c r="BN151" s="1157"/>
      <c r="BO151" s="1157"/>
      <c r="BP151" s="1157"/>
      <c r="BQ151" s="1157"/>
      <c r="BR151" s="1157"/>
      <c r="BS151" s="1157"/>
      <c r="BT151" s="1157"/>
      <c r="BU151" s="1157"/>
      <c r="BV151" s="1157"/>
      <c r="BW151" s="1157"/>
      <c r="BX151" s="1157"/>
      <c r="BY151" s="1157"/>
      <c r="BZ151" s="1157"/>
      <c r="CA151" s="1157"/>
      <c r="CB151" s="1157"/>
      <c r="CC151" s="1157"/>
      <c r="CD151" s="1157"/>
      <c r="CE151" s="1157"/>
      <c r="CF151" s="1157"/>
      <c r="CG151" s="1157"/>
      <c r="CH151" s="1157"/>
      <c r="CI151" s="1157"/>
      <c r="CJ151" s="1157"/>
      <c r="CK151" s="1157"/>
      <c r="CL151" s="1157"/>
      <c r="CM151" s="1157"/>
      <c r="CN151" s="1157"/>
      <c r="CO151" s="1157"/>
      <c r="CP151" s="1157"/>
      <c r="CQ151" s="1157"/>
      <c r="CR151" s="1157"/>
      <c r="CS151" s="1157"/>
      <c r="CT151" s="1157"/>
      <c r="CU151" s="1157"/>
      <c r="CV151" s="1157"/>
      <c r="CW151" s="1157"/>
      <c r="CX151" s="1157"/>
      <c r="CY151" s="1157"/>
      <c r="CZ151" s="1157"/>
      <c r="DA151" s="1157"/>
      <c r="DB151" s="1157"/>
      <c r="DC151" s="1157"/>
      <c r="DD151" s="1157"/>
      <c r="DE151" s="1157"/>
      <c r="DF151" s="1157"/>
      <c r="DG151" s="1157"/>
      <c r="DH151" s="1157"/>
      <c r="DI151" s="1157"/>
      <c r="DJ151" s="1157"/>
      <c r="DK151" s="1157"/>
      <c r="DL151" s="1157"/>
      <c r="DM151" s="1157"/>
      <c r="DN151" s="1157"/>
      <c r="DO151" s="1157"/>
      <c r="DP151" s="1157"/>
      <c r="DQ151" s="1157"/>
      <c r="DR151" s="1157"/>
      <c r="DS151" s="1157"/>
      <c r="DT151" s="1157"/>
      <c r="DU151" s="1157"/>
      <c r="DV151" s="1157"/>
      <c r="DW151" s="1157"/>
      <c r="DX151" s="1157"/>
      <c r="DY151" s="1157"/>
      <c r="DZ151" s="1157"/>
      <c r="EA151" s="1157"/>
      <c r="EB151" s="1157"/>
      <c r="EC151" s="1157"/>
      <c r="ED151" s="1157"/>
      <c r="EE151" s="1157"/>
      <c r="EF151" s="1157"/>
      <c r="EG151" s="1157"/>
      <c r="EH151" s="1157"/>
      <c r="EI151" s="1157"/>
      <c r="EJ151" s="1157"/>
      <c r="EK151" s="1157"/>
      <c r="EL151" s="1157"/>
      <c r="EM151" s="1157"/>
      <c r="EN151" s="1157"/>
      <c r="EO151" s="1157"/>
      <c r="EP151" s="1157"/>
      <c r="EQ151" s="1157"/>
      <c r="ER151" s="1157"/>
      <c r="ES151" s="1157"/>
      <c r="ET151" s="1157"/>
      <c r="EU151" s="1157"/>
      <c r="EV151" s="1157"/>
      <c r="EW151" s="1157"/>
      <c r="EX151" s="1157"/>
      <c r="EY151" s="1157"/>
      <c r="EZ151" s="1157"/>
      <c r="FA151" s="1157"/>
      <c r="FB151" s="1157"/>
      <c r="FC151" s="1157"/>
      <c r="FD151" s="1157"/>
      <c r="FE151" s="1157"/>
      <c r="FF151" s="1157"/>
      <c r="FG151" s="1157"/>
      <c r="FH151" s="1157"/>
      <c r="FI151" s="1157"/>
      <c r="FJ151" s="1157"/>
      <c r="FK151" s="1157"/>
      <c r="FL151" s="1157"/>
      <c r="FM151" s="1157"/>
      <c r="FN151" s="1157"/>
      <c r="FO151" s="1157"/>
      <c r="FP151" s="1157"/>
      <c r="FQ151" s="1157"/>
      <c r="FR151" s="1157"/>
      <c r="FS151" s="1157"/>
      <c r="FT151" s="1157"/>
      <c r="FU151" s="1157"/>
      <c r="FV151" s="1157"/>
      <c r="FW151" s="1157"/>
      <c r="FX151" s="1157"/>
      <c r="FY151" s="1157"/>
      <c r="FZ151" s="1157"/>
      <c r="GA151" s="1157"/>
      <c r="GB151" s="1157"/>
      <c r="GC151" s="1157"/>
      <c r="GD151" s="1157"/>
      <c r="GE151" s="1157"/>
      <c r="GF151" s="1157"/>
      <c r="GG151" s="1157"/>
    </row>
    <row r="152" spans="1:189" s="1146" customFormat="1" ht="18.75">
      <c r="A152" s="1120"/>
      <c r="B152" s="1134"/>
      <c r="C152" s="1608"/>
      <c r="D152" s="636"/>
      <c r="E152" s="1609" t="s">
        <v>113</v>
      </c>
      <c r="F152" s="1122" t="e">
        <f>SUM(F111:F151)</f>
        <v>#REF!</v>
      </c>
      <c r="G152" s="44"/>
      <c r="H152" s="1144"/>
      <c r="I152" s="1145"/>
      <c r="J152" s="1144"/>
    </row>
    <row r="153" spans="1:189" s="1146" customFormat="1" ht="15" customHeight="1">
      <c r="A153" s="1116"/>
      <c r="B153" s="1134"/>
      <c r="C153" s="926"/>
      <c r="D153" s="1114"/>
      <c r="E153" s="1128"/>
      <c r="F153" s="118"/>
      <c r="G153" s="44"/>
      <c r="H153" s="1144"/>
      <c r="I153" s="1145"/>
      <c r="J153" s="1144"/>
    </row>
    <row r="154" spans="1:189" s="1152" customFormat="1" ht="24.95" customHeight="1">
      <c r="A154" s="1905" t="e">
        <f>+#REF!</f>
        <v>#REF!</v>
      </c>
      <c r="B154" s="1906"/>
      <c r="C154" s="1906"/>
      <c r="D154" s="1906"/>
      <c r="E154" s="1906"/>
      <c r="F154" s="1907"/>
      <c r="G154" s="1149"/>
      <c r="H154" s="1150"/>
      <c r="I154" s="1151"/>
      <c r="J154" s="1150"/>
    </row>
    <row r="155" spans="1:189" s="1146" customFormat="1">
      <c r="A155" s="1449" t="e">
        <f>+#REF!</f>
        <v>#REF!</v>
      </c>
      <c r="B155" s="1614" t="e">
        <f>+#REF!</f>
        <v>#REF!</v>
      </c>
      <c r="C155" s="1475"/>
      <c r="D155" s="210"/>
      <c r="E155" s="161"/>
      <c r="F155" s="204"/>
      <c r="G155" s="44"/>
      <c r="H155" s="1144"/>
      <c r="I155" s="1145"/>
      <c r="J155" s="1144"/>
    </row>
    <row r="156" spans="1:189" s="1146" customFormat="1">
      <c r="A156" s="956" t="e">
        <f>+#REF!</f>
        <v>#REF!</v>
      </c>
      <c r="B156" s="230" t="e">
        <f>+#REF!</f>
        <v>#REF!</v>
      </c>
      <c r="C156" s="235" t="e">
        <f>#REF!</f>
        <v>#REF!</v>
      </c>
      <c r="D156" s="235">
        <f>J156</f>
        <v>0</v>
      </c>
      <c r="E156" s="140" t="e">
        <f>#REF!</f>
        <v>#REF!</v>
      </c>
      <c r="F156" s="314" t="e">
        <f>+D156*E156</f>
        <v>#REF!</v>
      </c>
      <c r="G156" s="44"/>
      <c r="H156" s="1144">
        <f>SUM(F13:F17)/25</f>
        <v>0</v>
      </c>
      <c r="I156" s="1145">
        <f>1.1*0</f>
        <v>0</v>
      </c>
      <c r="J156" s="1144">
        <f>ROUND(H156*I156,0)</f>
        <v>0</v>
      </c>
    </row>
    <row r="157" spans="1:189" s="176" customFormat="1">
      <c r="A157" s="765" t="e">
        <f>+#REF!</f>
        <v>#REF!</v>
      </c>
      <c r="B157" s="766" t="e">
        <f>+#REF!</f>
        <v>#REF!</v>
      </c>
      <c r="C157" s="1135" t="e">
        <f>#REF!</f>
        <v>#REF!</v>
      </c>
      <c r="D157" s="185">
        <f>+J157</f>
        <v>0</v>
      </c>
      <c r="E157" s="185" t="e">
        <f>+#REF!</f>
        <v>#REF!</v>
      </c>
      <c r="F157" s="208" t="e">
        <f>+D157*E157</f>
        <v>#REF!</v>
      </c>
      <c r="H157" s="1189">
        <f>+F8</f>
        <v>0</v>
      </c>
      <c r="I157" s="1190">
        <v>1.5</v>
      </c>
      <c r="J157" s="1189">
        <f>+H157*I157</f>
        <v>0</v>
      </c>
    </row>
    <row r="158" spans="1:189" s="176" customFormat="1">
      <c r="A158" s="1449" t="e">
        <f>+#REF!</f>
        <v>#REF!</v>
      </c>
      <c r="B158" s="1614" t="e">
        <f>+#REF!</f>
        <v>#REF!</v>
      </c>
      <c r="C158" s="1475"/>
      <c r="D158" s="210"/>
      <c r="E158" s="161"/>
      <c r="F158" s="204"/>
      <c r="H158" s="1189"/>
      <c r="I158" s="1190"/>
      <c r="J158" s="1189"/>
    </row>
    <row r="159" spans="1:189" s="176" customFormat="1">
      <c r="A159" s="956" t="e">
        <f>+#REF!</f>
        <v>#REF!</v>
      </c>
      <c r="B159" s="230" t="e">
        <f>+#REF!</f>
        <v>#REF!</v>
      </c>
      <c r="C159" s="235" t="e">
        <f>#REF!</f>
        <v>#REF!</v>
      </c>
      <c r="D159" s="235">
        <f>+(45)*0</f>
        <v>0</v>
      </c>
      <c r="E159" s="140" t="e">
        <f>#REF!</f>
        <v>#REF!</v>
      </c>
      <c r="F159" s="314" t="e">
        <f>+D159*E159</f>
        <v>#REF!</v>
      </c>
      <c r="H159" s="1189"/>
      <c r="I159" s="1190"/>
      <c r="J159" s="1189"/>
    </row>
    <row r="160" spans="1:189" s="176" customFormat="1">
      <c r="A160" s="785" t="e">
        <f>+#REF!</f>
        <v>#REF!</v>
      </c>
      <c r="B160" s="786" t="e">
        <f>+#REF!</f>
        <v>#REF!</v>
      </c>
      <c r="C160" s="235" t="e">
        <f>#REF!</f>
        <v>#REF!</v>
      </c>
      <c r="D160" s="140">
        <f>4*0</f>
        <v>0</v>
      </c>
      <c r="E160" s="140" t="e">
        <f>#REF!</f>
        <v>#REF!</v>
      </c>
      <c r="F160" s="314" t="e">
        <f>+D160*E160</f>
        <v>#REF!</v>
      </c>
      <c r="H160" s="1189"/>
      <c r="I160" s="1190"/>
      <c r="J160" s="1189"/>
    </row>
    <row r="161" spans="1:11">
      <c r="A161" s="1449" t="e">
        <f>+#REF!</f>
        <v>#REF!</v>
      </c>
      <c r="B161" s="1614" t="e">
        <f>+#REF!</f>
        <v>#REF!</v>
      </c>
      <c r="C161" s="161"/>
      <c r="D161" s="161"/>
      <c r="E161" s="161"/>
      <c r="F161" s="161"/>
    </row>
    <row r="162" spans="1:11">
      <c r="A162" s="1627"/>
      <c r="B162" s="184"/>
      <c r="C162" s="1552" t="e">
        <f>#REF!</f>
        <v>#REF!</v>
      </c>
      <c r="D162" s="185">
        <f>J162</f>
        <v>0</v>
      </c>
      <c r="E162" s="185" t="e">
        <f>#REF!</f>
        <v>#REF!</v>
      </c>
      <c r="F162" s="185" t="e">
        <f>+D162*E162</f>
        <v>#REF!</v>
      </c>
      <c r="H162" s="1144">
        <f>2115+ (2*5+4*2)*3*60</f>
        <v>5355</v>
      </c>
      <c r="I162" s="1145">
        <f>1.1*0</f>
        <v>0</v>
      </c>
      <c r="J162" s="1144">
        <f>ROUND(H162*I162,0)</f>
        <v>0</v>
      </c>
    </row>
    <row r="163" spans="1:11">
      <c r="A163" s="1449" t="e">
        <f>+#REF!</f>
        <v>#REF!</v>
      </c>
      <c r="B163" s="1614" t="e">
        <f>+#REF!</f>
        <v>#REF!</v>
      </c>
      <c r="C163" s="1475"/>
      <c r="D163" s="161"/>
      <c r="E163" s="161"/>
      <c r="F163" s="161"/>
    </row>
    <row r="164" spans="1:11" s="1146" customFormat="1">
      <c r="A164" s="1627"/>
      <c r="B164" s="184"/>
      <c r="C164" s="1552" t="e">
        <f>#REF!</f>
        <v>#REF!</v>
      </c>
      <c r="D164" s="185">
        <f>+J164</f>
        <v>0</v>
      </c>
      <c r="E164" s="185" t="e">
        <f>#REF!</f>
        <v>#REF!</v>
      </c>
      <c r="F164" s="185" t="e">
        <f>+D164*E164</f>
        <v>#REF!</v>
      </c>
      <c r="G164" s="44"/>
      <c r="H164" s="1144">
        <f>0.2*20*(20+10)*2+0.2*18*60</f>
        <v>456</v>
      </c>
      <c r="I164" s="1145">
        <f>1.1*0</f>
        <v>0</v>
      </c>
      <c r="J164" s="1144">
        <f>+H164*I164</f>
        <v>0</v>
      </c>
    </row>
    <row r="165" spans="1:11" s="1146" customFormat="1" ht="30" customHeight="1">
      <c r="A165" s="1449" t="e">
        <f>+#REF!</f>
        <v>#REF!</v>
      </c>
      <c r="B165" s="1614" t="e">
        <f>+#REF!</f>
        <v>#REF!</v>
      </c>
      <c r="C165" s="1475"/>
      <c r="D165" s="161"/>
      <c r="E165" s="161"/>
      <c r="F165" s="161"/>
      <c r="G165" s="44"/>
      <c r="H165" s="1144"/>
      <c r="I165" s="1145"/>
      <c r="J165" s="1144"/>
      <c r="K165" s="1146">
        <f>10*7*2</f>
        <v>140</v>
      </c>
    </row>
    <row r="166" spans="1:11" s="1146" customFormat="1">
      <c r="A166" s="1627"/>
      <c r="B166" s="184"/>
      <c r="C166" s="1552" t="e">
        <f>#REF!</f>
        <v>#REF!</v>
      </c>
      <c r="D166" s="185">
        <f>1*0</f>
        <v>0</v>
      </c>
      <c r="E166" s="185" t="e">
        <f>#REF!</f>
        <v>#REF!</v>
      </c>
      <c r="F166" s="185" t="e">
        <f>+D166*E166</f>
        <v>#REF!</v>
      </c>
      <c r="G166" s="44"/>
      <c r="H166" s="1144"/>
      <c r="I166" s="1145"/>
      <c r="J166" s="1144"/>
    </row>
    <row r="167" spans="1:11" s="1146" customFormat="1" ht="18.75">
      <c r="A167" s="1113"/>
      <c r="B167" s="926"/>
      <c r="C167" s="1608"/>
      <c r="D167" s="636"/>
      <c r="E167" s="1609" t="s">
        <v>112</v>
      </c>
      <c r="F167" s="1122" t="e">
        <f>SUM(F155:F166)</f>
        <v>#REF!</v>
      </c>
      <c r="G167" s="44"/>
      <c r="H167" s="1144"/>
      <c r="I167" s="1145"/>
      <c r="J167" s="1144"/>
    </row>
    <row r="168" spans="1:11" s="1146" customFormat="1" ht="15" customHeight="1">
      <c r="A168" s="1113"/>
      <c r="B168" s="926"/>
      <c r="C168" s="926"/>
      <c r="D168" s="1114"/>
      <c r="E168" s="1115"/>
      <c r="F168" s="1115"/>
      <c r="G168" s="44"/>
      <c r="H168" s="1144"/>
      <c r="I168" s="1145"/>
      <c r="J168" s="1144"/>
    </row>
    <row r="169" spans="1:11" s="1146" customFormat="1" ht="24.95" customHeight="1">
      <c r="A169" s="1113"/>
      <c r="B169" s="926"/>
      <c r="C169" s="1608"/>
      <c r="D169" s="636"/>
      <c r="E169" s="1609" t="s">
        <v>733</v>
      </c>
      <c r="F169" s="1122" t="e">
        <f>+F67+F78+F108+F152+F167</f>
        <v>#REF!</v>
      </c>
      <c r="G169" s="44"/>
      <c r="H169" s="1144"/>
      <c r="I169" s="1145"/>
      <c r="J169" s="1144"/>
    </row>
    <row r="170" spans="1:11" s="1146" customFormat="1" ht="15" customHeight="1">
      <c r="A170" s="1113"/>
      <c r="B170" s="926"/>
      <c r="C170" s="926"/>
      <c r="D170" s="926"/>
      <c r="E170" s="926"/>
      <c r="F170" s="926"/>
      <c r="G170" s="44"/>
      <c r="H170" s="1144"/>
      <c r="I170" s="1145"/>
      <c r="J170" s="1144"/>
    </row>
    <row r="171" spans="1:11" s="1146" customFormat="1" ht="24.95" customHeight="1">
      <c r="A171" s="1113"/>
      <c r="B171" s="926"/>
      <c r="C171" s="1608"/>
      <c r="D171" s="636"/>
      <c r="E171" s="1609" t="s">
        <v>419</v>
      </c>
      <c r="F171" s="1122" t="e">
        <f>F169+F43</f>
        <v>#REF!</v>
      </c>
      <c r="G171" s="1193" t="e">
        <f>+F171-F41</f>
        <v>#REF!</v>
      </c>
      <c r="H171" s="1144"/>
      <c r="I171" s="1145"/>
      <c r="J171" s="1144"/>
    </row>
    <row r="174" spans="1:11" s="1146" customFormat="1">
      <c r="A174" s="1194"/>
      <c r="B174" s="176"/>
      <c r="C174" s="176"/>
      <c r="D174" s="176"/>
      <c r="E174" s="176"/>
      <c r="F174" s="1195"/>
      <c r="G174" s="1196">
        <v>6491945265.0130939</v>
      </c>
      <c r="H174" s="1144"/>
      <c r="I174" s="1145"/>
      <c r="J174" s="1144"/>
    </row>
    <row r="176" spans="1:11" s="1146" customFormat="1">
      <c r="A176" s="1194"/>
      <c r="B176" s="176"/>
      <c r="C176" s="176"/>
      <c r="D176" s="176"/>
      <c r="E176" s="176"/>
      <c r="F176" s="176"/>
      <c r="G176" s="44"/>
      <c r="H176" s="1144"/>
      <c r="I176" s="1145"/>
      <c r="J176" s="1144">
        <f>18500*17</f>
        <v>314500</v>
      </c>
    </row>
    <row r="180" spans="1:48" s="1146" customFormat="1">
      <c r="A180" s="1194"/>
      <c r="B180" s="176"/>
      <c r="C180" s="176"/>
      <c r="D180" s="176"/>
      <c r="E180" s="176"/>
      <c r="F180" s="176"/>
      <c r="G180" s="44"/>
      <c r="H180" s="1144"/>
      <c r="I180" s="1145"/>
      <c r="J180" s="1144"/>
      <c r="AV180" s="1146">
        <v>46200</v>
      </c>
    </row>
    <row r="181" spans="1:48" s="1146" customFormat="1" ht="15.75">
      <c r="A181" s="1105"/>
      <c r="B181" s="176"/>
      <c r="C181" s="176"/>
      <c r="D181" s="908"/>
      <c r="E181" s="908"/>
      <c r="F181" s="1197"/>
      <c r="G181" s="44"/>
      <c r="H181" s="1144"/>
      <c r="I181" s="1145"/>
      <c r="J181" s="1144"/>
    </row>
    <row r="182" spans="1:48" s="1146" customFormat="1" ht="26.25">
      <c r="A182" s="1194"/>
      <c r="B182" s="1925"/>
      <c r="C182" s="1925"/>
      <c r="D182" s="1925"/>
      <c r="E182" s="1925"/>
      <c r="F182" s="1925"/>
      <c r="G182" s="44"/>
      <c r="H182" s="1144"/>
      <c r="I182" s="1145"/>
      <c r="J182" s="1144"/>
    </row>
    <row r="195" spans="1:10" s="1146" customFormat="1">
      <c r="A195" s="1194"/>
      <c r="B195" s="176"/>
      <c r="C195" s="176"/>
      <c r="D195" s="176"/>
      <c r="E195" s="176">
        <f>18500*17</f>
        <v>314500</v>
      </c>
      <c r="F195" s="176"/>
      <c r="G195" s="44"/>
      <c r="H195" s="1144"/>
      <c r="I195" s="1145"/>
      <c r="J195" s="1144"/>
    </row>
  </sheetData>
  <mergeCells count="13">
    <mergeCell ref="B182:F182"/>
    <mergeCell ref="A1:F1"/>
    <mergeCell ref="A2:F2"/>
    <mergeCell ref="A19:F19"/>
    <mergeCell ref="A28:F28"/>
    <mergeCell ref="D29:D38"/>
    <mergeCell ref="E29:E38"/>
    <mergeCell ref="F29:F38"/>
    <mergeCell ref="A45:F45"/>
    <mergeCell ref="A69:F69"/>
    <mergeCell ref="A80:F80"/>
    <mergeCell ref="A110:F110"/>
    <mergeCell ref="A154:F154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  <rowBreaks count="1" manualBreakCount="1">
    <brk id="78" max="6" man="1"/>
  </rowBreaks>
  <colBreaks count="1" manualBreakCount="1">
    <brk id="6" max="1048575" man="1"/>
  </colBreaks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C16"/>
  <sheetViews>
    <sheetView topLeftCell="A7" workbookViewId="0">
      <selection activeCell="E7" sqref="E7:G7"/>
    </sheetView>
  </sheetViews>
  <sheetFormatPr baseColWidth="10" defaultColWidth="9.140625" defaultRowHeight="15"/>
  <cols>
    <col min="1" max="1" width="63.85546875" style="142" customWidth="1"/>
    <col min="2" max="2" width="16.7109375" style="142" customWidth="1"/>
    <col min="3" max="3" width="29.85546875" style="142" customWidth="1"/>
    <col min="4" max="16384" width="9.140625" style="142"/>
  </cols>
  <sheetData>
    <row r="1" spans="1:3" ht="24.95" customHeight="1">
      <c r="A1" s="1321" t="s">
        <v>714</v>
      </c>
    </row>
    <row r="2" spans="1:3" ht="20.100000000000001" customHeight="1">
      <c r="A2" s="142" t="s">
        <v>715</v>
      </c>
    </row>
    <row r="3" spans="1:3" ht="27.75" customHeight="1">
      <c r="A3" s="1929" t="s">
        <v>716</v>
      </c>
      <c r="B3" s="1929"/>
      <c r="C3" s="1929"/>
    </row>
    <row r="4" spans="1:3" ht="20.100000000000001" customHeight="1">
      <c r="A4" s="142" t="s">
        <v>717</v>
      </c>
    </row>
    <row r="5" spans="1:3" ht="20.100000000000001" customHeight="1">
      <c r="A5" s="142" t="s">
        <v>718</v>
      </c>
    </row>
    <row r="6" spans="1:3" ht="20.100000000000001" customHeight="1">
      <c r="A6" s="142" t="s">
        <v>719</v>
      </c>
    </row>
    <row r="7" spans="1:3" ht="20.100000000000001" customHeight="1">
      <c r="A7" s="142" t="s">
        <v>720</v>
      </c>
    </row>
    <row r="8" spans="1:3" ht="15.75" thickBot="1"/>
    <row r="9" spans="1:3" ht="15.75" thickBot="1">
      <c r="A9" s="365" t="s">
        <v>217</v>
      </c>
      <c r="B9" s="1322"/>
      <c r="C9" s="366" t="s">
        <v>291</v>
      </c>
    </row>
    <row r="10" spans="1:3" ht="15.75" thickBot="1">
      <c r="A10" s="245"/>
      <c r="B10" s="1323" t="s">
        <v>721</v>
      </c>
      <c r="C10" s="367" t="s">
        <v>722</v>
      </c>
    </row>
    <row r="11" spans="1:3" ht="21.95" customHeight="1">
      <c r="A11" s="364" t="s">
        <v>723</v>
      </c>
      <c r="B11" s="1324">
        <f>+'L _traversée'!F3</f>
        <v>79</v>
      </c>
      <c r="C11" s="101" t="e">
        <f>+'L _traversée'!F120</f>
        <v>#REF!</v>
      </c>
    </row>
    <row r="12" spans="1:3" ht="36" customHeight="1" thickBot="1">
      <c r="A12" s="1675" t="s">
        <v>735</v>
      </c>
      <c r="B12" s="1324">
        <f>+'M_Amazone_2 032019'!D142+'M_Amazone_2 032019'!D143</f>
        <v>447</v>
      </c>
      <c r="C12" s="101" t="e">
        <f>+'M_Amazone_2 032019'!F171</f>
        <v>#REF!</v>
      </c>
    </row>
    <row r="13" spans="1:3" ht="19.5" customHeight="1" thickBot="1">
      <c r="A13" s="368" t="s">
        <v>725</v>
      </c>
      <c r="B13" s="1325"/>
      <c r="C13" s="332" t="e">
        <f>SUM(C11:C12)</f>
        <v>#REF!</v>
      </c>
    </row>
    <row r="14" spans="1:3" ht="32.25" customHeight="1" thickBot="1">
      <c r="A14" s="369" t="s">
        <v>343</v>
      </c>
      <c r="B14" s="1326"/>
      <c r="C14" s="105" t="e">
        <f>C13</f>
        <v>#REF!</v>
      </c>
    </row>
    <row r="16" spans="1:3">
      <c r="C16" s="255"/>
    </row>
  </sheetData>
  <mergeCells count="1">
    <mergeCell ref="A3:C3"/>
  </mergeCells>
  <printOptions horizontalCentered="1"/>
  <pageMargins left="0.9055118110236221" right="0.70866141732283472" top="0.74803149606299213" bottom="0.74803149606299213" header="0.31496062992125984" footer="0.31496062992125984"/>
  <pageSetup paperSize="9" orientation="landscape" r:id="rId1"/>
  <headerFooter>
    <oddHeader>Page &amp;P de &amp;N</oddHeader>
    <oddFooter>&amp;A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FFFF00"/>
  </sheetPr>
  <dimension ref="A1:C16"/>
  <sheetViews>
    <sheetView topLeftCell="A7" workbookViewId="0">
      <selection activeCell="E7" sqref="E7:G7"/>
    </sheetView>
  </sheetViews>
  <sheetFormatPr baseColWidth="10" defaultColWidth="9.140625" defaultRowHeight="15"/>
  <cols>
    <col min="1" max="1" width="36.85546875" style="142" customWidth="1"/>
    <col min="2" max="2" width="16.7109375" style="142" customWidth="1"/>
    <col min="3" max="3" width="29.85546875" style="142" customWidth="1"/>
    <col min="4" max="16384" width="9.140625" style="142"/>
  </cols>
  <sheetData>
    <row r="1" spans="1:3" ht="24.95" customHeight="1">
      <c r="A1" s="1321" t="s">
        <v>714</v>
      </c>
    </row>
    <row r="2" spans="1:3" ht="20.100000000000001" customHeight="1">
      <c r="A2" s="142" t="s">
        <v>715</v>
      </c>
    </row>
    <row r="3" spans="1:3" ht="27.75" customHeight="1">
      <c r="A3" s="1929" t="s">
        <v>716</v>
      </c>
      <c r="B3" s="1929"/>
      <c r="C3" s="1929"/>
    </row>
    <row r="4" spans="1:3" ht="20.100000000000001" customHeight="1">
      <c r="A4" s="142" t="s">
        <v>717</v>
      </c>
    </row>
    <row r="5" spans="1:3" ht="20.100000000000001" customHeight="1">
      <c r="A5" s="142" t="s">
        <v>718</v>
      </c>
    </row>
    <row r="6" spans="1:3" ht="20.100000000000001" customHeight="1">
      <c r="A6" s="142" t="s">
        <v>719</v>
      </c>
    </row>
    <row r="7" spans="1:3" ht="20.100000000000001" customHeight="1">
      <c r="A7" s="142" t="s">
        <v>720</v>
      </c>
    </row>
    <row r="8" spans="1:3" ht="15.75" thickBot="1"/>
    <row r="9" spans="1:3" ht="15.75" thickBot="1">
      <c r="A9" s="365" t="s">
        <v>217</v>
      </c>
      <c r="B9" s="1322"/>
      <c r="C9" s="366" t="s">
        <v>291</v>
      </c>
    </row>
    <row r="10" spans="1:3" ht="15.75" thickBot="1">
      <c r="A10" s="245"/>
      <c r="B10" s="1323" t="s">
        <v>721</v>
      </c>
      <c r="C10" s="367" t="s">
        <v>722</v>
      </c>
    </row>
    <row r="11" spans="1:3" ht="21.95" customHeight="1">
      <c r="A11" s="364" t="s">
        <v>723</v>
      </c>
      <c r="B11" s="1324">
        <f>+'L _traversée'!F3</f>
        <v>79</v>
      </c>
      <c r="C11" s="101" t="e">
        <f>+'L _traversée'!F120</f>
        <v>#REF!</v>
      </c>
    </row>
    <row r="12" spans="1:3" ht="21.95" customHeight="1" thickBot="1">
      <c r="A12" s="364" t="s">
        <v>724</v>
      </c>
      <c r="B12" s="1324">
        <f>+M_traverséé!F3</f>
        <v>65</v>
      </c>
      <c r="C12" s="101" t="e">
        <f>+M_traverséé!F141</f>
        <v>#REF!</v>
      </c>
    </row>
    <row r="13" spans="1:3" ht="19.5" customHeight="1" thickBot="1">
      <c r="A13" s="368" t="s">
        <v>725</v>
      </c>
      <c r="B13" s="1325"/>
      <c r="C13" s="332" t="e">
        <f>SUM(C11:C12)</f>
        <v>#REF!</v>
      </c>
    </row>
    <row r="14" spans="1:3" ht="32.25" customHeight="1" thickBot="1">
      <c r="A14" s="369" t="s">
        <v>343</v>
      </c>
      <c r="B14" s="1326"/>
      <c r="C14" s="105" t="e">
        <f>C13</f>
        <v>#REF!</v>
      </c>
    </row>
    <row r="16" spans="1:3">
      <c r="C16" s="255"/>
    </row>
  </sheetData>
  <mergeCells count="1">
    <mergeCell ref="A3:C3"/>
  </mergeCells>
  <printOptions horizontalCentered="1"/>
  <pageMargins left="0.9055118110236221" right="0.70866141732283472" top="0.74803149606299213" bottom="0.74803149606299213" header="0.31496062992125984" footer="0.31496062992125984"/>
  <pageSetup paperSize="9" orientation="portrait" r:id="rId1"/>
  <headerFooter>
    <oddHeader>Page &amp;P de &amp;N</oddHeader>
    <oddFooter>&amp;A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FFFF00"/>
    <pageSetUpPr fitToPage="1"/>
  </sheetPr>
  <dimension ref="A1:GG146"/>
  <sheetViews>
    <sheetView view="pageBreakPreview" zoomScaleNormal="100" zoomScaleSheetLayoutView="100" workbookViewId="0">
      <selection activeCell="E7" sqref="E7:G7"/>
    </sheetView>
  </sheetViews>
  <sheetFormatPr baseColWidth="10" defaultColWidth="9.140625" defaultRowHeight="15"/>
  <cols>
    <col min="1" max="1" width="17" style="1108" customWidth="1"/>
    <col min="2" max="2" width="79" style="114" customWidth="1"/>
    <col min="3" max="3" width="10" style="1057" customWidth="1"/>
    <col min="4" max="4" width="11.140625" style="940" customWidth="1"/>
    <col min="5" max="5" width="15.140625" style="257" customWidth="1"/>
    <col min="6" max="6" width="17.42578125" style="257" customWidth="1"/>
    <col min="7" max="7" width="13.42578125" style="255" customWidth="1"/>
    <col min="8" max="8" width="16" style="255" bestFit="1" customWidth="1"/>
    <col min="9" max="9" width="15" style="262" bestFit="1" customWidth="1"/>
    <col min="10" max="10" width="16" style="255" bestFit="1" customWidth="1"/>
    <col min="11" max="11" width="9.140625" style="129"/>
    <col min="12" max="12" width="9.28515625" style="129" bestFit="1" customWidth="1"/>
    <col min="13" max="189" width="9.140625" style="129"/>
    <col min="190" max="16384" width="9.140625" style="142"/>
  </cols>
  <sheetData>
    <row r="1" spans="1:38" ht="20.25" thickBot="1">
      <c r="A1" s="1912" t="str">
        <f>+[4]BPU!F1</f>
        <v>DEVIS QUANTITATIF ET ESTIMATIF</v>
      </c>
      <c r="B1" s="1913"/>
      <c r="C1" s="1913"/>
      <c r="D1" s="1913"/>
      <c r="E1" s="1913"/>
      <c r="F1" s="1914"/>
      <c r="K1" s="255"/>
      <c r="L1" s="262"/>
      <c r="M1" s="255"/>
      <c r="N1" s="255"/>
      <c r="O1" s="262"/>
      <c r="P1" s="255"/>
      <c r="Q1" s="255"/>
      <c r="R1" s="262"/>
      <c r="S1" s="255"/>
      <c r="T1" s="255"/>
      <c r="U1" s="262"/>
    </row>
    <row r="2" spans="1:38" ht="25.5" thickBot="1">
      <c r="A2" s="1930" t="s">
        <v>726</v>
      </c>
      <c r="B2" s="1857"/>
      <c r="C2" s="1857"/>
      <c r="D2" s="1857"/>
      <c r="E2" s="1857"/>
      <c r="F2" s="1858"/>
      <c r="G2" s="471"/>
      <c r="K2" s="255"/>
      <c r="L2" s="262"/>
      <c r="M2" s="255"/>
      <c r="N2" s="255"/>
      <c r="O2" s="262"/>
      <c r="P2" s="255"/>
      <c r="Q2" s="255"/>
      <c r="R2" s="262"/>
      <c r="S2" s="255"/>
      <c r="T2" s="255"/>
      <c r="U2" s="262"/>
    </row>
    <row r="3" spans="1:38" s="129" customFormat="1" ht="15.75">
      <c r="A3" s="1327"/>
      <c r="B3" s="176"/>
      <c r="C3" s="1060"/>
      <c r="D3" s="1060"/>
      <c r="E3" s="1328" t="s">
        <v>727</v>
      </c>
      <c r="F3" s="1329">
        <f>ROUND(42*2^(0.5),0)+10*2</f>
        <v>79</v>
      </c>
      <c r="G3" s="255"/>
      <c r="H3" s="255"/>
      <c r="I3" s="262"/>
      <c r="J3" s="255"/>
      <c r="K3" s="255"/>
      <c r="L3" s="262"/>
      <c r="M3" s="255"/>
      <c r="N3" s="255"/>
      <c r="O3" s="262"/>
      <c r="P3" s="255"/>
      <c r="Q3" s="255"/>
      <c r="R3" s="262"/>
      <c r="S3" s="255"/>
      <c r="T3" s="255"/>
      <c r="U3" s="262"/>
    </row>
    <row r="4" spans="1:38" s="129" customFormat="1" ht="15.75">
      <c r="A4" s="1327"/>
      <c r="B4" s="176"/>
      <c r="C4" s="1060"/>
      <c r="D4" s="1061"/>
      <c r="E4" s="1061"/>
      <c r="F4" s="1062"/>
      <c r="G4" s="255"/>
      <c r="H4" s="255"/>
      <c r="I4" s="262"/>
      <c r="J4" s="255"/>
      <c r="K4" s="255">
        <f>877*25/10</f>
        <v>2192.5</v>
      </c>
      <c r="L4" s="262"/>
      <c r="M4" s="255" t="e">
        <f>SUM(#REF!)</f>
        <v>#REF!</v>
      </c>
      <c r="N4" s="255" t="e">
        <f>SUM(#REF!)</f>
        <v>#REF!</v>
      </c>
      <c r="O4" s="262"/>
      <c r="P4" s="255" t="e">
        <f>SUM(#REF!)</f>
        <v>#REF!</v>
      </c>
      <c r="Q4" s="255"/>
      <c r="R4" s="262"/>
      <c r="S4" s="255"/>
      <c r="T4" s="255"/>
      <c r="U4" s="262"/>
    </row>
    <row r="5" spans="1:38" s="495" customFormat="1" ht="24.95" customHeight="1">
      <c r="A5" s="1330" t="s">
        <v>661</v>
      </c>
      <c r="B5" s="1331" t="s">
        <v>584</v>
      </c>
      <c r="C5" s="1332" t="s">
        <v>98</v>
      </c>
      <c r="D5" s="1332" t="s">
        <v>99</v>
      </c>
      <c r="E5" s="1333" t="s">
        <v>100</v>
      </c>
      <c r="F5" s="1333" t="s">
        <v>114</v>
      </c>
      <c r="G5" s="493"/>
      <c r="H5" s="493"/>
      <c r="I5" s="494"/>
      <c r="J5" s="493"/>
      <c r="K5" s="493"/>
      <c r="L5" s="494"/>
      <c r="M5" s="493" t="e">
        <f>+M4+10*20*20</f>
        <v>#REF!</v>
      </c>
      <c r="N5" s="493" t="e">
        <f>+N4</f>
        <v>#REF!</v>
      </c>
      <c r="O5" s="494"/>
      <c r="P5" s="493"/>
      <c r="Q5" s="493"/>
      <c r="R5" s="494"/>
      <c r="S5" s="493"/>
      <c r="T5" s="493"/>
      <c r="U5" s="494"/>
    </row>
    <row r="6" spans="1:38" s="495" customFormat="1" ht="24.95" customHeight="1">
      <c r="A6" s="1334" t="str">
        <f>+[4]BPU!A8</f>
        <v>PRIX 000 - INSTALLATIONS DE CHANTIER</v>
      </c>
      <c r="B6" s="1335"/>
      <c r="C6" s="1333"/>
      <c r="D6" s="1333"/>
      <c r="E6" s="1333"/>
      <c r="F6" s="1333"/>
      <c r="G6" s="493"/>
      <c r="H6" s="493"/>
      <c r="I6" s="494"/>
      <c r="J6" s="493"/>
      <c r="K6" s="493"/>
      <c r="L6" s="494"/>
      <c r="M6" s="493"/>
      <c r="N6" s="493"/>
      <c r="O6" s="494"/>
      <c r="P6" s="493"/>
      <c r="Q6" s="493"/>
      <c r="R6" s="494"/>
      <c r="S6" s="493"/>
      <c r="T6" s="493"/>
      <c r="U6" s="494"/>
    </row>
    <row r="7" spans="1:38" s="1257" customFormat="1" ht="38.25" hidden="1">
      <c r="A7" s="1336" t="str">
        <f>+[4]BPU!A9</f>
        <v>001</v>
      </c>
      <c r="B7" s="1337" t="str">
        <f>+[4]BPU!B9</f>
        <v>Prix 001 - Installation de chantier, travaux topographiques, études techniques et élaboration du projet d'exécution, installation de sécurité, repli et nettoyage en fin de chantier</v>
      </c>
      <c r="C7" s="1338"/>
      <c r="D7" s="1338"/>
      <c r="E7" s="1339"/>
      <c r="F7" s="1338"/>
      <c r="G7" s="1254"/>
      <c r="H7" s="1255" t="e">
        <f>8%*F120</f>
        <v>#REF!</v>
      </c>
      <c r="I7" s="1256">
        <v>1</v>
      </c>
      <c r="J7" s="1254" t="e">
        <f>H7*I7</f>
        <v>#REF!</v>
      </c>
      <c r="K7" s="1254"/>
      <c r="L7" s="1256"/>
      <c r="M7" s="1254"/>
      <c r="N7" s="1254"/>
      <c r="O7" s="1256"/>
      <c r="P7" s="1254"/>
      <c r="Q7" s="1254"/>
      <c r="R7" s="1256"/>
      <c r="S7" s="1254"/>
      <c r="T7" s="1254"/>
      <c r="U7" s="1256"/>
    </row>
    <row r="8" spans="1:38" s="1257" customFormat="1" hidden="1">
      <c r="A8" s="1340"/>
      <c r="B8" s="1341"/>
      <c r="C8" s="1342" t="str">
        <f>[4]BPU!C10</f>
        <v>FF</v>
      </c>
      <c r="D8" s="1342"/>
      <c r="E8" s="1338"/>
      <c r="F8" s="1338">
        <f>+D8*E8</f>
        <v>0</v>
      </c>
      <c r="G8" s="1254"/>
      <c r="H8" s="1254"/>
      <c r="I8" s="1256"/>
      <c r="J8" s="1254"/>
    </row>
    <row r="9" spans="1:38" s="1257" customFormat="1">
      <c r="A9" s="1340" t="str">
        <f>+M_traverséé!A5</f>
        <v>002</v>
      </c>
      <c r="B9" s="1341" t="str">
        <f>+M_traverséé!B5</f>
        <v>Prix 002 – Travaux topographiques  et élaboration du dossier d'exécution</v>
      </c>
      <c r="C9" s="1342"/>
      <c r="D9" s="1342"/>
      <c r="E9" s="1338"/>
      <c r="F9" s="1338"/>
      <c r="G9" s="1254"/>
      <c r="H9" s="1254"/>
      <c r="I9" s="1256"/>
      <c r="J9" s="1254"/>
    </row>
    <row r="10" spans="1:38" s="1257" customFormat="1">
      <c r="A10" s="1340"/>
      <c r="B10" s="1341"/>
      <c r="C10" s="1342" t="s">
        <v>205</v>
      </c>
      <c r="D10" s="1342">
        <v>2500</v>
      </c>
      <c r="E10" s="1338" t="e">
        <f>+M_traverséé!E6</f>
        <v>#REF!</v>
      </c>
      <c r="F10" s="1338" t="e">
        <f>+D10*E10</f>
        <v>#REF!</v>
      </c>
      <c r="G10" s="1254"/>
      <c r="H10" s="1254"/>
      <c r="I10" s="1256"/>
      <c r="J10" s="1254"/>
    </row>
    <row r="11" spans="1:38" s="1257" customFormat="1" hidden="1">
      <c r="A11" s="1336" t="str">
        <f>+[4]BPU!A13</f>
        <v>003</v>
      </c>
      <c r="B11" s="1343" t="str">
        <f>+[4]BPU!B13</f>
        <v>Prix 003 – Aménagement de déviation</v>
      </c>
      <c r="C11" s="1342"/>
      <c r="D11" s="1342"/>
      <c r="E11" s="1338"/>
      <c r="F11" s="1338"/>
      <c r="G11" s="1254"/>
      <c r="H11" s="1254">
        <f>F4</f>
        <v>0</v>
      </c>
      <c r="I11" s="1256">
        <v>1.1000000000000001</v>
      </c>
      <c r="J11" s="1254">
        <f>H11*I11</f>
        <v>0</v>
      </c>
    </row>
    <row r="12" spans="1:38" s="1257" customFormat="1" hidden="1">
      <c r="A12" s="1344"/>
      <c r="B12" s="1345"/>
      <c r="C12" s="1342" t="str">
        <f>[4]BPU!C14</f>
        <v>FF</v>
      </c>
      <c r="D12" s="1342"/>
      <c r="E12" s="1338"/>
      <c r="F12" s="1338"/>
      <c r="G12" s="1254">
        <v>0.08</v>
      </c>
      <c r="H12" s="1254" t="e">
        <f>+H7*G12</f>
        <v>#REF!</v>
      </c>
      <c r="I12" s="1256"/>
      <c r="J12" s="1254"/>
    </row>
    <row r="13" spans="1:38" s="1257" customFormat="1">
      <c r="A13" s="1346"/>
      <c r="B13" s="1347"/>
      <c r="C13" s="1348"/>
      <c r="D13" s="1348"/>
      <c r="E13" s="1349" t="s">
        <v>108</v>
      </c>
      <c r="F13" s="1350" t="e">
        <f>SUM(F8:F12)</f>
        <v>#REF!</v>
      </c>
      <c r="G13" s="1254"/>
      <c r="H13" s="1254"/>
      <c r="I13" s="1256"/>
      <c r="J13" s="1254"/>
    </row>
    <row r="14" spans="1:38" s="129" customFormat="1" ht="17.25" customHeight="1">
      <c r="A14" s="1334" t="str">
        <f>+[4]BPU!A16</f>
        <v>PRIX 100 - DEPLACEMENT OU MODIFICATION DE RESEAUX</v>
      </c>
      <c r="B14" s="1351"/>
      <c r="C14" s="1333"/>
      <c r="D14" s="1333"/>
      <c r="E14" s="1333"/>
      <c r="F14" s="1333"/>
      <c r="G14" s="255"/>
      <c r="H14" s="255"/>
      <c r="I14" s="262"/>
      <c r="J14" s="255"/>
      <c r="N14" s="129">
        <f>1.7*3</f>
        <v>5.0999999999999996</v>
      </c>
      <c r="AL14" s="129">
        <v>250</v>
      </c>
    </row>
    <row r="15" spans="1:38" s="495" customFormat="1">
      <c r="A15" s="1336" t="str">
        <f>+[4]BPU!A17</f>
        <v>101</v>
      </c>
      <c r="B15" s="1343" t="str">
        <f>+[4]BPU!B17</f>
        <v>Prix 101 –Réseaux d'eau potable</v>
      </c>
      <c r="C15" s="1352"/>
      <c r="D15" s="1352"/>
      <c r="E15" s="1338"/>
      <c r="F15" s="1338"/>
      <c r="G15" s="493"/>
      <c r="H15" s="493"/>
      <c r="I15" s="494"/>
      <c r="J15" s="493"/>
    </row>
    <row r="16" spans="1:38" s="495" customFormat="1">
      <c r="A16" s="1344"/>
      <c r="B16" s="1345"/>
      <c r="C16" s="1352" t="str">
        <f>[4]BPU!C17</f>
        <v>Provision</v>
      </c>
      <c r="D16" s="1352"/>
      <c r="E16" s="1338"/>
      <c r="F16" s="1338"/>
      <c r="G16" s="493">
        <f>+'[4]Devis SONEB-OPT'!B6</f>
        <v>399599233</v>
      </c>
      <c r="H16" s="493" t="e">
        <f>+#REF!</f>
        <v>#REF!</v>
      </c>
      <c r="I16" s="494">
        <v>0.02</v>
      </c>
      <c r="J16" s="493"/>
    </row>
    <row r="17" spans="1:189" s="495" customFormat="1">
      <c r="A17" s="1336">
        <f>+[4]BPU!A19</f>
        <v>102</v>
      </c>
      <c r="B17" s="1343" t="str">
        <f>+[4]BPU!B19</f>
        <v>Prix 102 – réseau électrique Conventionnel (SBEE)</v>
      </c>
      <c r="C17" s="1352"/>
      <c r="D17" s="1352"/>
      <c r="E17" s="1338"/>
      <c r="F17" s="1338"/>
      <c r="G17" s="493"/>
      <c r="H17" s="493"/>
      <c r="I17" s="494"/>
      <c r="J17" s="493"/>
    </row>
    <row r="18" spans="1:189" s="495" customFormat="1">
      <c r="A18" s="1344"/>
      <c r="B18" s="1345"/>
      <c r="C18" s="1352" t="str">
        <f>[4]BPU!C19</f>
        <v>Provision</v>
      </c>
      <c r="D18" s="1352"/>
      <c r="E18" s="1338"/>
      <c r="F18" s="1338"/>
      <c r="G18" s="493" t="e">
        <f>+H18*I18</f>
        <v>#REF!</v>
      </c>
      <c r="H18" s="493" t="e">
        <f>+H16</f>
        <v>#REF!</v>
      </c>
      <c r="I18" s="494">
        <v>0.02</v>
      </c>
      <c r="J18" s="493"/>
    </row>
    <row r="19" spans="1:189" s="495" customFormat="1">
      <c r="A19" s="1336">
        <f>+[4]BPU!A25</f>
        <v>103</v>
      </c>
      <c r="B19" s="1343" t="str">
        <f>+[4]BPU!B25</f>
        <v>Prix 103 – réseau téléphonique et de fibre optique</v>
      </c>
      <c r="C19" s="1352"/>
      <c r="D19" s="1352"/>
      <c r="E19" s="1338"/>
      <c r="F19" s="1338"/>
      <c r="G19" s="493"/>
      <c r="H19" s="493"/>
      <c r="I19" s="494"/>
      <c r="J19" s="493"/>
    </row>
    <row r="20" spans="1:189" s="495" customFormat="1">
      <c r="A20" s="1344"/>
      <c r="B20" s="1345"/>
      <c r="C20" s="1352" t="str">
        <f>[4]BPU!C25</f>
        <v>Provision</v>
      </c>
      <c r="D20" s="1352"/>
      <c r="E20" s="1338"/>
      <c r="F20" s="1338"/>
      <c r="G20" s="493">
        <f>+'[4]Devis SONEB-OPT'!C6</f>
        <v>69695135</v>
      </c>
      <c r="H20" s="493"/>
      <c r="I20" s="494"/>
      <c r="J20" s="493"/>
    </row>
    <row r="21" spans="1:189" s="495" customFormat="1">
      <c r="A21" s="1336">
        <f>+[4]BPU!A30</f>
        <v>104</v>
      </c>
      <c r="B21" s="1343" t="str">
        <f>+[4]BPU!B30</f>
        <v>Prix 104 – Chemin de fer</v>
      </c>
      <c r="C21" s="1352"/>
      <c r="D21" s="1352"/>
      <c r="E21" s="1338"/>
      <c r="F21" s="1338"/>
      <c r="G21" s="493"/>
      <c r="I21" s="494"/>
      <c r="J21" s="493"/>
    </row>
    <row r="22" spans="1:189" s="495" customFormat="1">
      <c r="A22" s="1344"/>
      <c r="B22" s="1345"/>
      <c r="C22" s="1352" t="str">
        <f>[4]BPU!C30</f>
        <v>Provision</v>
      </c>
      <c r="D22" s="1352"/>
      <c r="E22" s="1338"/>
      <c r="F22" s="1338"/>
      <c r="G22" s="493"/>
      <c r="H22" s="493"/>
      <c r="I22" s="494"/>
      <c r="J22" s="493"/>
    </row>
    <row r="23" spans="1:189" s="495" customFormat="1" hidden="1">
      <c r="A23" s="1336">
        <f>+[4]BPU!A33</f>
        <v>105</v>
      </c>
      <c r="B23" s="1337" t="str">
        <f>+[4]BPU!B33</f>
        <v>Prix 105 – pourcentage appliqué au déplacement de réseau (Poste 101 à 104)</v>
      </c>
      <c r="C23" s="1352"/>
      <c r="D23" s="1352"/>
      <c r="E23" s="1338"/>
      <c r="F23" s="1338"/>
      <c r="G23" s="493"/>
      <c r="H23" s="493"/>
      <c r="I23" s="494"/>
      <c r="J23" s="493"/>
    </row>
    <row r="24" spans="1:189" s="495" customFormat="1" hidden="1">
      <c r="A24" s="1344"/>
      <c r="B24" s="1345"/>
      <c r="C24" s="1352" t="str">
        <f>[4]BPU!C34</f>
        <v>Provision</v>
      </c>
      <c r="D24" s="1352"/>
      <c r="E24" s="1338"/>
      <c r="F24" s="1338"/>
      <c r="G24" s="493">
        <v>0.2</v>
      </c>
      <c r="H24" s="493"/>
      <c r="I24" s="494"/>
      <c r="J24" s="493"/>
    </row>
    <row r="25" spans="1:189" s="495" customFormat="1" hidden="1">
      <c r="A25" s="1336">
        <f>+[4]BPU!A37</f>
        <v>107</v>
      </c>
      <c r="B25" s="1343" t="str">
        <f>+[4]BPU!B37</f>
        <v>Prix 107- Déplacement de lampadaire solaire</v>
      </c>
      <c r="C25" s="1352"/>
      <c r="D25" s="1352"/>
      <c r="E25" s="1338"/>
      <c r="F25" s="1338"/>
      <c r="G25" s="493"/>
      <c r="H25" s="493"/>
      <c r="I25" s="494"/>
      <c r="J25" s="493"/>
    </row>
    <row r="26" spans="1:189" s="495" customFormat="1" hidden="1">
      <c r="A26" s="1344"/>
      <c r="B26" s="1345"/>
      <c r="C26" s="1352" t="str">
        <f>[4]BPU!C38</f>
        <v>U</v>
      </c>
      <c r="D26" s="1352">
        <v>0</v>
      </c>
      <c r="E26" s="1338">
        <f>+[4]BPU!D38</f>
        <v>375000</v>
      </c>
      <c r="F26" s="1338"/>
      <c r="G26" s="493"/>
      <c r="H26" s="493"/>
      <c r="I26" s="494"/>
      <c r="J26" s="493"/>
    </row>
    <row r="27" spans="1:189" s="456" customFormat="1">
      <c r="A27" s="1353"/>
      <c r="B27" s="1354"/>
      <c r="C27" s="1355"/>
      <c r="D27" s="1356"/>
      <c r="E27" s="1349" t="s">
        <v>106</v>
      </c>
      <c r="F27" s="1350">
        <f>SUM(F16:F26)</f>
        <v>0</v>
      </c>
      <c r="G27" s="493"/>
      <c r="H27" s="493"/>
      <c r="I27" s="494"/>
      <c r="J27" s="493"/>
      <c r="K27" s="495"/>
      <c r="L27" s="495"/>
      <c r="M27" s="495"/>
      <c r="N27" s="495"/>
      <c r="O27" s="495"/>
      <c r="P27" s="495"/>
      <c r="Q27" s="495"/>
      <c r="R27" s="495"/>
      <c r="S27" s="495"/>
      <c r="T27" s="495"/>
      <c r="U27" s="495"/>
      <c r="V27" s="495"/>
      <c r="W27" s="495"/>
      <c r="X27" s="495"/>
      <c r="Y27" s="495"/>
      <c r="Z27" s="495"/>
      <c r="AA27" s="495"/>
      <c r="AB27" s="495"/>
      <c r="AC27" s="495"/>
      <c r="AD27" s="495"/>
      <c r="AE27" s="495"/>
      <c r="AF27" s="495"/>
      <c r="AG27" s="495"/>
      <c r="AH27" s="495"/>
      <c r="AI27" s="495"/>
      <c r="AJ27" s="495"/>
      <c r="AK27" s="495"/>
      <c r="AL27" s="495"/>
      <c r="AM27" s="495"/>
      <c r="AN27" s="495"/>
      <c r="AO27" s="495"/>
      <c r="AP27" s="495"/>
      <c r="AQ27" s="495"/>
      <c r="AR27" s="495"/>
      <c r="AS27" s="495"/>
      <c r="AT27" s="495"/>
      <c r="AU27" s="495"/>
      <c r="AV27" s="495"/>
      <c r="AW27" s="495"/>
      <c r="AX27" s="495"/>
      <c r="AY27" s="495"/>
      <c r="AZ27" s="495"/>
      <c r="BA27" s="495"/>
      <c r="BB27" s="495"/>
      <c r="BC27" s="495"/>
      <c r="BD27" s="495"/>
      <c r="BE27" s="495"/>
      <c r="BF27" s="495"/>
      <c r="BG27" s="495"/>
      <c r="BH27" s="495"/>
      <c r="BI27" s="495"/>
      <c r="BJ27" s="495"/>
      <c r="BK27" s="495"/>
      <c r="BL27" s="495"/>
      <c r="BM27" s="495"/>
      <c r="BN27" s="495"/>
      <c r="BO27" s="495"/>
      <c r="BP27" s="495"/>
      <c r="BQ27" s="495"/>
      <c r="BR27" s="495"/>
      <c r="BS27" s="495"/>
      <c r="BT27" s="495"/>
      <c r="BU27" s="495"/>
      <c r="BV27" s="495"/>
      <c r="BW27" s="495"/>
      <c r="BX27" s="495"/>
      <c r="BY27" s="495"/>
      <c r="BZ27" s="495"/>
      <c r="CA27" s="495"/>
      <c r="CB27" s="495"/>
      <c r="CC27" s="495"/>
      <c r="CD27" s="495"/>
      <c r="CE27" s="495"/>
      <c r="CF27" s="495"/>
      <c r="CG27" s="495"/>
      <c r="CH27" s="495"/>
      <c r="CI27" s="495"/>
      <c r="CJ27" s="495"/>
      <c r="CK27" s="495"/>
      <c r="CL27" s="495"/>
      <c r="CM27" s="495"/>
      <c r="CN27" s="495"/>
      <c r="CO27" s="495"/>
      <c r="CP27" s="495"/>
      <c r="CQ27" s="495"/>
      <c r="CR27" s="495"/>
      <c r="CS27" s="495"/>
      <c r="CT27" s="495"/>
      <c r="CU27" s="495"/>
      <c r="CV27" s="495"/>
      <c r="CW27" s="495"/>
      <c r="CX27" s="495"/>
      <c r="CY27" s="495"/>
      <c r="CZ27" s="495"/>
      <c r="DA27" s="495"/>
      <c r="DB27" s="495"/>
      <c r="DC27" s="495"/>
      <c r="DD27" s="495"/>
      <c r="DE27" s="495"/>
      <c r="DF27" s="495"/>
      <c r="DG27" s="495"/>
      <c r="DH27" s="495"/>
      <c r="DI27" s="495"/>
      <c r="DJ27" s="495"/>
      <c r="DK27" s="495"/>
      <c r="DL27" s="495"/>
      <c r="DM27" s="495"/>
      <c r="DN27" s="495"/>
      <c r="DO27" s="495"/>
      <c r="DP27" s="495"/>
      <c r="DQ27" s="495"/>
      <c r="DR27" s="495"/>
      <c r="DS27" s="495"/>
      <c r="DT27" s="495"/>
      <c r="DU27" s="495"/>
      <c r="DV27" s="495"/>
      <c r="DW27" s="495"/>
      <c r="DX27" s="495"/>
      <c r="DY27" s="495"/>
      <c r="DZ27" s="495"/>
      <c r="EA27" s="495"/>
      <c r="EB27" s="495"/>
      <c r="EC27" s="495"/>
      <c r="ED27" s="495"/>
      <c r="EE27" s="495"/>
      <c r="EF27" s="495"/>
      <c r="EG27" s="495"/>
      <c r="EH27" s="495"/>
      <c r="EI27" s="495"/>
      <c r="EJ27" s="495"/>
      <c r="EK27" s="495"/>
      <c r="EL27" s="495"/>
      <c r="EM27" s="495"/>
      <c r="EN27" s="495"/>
      <c r="EO27" s="495"/>
      <c r="EP27" s="495"/>
      <c r="EQ27" s="495"/>
      <c r="ER27" s="495"/>
      <c r="ES27" s="495"/>
      <c r="ET27" s="495"/>
      <c r="EU27" s="495"/>
      <c r="EV27" s="495"/>
      <c r="EW27" s="495"/>
      <c r="EX27" s="495"/>
      <c r="EY27" s="495"/>
      <c r="EZ27" s="495"/>
      <c r="FA27" s="495"/>
      <c r="FB27" s="495"/>
      <c r="FC27" s="495"/>
      <c r="FD27" s="495"/>
      <c r="FE27" s="495"/>
      <c r="FF27" s="495"/>
      <c r="FG27" s="495"/>
      <c r="FH27" s="495"/>
      <c r="FI27" s="495"/>
      <c r="FJ27" s="495"/>
      <c r="FK27" s="495"/>
      <c r="FL27" s="495"/>
      <c r="FM27" s="495"/>
      <c r="FN27" s="495"/>
      <c r="FO27" s="495"/>
      <c r="FP27" s="495"/>
      <c r="FQ27" s="495"/>
      <c r="FR27" s="495"/>
      <c r="FS27" s="495"/>
      <c r="FT27" s="495"/>
      <c r="FU27" s="495"/>
      <c r="FV27" s="495"/>
      <c r="FW27" s="495"/>
      <c r="FX27" s="495"/>
      <c r="FY27" s="495"/>
      <c r="FZ27" s="495"/>
      <c r="GA27" s="495"/>
      <c r="GB27" s="495"/>
      <c r="GC27" s="495"/>
      <c r="GD27" s="495"/>
      <c r="GE27" s="495"/>
      <c r="GF27" s="495"/>
      <c r="GG27" s="495"/>
    </row>
    <row r="28" spans="1:189" s="114" customFormat="1" ht="24.95" customHeight="1">
      <c r="A28" s="1084"/>
      <c r="B28" s="1357"/>
      <c r="C28" s="1355"/>
      <c r="D28" s="1356"/>
      <c r="E28" s="1349" t="s">
        <v>107</v>
      </c>
      <c r="F28" s="1350" t="e">
        <f>+F13+F27</f>
        <v>#REF!</v>
      </c>
      <c r="G28" s="255"/>
      <c r="H28" s="255"/>
      <c r="I28" s="262"/>
      <c r="J28" s="255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29"/>
      <c r="W28" s="129"/>
      <c r="X28" s="129"/>
      <c r="Y28" s="129"/>
      <c r="Z28" s="129"/>
      <c r="AA28" s="129"/>
      <c r="AB28" s="129"/>
      <c r="AC28" s="129"/>
      <c r="AD28" s="129"/>
      <c r="AE28" s="129"/>
      <c r="AF28" s="129"/>
      <c r="AG28" s="129"/>
      <c r="AH28" s="129"/>
      <c r="AI28" s="129"/>
      <c r="AJ28" s="129"/>
      <c r="AK28" s="129"/>
      <c r="AL28" s="129"/>
      <c r="AM28" s="129"/>
      <c r="AN28" s="129"/>
      <c r="AO28" s="129"/>
      <c r="AP28" s="129"/>
      <c r="AQ28" s="129"/>
      <c r="AR28" s="129"/>
      <c r="AS28" s="129"/>
      <c r="AT28" s="129"/>
      <c r="AU28" s="129"/>
      <c r="AV28" s="129"/>
      <c r="AW28" s="129"/>
      <c r="AX28" s="129"/>
      <c r="AY28" s="129"/>
      <c r="AZ28" s="129"/>
      <c r="BA28" s="129"/>
      <c r="BB28" s="129"/>
      <c r="BC28" s="129"/>
      <c r="BD28" s="129"/>
      <c r="BE28" s="129"/>
      <c r="BF28" s="129"/>
      <c r="BG28" s="129"/>
      <c r="BH28" s="129"/>
      <c r="BI28" s="129"/>
      <c r="BJ28" s="129"/>
      <c r="BK28" s="129"/>
      <c r="BL28" s="129"/>
      <c r="BM28" s="129"/>
      <c r="BN28" s="129"/>
      <c r="BO28" s="129"/>
      <c r="BP28" s="129"/>
      <c r="BQ28" s="129"/>
      <c r="BR28" s="129"/>
      <c r="BS28" s="129"/>
      <c r="BT28" s="129"/>
      <c r="BU28" s="129"/>
      <c r="BV28" s="129"/>
      <c r="BW28" s="129"/>
      <c r="BX28" s="129"/>
      <c r="BY28" s="129"/>
      <c r="BZ28" s="129"/>
      <c r="CA28" s="129"/>
      <c r="CB28" s="129"/>
      <c r="CC28" s="129"/>
      <c r="CD28" s="129"/>
      <c r="CE28" s="129"/>
      <c r="CF28" s="129"/>
      <c r="CG28" s="129"/>
      <c r="CH28" s="129"/>
      <c r="CI28" s="129"/>
      <c r="CJ28" s="129"/>
      <c r="CK28" s="129"/>
      <c r="CL28" s="129"/>
      <c r="CM28" s="129"/>
      <c r="CN28" s="129"/>
      <c r="CO28" s="129"/>
      <c r="CP28" s="129"/>
      <c r="CQ28" s="129"/>
      <c r="CR28" s="129"/>
      <c r="CS28" s="129"/>
      <c r="CT28" s="129"/>
      <c r="CU28" s="129"/>
      <c r="CV28" s="129"/>
      <c r="CW28" s="129"/>
      <c r="CX28" s="129"/>
      <c r="CY28" s="129"/>
      <c r="CZ28" s="129"/>
      <c r="DA28" s="129"/>
      <c r="DB28" s="129"/>
      <c r="DC28" s="129"/>
      <c r="DD28" s="129"/>
      <c r="DE28" s="129"/>
      <c r="DF28" s="129"/>
      <c r="DG28" s="129"/>
      <c r="DH28" s="129"/>
      <c r="DI28" s="129"/>
      <c r="DJ28" s="129"/>
      <c r="DK28" s="129"/>
      <c r="DL28" s="129"/>
      <c r="DM28" s="129"/>
      <c r="DN28" s="129"/>
      <c r="DO28" s="129"/>
      <c r="DP28" s="129"/>
      <c r="DQ28" s="129"/>
      <c r="DR28" s="129"/>
      <c r="DS28" s="129"/>
      <c r="DT28" s="129"/>
      <c r="DU28" s="129"/>
      <c r="DV28" s="129"/>
      <c r="DW28" s="129"/>
      <c r="DX28" s="129"/>
      <c r="DY28" s="129"/>
      <c r="DZ28" s="129"/>
      <c r="EA28" s="129"/>
      <c r="EB28" s="129"/>
      <c r="EC28" s="129"/>
      <c r="ED28" s="129"/>
      <c r="EE28" s="129"/>
      <c r="EF28" s="129"/>
      <c r="EG28" s="129"/>
      <c r="EH28" s="129"/>
      <c r="EI28" s="129"/>
      <c r="EJ28" s="129"/>
      <c r="EK28" s="129"/>
      <c r="EL28" s="129"/>
      <c r="EM28" s="129"/>
      <c r="EN28" s="129"/>
      <c r="EO28" s="129"/>
      <c r="EP28" s="129"/>
      <c r="EQ28" s="129"/>
      <c r="ER28" s="129"/>
      <c r="ES28" s="129"/>
      <c r="ET28" s="129"/>
      <c r="EU28" s="129"/>
      <c r="EV28" s="129"/>
      <c r="EW28" s="129"/>
      <c r="EX28" s="129"/>
      <c r="EY28" s="129"/>
      <c r="EZ28" s="129"/>
      <c r="FA28" s="129"/>
      <c r="FB28" s="129"/>
      <c r="FC28" s="129"/>
      <c r="FD28" s="129"/>
      <c r="FE28" s="129"/>
      <c r="FF28" s="129"/>
      <c r="FG28" s="129"/>
      <c r="FH28" s="129"/>
      <c r="FI28" s="129"/>
      <c r="FJ28" s="129"/>
      <c r="FK28" s="129"/>
      <c r="FL28" s="129"/>
      <c r="FM28" s="129"/>
      <c r="FN28" s="129"/>
      <c r="FO28" s="129"/>
      <c r="FP28" s="129"/>
      <c r="FQ28" s="129"/>
      <c r="FR28" s="129"/>
      <c r="FS28" s="129"/>
      <c r="FT28" s="129"/>
      <c r="FU28" s="129"/>
      <c r="FV28" s="129"/>
      <c r="FW28" s="129"/>
      <c r="FX28" s="129"/>
      <c r="FY28" s="129"/>
      <c r="FZ28" s="129"/>
      <c r="GA28" s="129"/>
      <c r="GB28" s="129"/>
      <c r="GC28" s="129"/>
      <c r="GD28" s="129"/>
      <c r="GE28" s="129"/>
      <c r="GF28" s="129"/>
      <c r="GG28" s="129"/>
    </row>
    <row r="29" spans="1:189" ht="24.95" customHeight="1">
      <c r="A29" s="1334" t="str">
        <f>+[4]BPU!A46</f>
        <v xml:space="preserve">PRIX 200 - DEGAGEMENT DES EMPRISES </v>
      </c>
      <c r="B29" s="1358"/>
      <c r="C29" s="1333"/>
      <c r="D29" s="1333"/>
      <c r="E29" s="1333"/>
      <c r="F29" s="1333"/>
    </row>
    <row r="30" spans="1:189" hidden="1">
      <c r="A30" s="1336" t="str">
        <f>+[4]BPU!A47</f>
        <v>201</v>
      </c>
      <c r="B30" s="1343" t="str">
        <f>+[4]BPU!B47</f>
        <v xml:space="preserve">Prix 201 - Nettoyage du site </v>
      </c>
      <c r="C30" s="1359"/>
      <c r="D30" s="1342"/>
      <c r="E30" s="1338"/>
      <c r="F30" s="1338"/>
    </row>
    <row r="31" spans="1:189" hidden="1">
      <c r="A31" s="1344"/>
      <c r="B31" s="1345"/>
      <c r="C31" s="1360" t="str">
        <f>[4]BPU!C48</f>
        <v>FF</v>
      </c>
      <c r="D31" s="1361"/>
      <c r="E31" s="1338">
        <v>15672373</v>
      </c>
      <c r="F31" s="1338">
        <f>+D31*E31</f>
        <v>0</v>
      </c>
    </row>
    <row r="32" spans="1:189" hidden="1">
      <c r="A32" s="1336" t="str">
        <f>+[4]BPU!A49</f>
        <v>202</v>
      </c>
      <c r="B32" s="1343" t="str">
        <f>+[4]BPU!B49</f>
        <v xml:space="preserve">Prix 202 - Débroussaillage – décapage - dessouchage - nettoyage </v>
      </c>
      <c r="C32" s="1360"/>
      <c r="D32" s="1361"/>
      <c r="E32" s="1338"/>
      <c r="F32" s="1338"/>
    </row>
    <row r="33" spans="1:10" hidden="1">
      <c r="A33" s="1344" t="str">
        <f>+[4]BPU!A50</f>
        <v>202-1</v>
      </c>
      <c r="B33" s="1345" t="str">
        <f>+[4]BPU!B50</f>
        <v>Débroussaillage – décapage - dessouchage - nettoyage sur terre ferme</v>
      </c>
      <c r="C33" s="1360" t="str">
        <f>[4]BPU!C50</f>
        <v>m2</v>
      </c>
      <c r="D33" s="1361"/>
      <c r="E33" s="1338">
        <f>[4]BPU!D50</f>
        <v>469</v>
      </c>
      <c r="F33" s="1338">
        <f>+D33*E33</f>
        <v>0</v>
      </c>
      <c r="H33" s="255" t="e">
        <f>+(#REF!+#REF!)*20*1.3</f>
        <v>#REF!</v>
      </c>
      <c r="I33" s="262">
        <v>1.05</v>
      </c>
      <c r="J33" s="255" t="e">
        <f>H33*I33</f>
        <v>#REF!</v>
      </c>
    </row>
    <row r="34" spans="1:10" hidden="1">
      <c r="A34" s="1336">
        <f>+[4]BPU!A52</f>
        <v>203</v>
      </c>
      <c r="B34" s="1343" t="str">
        <f>+[4]BPU!B52</f>
        <v xml:space="preserve">Prix 203 -Abattage d'arbres </v>
      </c>
      <c r="C34" s="1360"/>
      <c r="D34" s="1361"/>
      <c r="E34" s="1338"/>
      <c r="F34" s="1338"/>
    </row>
    <row r="35" spans="1:10" hidden="1">
      <c r="A35" s="1344"/>
      <c r="B35" s="1345"/>
      <c r="C35" s="1360" t="str">
        <f>[4]BPU!C53</f>
        <v>U</v>
      </c>
      <c r="D35" s="1361"/>
      <c r="E35" s="1338">
        <f>[4]BPU!D53</f>
        <v>138000</v>
      </c>
      <c r="F35" s="1338">
        <f>+D35*E35</f>
        <v>0</v>
      </c>
      <c r="H35" s="255">
        <v>30</v>
      </c>
      <c r="I35" s="262">
        <v>1.05</v>
      </c>
      <c r="J35" s="255">
        <f>H35*I35</f>
        <v>31.5</v>
      </c>
    </row>
    <row r="36" spans="1:10" hidden="1">
      <c r="A36" s="1336" t="str">
        <f>+[4]BPU!A54</f>
        <v>204</v>
      </c>
      <c r="B36" s="1343" t="str">
        <f>+[4]BPU!B54</f>
        <v>Prix 204 - Démolition d'ouvrages ou de parties d'ouvrages</v>
      </c>
      <c r="C36" s="1362"/>
      <c r="D36" s="1348"/>
      <c r="E36" s="1338"/>
      <c r="F36" s="1338"/>
    </row>
    <row r="37" spans="1:10" hidden="1">
      <c r="A37" s="1344" t="str">
        <f>+[4]BPU!A55</f>
        <v>204-1</v>
      </c>
      <c r="B37" s="1345" t="str">
        <f>+[4]BPU!B55</f>
        <v>ouvrages en béton armé</v>
      </c>
      <c r="C37" s="1360" t="str">
        <f>[4]BPU!C55</f>
        <v>FF</v>
      </c>
      <c r="D37" s="1363"/>
      <c r="E37" s="1338">
        <v>30405375</v>
      </c>
      <c r="F37" s="1338">
        <f>+D37*E37</f>
        <v>0</v>
      </c>
      <c r="H37" s="262">
        <f>F4/1000</f>
        <v>0</v>
      </c>
      <c r="I37" s="262">
        <f t="shared" ref="I37:I43" si="0">1.05</f>
        <v>1.05</v>
      </c>
      <c r="J37" s="262">
        <f t="shared" ref="J37:J43" si="1">H37*I37</f>
        <v>0</v>
      </c>
    </row>
    <row r="38" spans="1:10" hidden="1">
      <c r="A38" s="1344" t="str">
        <f>+[4]BPU!A56</f>
        <v>204-2</v>
      </c>
      <c r="B38" s="1345" t="str">
        <f>+[4]BPU!B56</f>
        <v>ouvrages en béton non armé</v>
      </c>
      <c r="C38" s="1360" t="str">
        <f>[4]BPU!C56</f>
        <v>FF</v>
      </c>
      <c r="D38" s="1363"/>
      <c r="E38" s="1338">
        <v>24324300</v>
      </c>
      <c r="F38" s="1338">
        <f>+D38*E38</f>
        <v>0</v>
      </c>
      <c r="H38" s="262">
        <f>H37</f>
        <v>0</v>
      </c>
      <c r="I38" s="262">
        <f t="shared" si="0"/>
        <v>1.05</v>
      </c>
      <c r="J38" s="262">
        <f t="shared" si="1"/>
        <v>0</v>
      </c>
    </row>
    <row r="39" spans="1:10" s="129" customFormat="1" hidden="1">
      <c r="A39" s="1344" t="str">
        <f>+[4]BPU!A57</f>
        <v>204-3</v>
      </c>
      <c r="B39" s="1345" t="str">
        <f>+[4]BPU!B57</f>
        <v>ouvrages d'assainissement</v>
      </c>
      <c r="C39" s="1360" t="str">
        <f>[4]BPU!C57</f>
        <v>ml</v>
      </c>
      <c r="D39" s="1361"/>
      <c r="E39" s="1338">
        <f>[4]BPU!D57</f>
        <v>17514</v>
      </c>
      <c r="F39" s="1338">
        <f>+D39*E39</f>
        <v>0</v>
      </c>
      <c r="G39" s="255"/>
      <c r="H39" s="262">
        <f>20%*F4 +(1225-530)*2+2*10*18</f>
        <v>1750</v>
      </c>
      <c r="I39" s="262">
        <f t="shared" si="0"/>
        <v>1.05</v>
      </c>
      <c r="J39" s="262">
        <f t="shared" si="1"/>
        <v>1837.5</v>
      </c>
    </row>
    <row r="40" spans="1:10" s="129" customFormat="1" hidden="1">
      <c r="A40" s="1344" t="str">
        <f>+[4]BPU!A58</f>
        <v>204-4</v>
      </c>
      <c r="B40" s="1345" t="str">
        <f>+[4]BPU!B58</f>
        <v>ouvrages en maçonnerie</v>
      </c>
      <c r="C40" s="1360" t="str">
        <f>[4]BPU!C58</f>
        <v>FF</v>
      </c>
      <c r="D40" s="1363"/>
      <c r="E40" s="1338">
        <v>4990551.7662000004</v>
      </c>
      <c r="F40" s="1338">
        <f>+D40*E40</f>
        <v>0</v>
      </c>
      <c r="G40" s="255"/>
      <c r="H40" s="262">
        <f>H38</f>
        <v>0</v>
      </c>
      <c r="I40" s="262">
        <f t="shared" si="0"/>
        <v>1.05</v>
      </c>
      <c r="J40" s="262">
        <f t="shared" si="1"/>
        <v>0</v>
      </c>
    </row>
    <row r="41" spans="1:10" s="129" customFormat="1" hidden="1">
      <c r="A41" s="1336">
        <f>+[4]BPU!A61</f>
        <v>206</v>
      </c>
      <c r="B41" s="1343" t="str">
        <f>+[4]BPU!B61</f>
        <v>Prix 206 - Dépose et enlèvement de pavés</v>
      </c>
      <c r="C41" s="1362"/>
      <c r="D41" s="1348"/>
      <c r="E41" s="1338"/>
      <c r="F41" s="1338"/>
      <c r="G41" s="255"/>
      <c r="H41" s="255"/>
      <c r="I41" s="262">
        <f t="shared" si="0"/>
        <v>1.05</v>
      </c>
      <c r="J41" s="262">
        <f t="shared" si="1"/>
        <v>0</v>
      </c>
    </row>
    <row r="42" spans="1:10" s="129" customFormat="1" hidden="1">
      <c r="A42" s="1344"/>
      <c r="B42" s="1345"/>
      <c r="C42" s="1360" t="str">
        <f>[4]BPU!C62</f>
        <v>m2</v>
      </c>
      <c r="D42" s="1361"/>
      <c r="E42" s="1338">
        <f>[4]BPU!D62</f>
        <v>1380</v>
      </c>
      <c r="F42" s="1338">
        <f>+D42*E42</f>
        <v>0</v>
      </c>
      <c r="G42" s="422"/>
      <c r="H42" s="255">
        <f>510+ (1225-530)*9 + 7*20*18</f>
        <v>9285</v>
      </c>
      <c r="I42" s="262">
        <f t="shared" si="0"/>
        <v>1.05</v>
      </c>
      <c r="J42" s="262">
        <f t="shared" si="1"/>
        <v>9749.25</v>
      </c>
    </row>
    <row r="43" spans="1:10" s="129" customFormat="1" hidden="1">
      <c r="A43" s="1336" t="str">
        <f>+[4]BPU!A63</f>
        <v>207</v>
      </c>
      <c r="B43" s="1343" t="str">
        <f>+[4]BPU!B63</f>
        <v>Prix 207 - Dépose et enlèvement de bordures</v>
      </c>
      <c r="C43" s="1362"/>
      <c r="D43" s="1348"/>
      <c r="E43" s="1338"/>
      <c r="F43" s="1338"/>
      <c r="G43" s="255"/>
      <c r="H43" s="255">
        <f>240+(1225-530)*2+20*2*18+7*18</f>
        <v>2476</v>
      </c>
      <c r="I43" s="262">
        <f t="shared" si="0"/>
        <v>1.05</v>
      </c>
      <c r="J43" s="262">
        <f t="shared" si="1"/>
        <v>2599.8000000000002</v>
      </c>
    </row>
    <row r="44" spans="1:10" s="129" customFormat="1" hidden="1">
      <c r="A44" s="1344"/>
      <c r="B44" s="1345"/>
      <c r="C44" s="1360" t="str">
        <f>[4]BPU!C64</f>
        <v>m</v>
      </c>
      <c r="D44" s="1361"/>
      <c r="E44" s="1338">
        <f>[4]BPU!D64</f>
        <v>3450</v>
      </c>
      <c r="F44" s="1338">
        <f>+D44*E44</f>
        <v>0</v>
      </c>
      <c r="G44" s="255"/>
      <c r="H44" s="255"/>
      <c r="I44" s="262"/>
      <c r="J44" s="255"/>
    </row>
    <row r="45" spans="1:10" s="129" customFormat="1" hidden="1">
      <c r="A45" s="1336" t="str">
        <f>+[4]BPU!A65</f>
        <v>208</v>
      </c>
      <c r="B45" s="1343" t="str">
        <f>+[4]BPU!B65</f>
        <v>Prix 208 - Curage d'ouvrages de drainage existant</v>
      </c>
      <c r="C45" s="1362"/>
      <c r="D45" s="1348"/>
      <c r="E45" s="1338"/>
      <c r="F45" s="1338"/>
      <c r="G45" s="255"/>
      <c r="H45" s="255"/>
      <c r="I45" s="262"/>
      <c r="J45" s="255"/>
    </row>
    <row r="46" spans="1:10" s="129" customFormat="1" hidden="1">
      <c r="A46" s="1344" t="str">
        <f>+[4]BPU!A66</f>
        <v>208-1</v>
      </c>
      <c r="B46" s="1345" t="str">
        <f>+[4]BPU!B66</f>
        <v>caniveau en béton armé</v>
      </c>
      <c r="C46" s="1362" t="str">
        <f>[4]BPU!C66</f>
        <v>m</v>
      </c>
      <c r="D46" s="1348"/>
      <c r="E46" s="1338">
        <f>[4]BPU!D66</f>
        <v>4493</v>
      </c>
      <c r="F46" s="1338">
        <f>+D46*E46</f>
        <v>0</v>
      </c>
      <c r="G46" s="255"/>
      <c r="H46" s="255">
        <f>210+15+200+1100+150+200+75+228+105+75+90+325+440+220+200+400+150+100+1120+100+390+140+35+90+170+30+130+344+65+385+170+65+45+1600+1600+1100+217+285+230+320+558+190+260+260+570+1100+138+204+365+365+806+728+134+44+140+50+330+427+440</f>
        <v>20023</v>
      </c>
      <c r="I46" s="262">
        <v>1</v>
      </c>
      <c r="J46" s="255">
        <f>H46*I46</f>
        <v>20023</v>
      </c>
    </row>
    <row r="47" spans="1:10" s="129" customFormat="1">
      <c r="A47" s="1336">
        <f>+[4]BPU!A75</f>
        <v>211</v>
      </c>
      <c r="B47" s="1343" t="str">
        <f>+[4]BPU!B75</f>
        <v>Prix 211 - Réfection de route bitumée</v>
      </c>
      <c r="C47" s="1362"/>
      <c r="D47" s="1348"/>
      <c r="E47" s="1338"/>
      <c r="F47" s="1338"/>
      <c r="G47" s="255"/>
      <c r="H47" s="255"/>
      <c r="I47" s="262"/>
      <c r="J47" s="255"/>
    </row>
    <row r="48" spans="1:10" s="129" customFormat="1">
      <c r="A48" s="1344"/>
      <c r="B48" s="1345"/>
      <c r="C48" s="1360" t="str">
        <f>[4]BPU!C76</f>
        <v>m2</v>
      </c>
      <c r="D48" s="1361">
        <f>+J48</f>
        <v>150</v>
      </c>
      <c r="E48" s="1338" t="e">
        <f>+#REF!</f>
        <v>#REF!</v>
      </c>
      <c r="F48" s="1338" t="e">
        <f>+D48*E48</f>
        <v>#REF!</v>
      </c>
      <c r="G48" s="255"/>
      <c r="H48" s="255">
        <f>15*10</f>
        <v>150</v>
      </c>
      <c r="I48" s="262">
        <v>1</v>
      </c>
      <c r="J48" s="255">
        <f>+H48*I48</f>
        <v>150</v>
      </c>
    </row>
    <row r="49" spans="1:12" s="129" customFormat="1" hidden="1">
      <c r="A49" s="1336">
        <f>+[4]BPU!A79</f>
        <v>215</v>
      </c>
      <c r="B49" s="1343" t="str">
        <f>+[4]BPU!B79</f>
        <v>Prix 215 - Dépose de buses</v>
      </c>
      <c r="C49" s="1362"/>
      <c r="D49" s="1348"/>
      <c r="E49" s="1338"/>
      <c r="F49" s="1338"/>
      <c r="G49" s="255"/>
      <c r="H49" s="255"/>
      <c r="I49" s="262"/>
      <c r="J49" s="255"/>
    </row>
    <row r="50" spans="1:12" s="129" customFormat="1" hidden="1">
      <c r="A50" s="1344"/>
      <c r="B50" s="1345"/>
      <c r="C50" s="1360" t="str">
        <f>[4]BPU!C80</f>
        <v>m</v>
      </c>
      <c r="D50" s="1361"/>
      <c r="E50" s="1338">
        <f>[4]BPU!D80</f>
        <v>97750</v>
      </c>
      <c r="F50" s="1338">
        <f>+D50*E50</f>
        <v>0</v>
      </c>
      <c r="G50" s="255"/>
      <c r="H50" s="255">
        <f>(2016-1550)+420</f>
        <v>886</v>
      </c>
      <c r="I50" s="262">
        <v>1.05</v>
      </c>
      <c r="J50" s="255">
        <f>H50*I50</f>
        <v>930.30000000000007</v>
      </c>
      <c r="K50" s="129" t="s">
        <v>511</v>
      </c>
    </row>
    <row r="51" spans="1:12" s="129" customFormat="1">
      <c r="A51" s="1344"/>
      <c r="B51" s="1364"/>
      <c r="C51" s="1355"/>
      <c r="D51" s="1348"/>
      <c r="E51" s="1349" t="s">
        <v>111</v>
      </c>
      <c r="F51" s="1350" t="e">
        <f>SUM(F30:F50)</f>
        <v>#REF!</v>
      </c>
      <c r="G51" s="255"/>
      <c r="H51" s="255"/>
      <c r="I51" s="262"/>
      <c r="J51" s="255"/>
    </row>
    <row r="52" spans="1:12" s="129" customFormat="1" ht="24.95" hidden="1" customHeight="1">
      <c r="A52" s="1334" t="str">
        <f>+[4]BPU!A120</f>
        <v>PRIX 400 - CHAUSSEES ET TROTTOIRS</v>
      </c>
      <c r="B52" s="1365"/>
      <c r="C52" s="1333" t="s">
        <v>98</v>
      </c>
      <c r="D52" s="1333" t="s">
        <v>99</v>
      </c>
      <c r="E52" s="1333" t="s">
        <v>100</v>
      </c>
      <c r="F52" s="1333" t="s">
        <v>114</v>
      </c>
      <c r="G52" s="255"/>
      <c r="H52" s="270" t="e">
        <f>+M5*0.15+N5*0.25+20*20*20*0.15</f>
        <v>#REF!</v>
      </c>
      <c r="I52" s="262">
        <f>1.1</f>
        <v>1.1000000000000001</v>
      </c>
      <c r="J52" s="255" t="e">
        <f>+H52*I52</f>
        <v>#REF!</v>
      </c>
    </row>
    <row r="53" spans="1:12" s="495" customFormat="1" ht="25.5" hidden="1">
      <c r="A53" s="1336" t="str">
        <f>+[4]BPU!A121</f>
        <v>401</v>
      </c>
      <c r="B53" s="1337" t="str">
        <f>+[4]BPU!B121</f>
        <v>Prix 401 - Fourniture, transport et mise en œuvre  de matériaux pour couches de chaussée</v>
      </c>
      <c r="C53" s="1362"/>
      <c r="D53" s="1348"/>
      <c r="E53" s="1338"/>
      <c r="F53" s="1338"/>
      <c r="G53" s="493"/>
      <c r="H53" s="493"/>
      <c r="I53" s="494"/>
      <c r="J53" s="493"/>
      <c r="K53" s="495" t="s">
        <v>273</v>
      </c>
    </row>
    <row r="54" spans="1:12" s="495" customFormat="1" hidden="1">
      <c r="A54" s="1344" t="str">
        <f>+[4]BPU!A123</f>
        <v>401-2</v>
      </c>
      <c r="B54" s="1345" t="str">
        <f>+[4]BPU!B123</f>
        <v>sable silteux</v>
      </c>
      <c r="C54" s="1360" t="str">
        <f>[4]BPU!C123</f>
        <v>m3</v>
      </c>
      <c r="D54" s="1361"/>
      <c r="E54" s="1338">
        <f>[4]BPU!D123</f>
        <v>14000</v>
      </c>
      <c r="F54" s="1338">
        <f>+D54*E54</f>
        <v>0</v>
      </c>
      <c r="G54" s="493"/>
      <c r="H54" s="756" t="e">
        <f>+(M5+N5)*0.35+P4*0.2 +20*20*20*0.35</f>
        <v>#REF!</v>
      </c>
      <c r="I54" s="494">
        <f>1.1</f>
        <v>1.1000000000000001</v>
      </c>
      <c r="J54" s="493" t="e">
        <f>+H54*I54</f>
        <v>#REF!</v>
      </c>
    </row>
    <row r="55" spans="1:12" s="495" customFormat="1" hidden="1">
      <c r="A55" s="1336">
        <f>+[4]BPU!A130</f>
        <v>405</v>
      </c>
      <c r="B55" s="1343" t="str">
        <f>+[4]BPU!B130</f>
        <v>Prix 405 - Traitement de la couche de base au ciment</v>
      </c>
      <c r="C55" s="1362"/>
      <c r="D55" s="1348"/>
      <c r="E55" s="1338"/>
      <c r="F55" s="1338"/>
      <c r="G55" s="493"/>
    </row>
    <row r="56" spans="1:12" s="495" customFormat="1" hidden="1">
      <c r="A56" s="1344"/>
      <c r="B56" s="1345"/>
      <c r="C56" s="1360" t="str">
        <f>[4]BPU!C131</f>
        <v>kg</v>
      </c>
      <c r="D56" s="1361"/>
      <c r="E56" s="1338">
        <f>[4]BPU!D131</f>
        <v>748</v>
      </c>
      <c r="F56" s="1338">
        <f>+D56*E56</f>
        <v>0</v>
      </c>
      <c r="G56" s="493"/>
      <c r="H56" s="493" t="e">
        <f>H52*1950*5%</f>
        <v>#REF!</v>
      </c>
      <c r="I56" s="494">
        <v>1.1000000000000001</v>
      </c>
      <c r="J56" s="493" t="e">
        <f>H56*I56</f>
        <v>#REF!</v>
      </c>
      <c r="L56" s="495" t="e">
        <f>+(M5+N5)*0.15</f>
        <v>#REF!</v>
      </c>
    </row>
    <row r="57" spans="1:12" s="495" customFormat="1" hidden="1">
      <c r="A57" s="1336">
        <f>+[4]BPU!A135</f>
        <v>407</v>
      </c>
      <c r="B57" s="1343" t="str">
        <f>+[4]BPU!B135</f>
        <v>Prix 407 - Préfabrication et mise en œuvre du revêtement en pavés</v>
      </c>
      <c r="C57" s="1360"/>
      <c r="D57" s="1361"/>
      <c r="E57" s="1338"/>
      <c r="F57" s="1338"/>
      <c r="G57" s="493"/>
      <c r="H57" s="493"/>
      <c r="I57" s="494"/>
      <c r="J57" s="493"/>
    </row>
    <row r="58" spans="1:12" s="495" customFormat="1" hidden="1">
      <c r="A58" s="1336" t="str">
        <f>+[4]BPU!A136</f>
        <v>407A</v>
      </c>
      <c r="B58" s="1343" t="str">
        <f>+[4]BPU!B136</f>
        <v>Prix 407A – Préfabrication du revêtement en pavés</v>
      </c>
      <c r="C58" s="1360"/>
      <c r="D58" s="1361"/>
      <c r="E58" s="1338"/>
      <c r="F58" s="1338"/>
      <c r="G58" s="493"/>
    </row>
    <row r="59" spans="1:12" s="495" customFormat="1" hidden="1">
      <c r="A59" s="1344" t="str">
        <f>+[4]BPU!A137</f>
        <v>407A-0</v>
      </c>
      <c r="B59" s="1345" t="str">
        <f>+[4]BPU!B137</f>
        <v xml:space="preserve">pavés de 13 cm </v>
      </c>
      <c r="C59" s="1360" t="str">
        <f>[4]BPU!C137</f>
        <v>m2</v>
      </c>
      <c r="D59" s="1361"/>
      <c r="E59" s="1338">
        <f>+[4]BPU!D137</f>
        <v>13500</v>
      </c>
      <c r="F59" s="1338">
        <f>+D59*E59</f>
        <v>0</v>
      </c>
      <c r="G59" s="493"/>
      <c r="H59" s="493" t="e">
        <f>+N5</f>
        <v>#REF!</v>
      </c>
      <c r="I59" s="494">
        <v>1.05</v>
      </c>
      <c r="J59" s="493" t="e">
        <f>+H59*I59</f>
        <v>#REF!</v>
      </c>
    </row>
    <row r="60" spans="1:12" s="495" customFormat="1" hidden="1">
      <c r="A60" s="1344" t="str">
        <f>+[4]BPU!A138</f>
        <v>407A-1</v>
      </c>
      <c r="B60" s="1345" t="str">
        <f>+[4]BPU!B138</f>
        <v xml:space="preserve">pavés de 11 cm </v>
      </c>
      <c r="C60" s="1360" t="str">
        <f>[4]BPU!C138</f>
        <v>m2</v>
      </c>
      <c r="D60" s="1361"/>
      <c r="E60" s="1338">
        <f>+[4]BPU!D138</f>
        <v>11000</v>
      </c>
      <c r="F60" s="1338">
        <f t="shared" ref="F60:F81" si="2">+D60*E60</f>
        <v>0</v>
      </c>
      <c r="G60" s="493"/>
      <c r="H60" s="493" t="e">
        <f>+M5</f>
        <v>#REF!</v>
      </c>
      <c r="I60" s="494">
        <v>1.05</v>
      </c>
      <c r="J60" s="493" t="e">
        <f>+H60*I60</f>
        <v>#REF!</v>
      </c>
    </row>
    <row r="61" spans="1:12" s="495" customFormat="1" hidden="1">
      <c r="A61" s="1344" t="str">
        <f>+[4]BPU!A139</f>
        <v>407A-2</v>
      </c>
      <c r="B61" s="1345" t="str">
        <f>+[4]BPU!B139</f>
        <v xml:space="preserve">pavés de 8 cm </v>
      </c>
      <c r="C61" s="1360" t="str">
        <f>[4]BPU!C139</f>
        <v>m2</v>
      </c>
      <c r="D61" s="1361"/>
      <c r="E61" s="1338">
        <f>+[4]BPU!D139</f>
        <v>9300</v>
      </c>
      <c r="F61" s="1338">
        <f t="shared" si="2"/>
        <v>0</v>
      </c>
      <c r="G61" s="493"/>
      <c r="H61" s="493" t="e">
        <f>+P4</f>
        <v>#REF!</v>
      </c>
      <c r="I61" s="494">
        <v>1.05</v>
      </c>
      <c r="J61" s="493" t="e">
        <f>+H61*I61</f>
        <v>#REF!</v>
      </c>
    </row>
    <row r="62" spans="1:12" s="495" customFormat="1" hidden="1">
      <c r="A62" s="1336" t="str">
        <f>+[4]BPU!A140</f>
        <v>407B</v>
      </c>
      <c r="B62" s="1343" t="str">
        <f>+[4]BPU!B140</f>
        <v>Prix 407B - Mise en œuvre du revêtement en pavés</v>
      </c>
      <c r="C62" s="1360"/>
      <c r="D62" s="1361"/>
      <c r="E62" s="1338"/>
      <c r="F62" s="1338"/>
      <c r="G62" s="493"/>
      <c r="H62" s="493"/>
      <c r="I62" s="494"/>
      <c r="J62" s="493"/>
    </row>
    <row r="63" spans="1:12" s="495" customFormat="1" hidden="1">
      <c r="A63" s="1344" t="str">
        <f>+[4]BPU!A141</f>
        <v>407B-0</v>
      </c>
      <c r="B63" s="1345" t="str">
        <f>+[4]BPU!B141</f>
        <v xml:space="preserve">Pavés de 13 cm </v>
      </c>
      <c r="C63" s="1360" t="str">
        <f>[4]BPU!C141</f>
        <v>m2</v>
      </c>
      <c r="D63" s="1361"/>
      <c r="E63" s="1338">
        <f>+[4]BPU!D141</f>
        <v>4000</v>
      </c>
      <c r="F63" s="1338">
        <f t="shared" si="2"/>
        <v>0</v>
      </c>
      <c r="G63" s="493"/>
      <c r="H63" s="493"/>
      <c r="I63" s="494"/>
      <c r="J63" s="493"/>
    </row>
    <row r="64" spans="1:12" s="495" customFormat="1" hidden="1">
      <c r="A64" s="1344" t="str">
        <f>+[4]BPU!A142</f>
        <v>407B-1</v>
      </c>
      <c r="B64" s="1345" t="str">
        <f>+[4]BPU!B142</f>
        <v>Pavés de 11 cm</v>
      </c>
      <c r="C64" s="1360" t="str">
        <f>[4]BPU!C142</f>
        <v>m2</v>
      </c>
      <c r="D64" s="1361"/>
      <c r="E64" s="1338">
        <f>+[4]BPU!D142</f>
        <v>3500</v>
      </c>
      <c r="F64" s="1338">
        <f t="shared" si="2"/>
        <v>0</v>
      </c>
      <c r="G64" s="493"/>
      <c r="H64" s="493"/>
      <c r="I64" s="494"/>
      <c r="J64" s="493"/>
    </row>
    <row r="65" spans="1:10" s="495" customFormat="1" hidden="1">
      <c r="A65" s="1344" t="str">
        <f>+[4]BPU!A143</f>
        <v>407B-2</v>
      </c>
      <c r="B65" s="1345" t="str">
        <f>+[4]BPU!B143</f>
        <v>Pavés de 8 cm</v>
      </c>
      <c r="C65" s="1360" t="str">
        <f>[4]BPU!C143</f>
        <v>m2</v>
      </c>
      <c r="D65" s="1361"/>
      <c r="E65" s="1338">
        <f>+[4]BPU!D143</f>
        <v>3000</v>
      </c>
      <c r="F65" s="1338">
        <f t="shared" si="2"/>
        <v>0</v>
      </c>
      <c r="G65" s="493"/>
      <c r="H65" s="493"/>
      <c r="I65" s="494"/>
      <c r="J65" s="493"/>
    </row>
    <row r="66" spans="1:10" s="495" customFormat="1" hidden="1">
      <c r="A66" s="1336">
        <f>+[4]BPU!A144</f>
        <v>408</v>
      </c>
      <c r="B66" s="1343" t="str">
        <f>+[4]BPU!B144</f>
        <v>Prix 408 - Préfabrication et mise en œuvre de bordures Préfabriqués</v>
      </c>
      <c r="C66" s="1360"/>
      <c r="D66" s="1361"/>
      <c r="E66" s="1338"/>
      <c r="F66" s="1338"/>
      <c r="G66" s="493"/>
      <c r="H66" s="493"/>
      <c r="I66" s="494"/>
      <c r="J66" s="493"/>
    </row>
    <row r="67" spans="1:10" s="495" customFormat="1" hidden="1">
      <c r="A67" s="1336" t="str">
        <f>+[4]BPU!A145</f>
        <v>408A</v>
      </c>
      <c r="B67" s="1343" t="str">
        <f>+[4]BPU!B145</f>
        <v>Prix 408A – Préfabrication de bordures</v>
      </c>
      <c r="C67" s="1360"/>
      <c r="D67" s="1361"/>
      <c r="E67" s="1338"/>
      <c r="F67" s="1338"/>
      <c r="G67" s="493"/>
      <c r="H67" s="493">
        <f>20*20</f>
        <v>400</v>
      </c>
      <c r="I67" s="494">
        <v>1.1000000000000001</v>
      </c>
      <c r="J67" s="493">
        <f>+H67*I67</f>
        <v>440.00000000000006</v>
      </c>
    </row>
    <row r="68" spans="1:10" s="495" customFormat="1" hidden="1">
      <c r="A68" s="1344" t="str">
        <f>+[4]BPU!A146</f>
        <v>408A-1</v>
      </c>
      <c r="B68" s="1345" t="str">
        <f>+[4]BPU!B146</f>
        <v>bordures lourdes 15 x 30 cm (T2)</v>
      </c>
      <c r="C68" s="1360" t="str">
        <f>[4]BPU!C146</f>
        <v>m</v>
      </c>
      <c r="D68" s="1361"/>
      <c r="E68" s="1338">
        <f>+[4]BPU!D146</f>
        <v>7514</v>
      </c>
      <c r="F68" s="1338">
        <f t="shared" si="2"/>
        <v>0</v>
      </c>
      <c r="G68" s="493"/>
      <c r="H68" s="493"/>
      <c r="I68" s="494"/>
      <c r="J68" s="493"/>
    </row>
    <row r="69" spans="1:10" s="495" customFormat="1" hidden="1">
      <c r="A69" s="1344" t="str">
        <f>+[4]BPU!A147</f>
        <v>408A-2</v>
      </c>
      <c r="B69" s="1345" t="str">
        <f>+[4]BPU!B147</f>
        <v>bordures lègères 10 x 20 cm (T1)</v>
      </c>
      <c r="C69" s="1360" t="str">
        <f>[4]BPU!C147</f>
        <v>m</v>
      </c>
      <c r="D69" s="1361"/>
      <c r="E69" s="1338">
        <f>+[4]BPU!D147</f>
        <v>5700</v>
      </c>
      <c r="F69" s="1338">
        <f t="shared" si="2"/>
        <v>0</v>
      </c>
      <c r="G69" s="493"/>
      <c r="H69" s="493" t="e">
        <f>SUM(#REF!)*2</f>
        <v>#REF!</v>
      </c>
      <c r="I69" s="494">
        <v>1</v>
      </c>
      <c r="J69" s="493" t="e">
        <f>+H69*I69</f>
        <v>#REF!</v>
      </c>
    </row>
    <row r="70" spans="1:10" s="495" customFormat="1" hidden="1">
      <c r="A70" s="1344" t="str">
        <f>+[4]BPU!A149</f>
        <v>408A-4</v>
      </c>
      <c r="B70" s="1345" t="str">
        <f>+[4]BPU!B149</f>
        <v>bordures type T2- CS2</v>
      </c>
      <c r="C70" s="1360" t="str">
        <f>[4]BPU!C149</f>
        <v>m</v>
      </c>
      <c r="D70" s="1361"/>
      <c r="E70" s="1338">
        <f>+[4]BPU!D149</f>
        <v>13829</v>
      </c>
      <c r="F70" s="1338">
        <f t="shared" si="2"/>
        <v>0</v>
      </c>
      <c r="G70" s="493"/>
      <c r="H70" s="493" t="e">
        <f>+(#REF!+#REF!+#REF!+20*2*20)*2</f>
        <v>#REF!</v>
      </c>
      <c r="I70" s="494">
        <v>1.05</v>
      </c>
      <c r="J70" s="493" t="e">
        <f>+H70*I70</f>
        <v>#REF!</v>
      </c>
    </row>
    <row r="71" spans="1:10" s="495" customFormat="1" hidden="1">
      <c r="A71" s="1336" t="str">
        <f>+[4]BPU!A150</f>
        <v>408B</v>
      </c>
      <c r="B71" s="1343" t="str">
        <f>+[4]BPU!B150</f>
        <v>Prix 408B - Mise en œuvre de bordures préfabriquées</v>
      </c>
      <c r="C71" s="1360"/>
      <c r="D71" s="1361"/>
      <c r="E71" s="1338"/>
      <c r="F71" s="1338"/>
      <c r="G71" s="493"/>
      <c r="H71" s="493"/>
      <c r="I71" s="494"/>
      <c r="J71" s="493"/>
    </row>
    <row r="72" spans="1:10" s="495" customFormat="1" hidden="1">
      <c r="A72" s="1344" t="str">
        <f>+[4]BPU!A151</f>
        <v>408B-1</v>
      </c>
      <c r="B72" s="1345" t="str">
        <f>+[4]BPU!B151</f>
        <v>Bordures   de dimensions 15 x 30 cm ou bordures T2</v>
      </c>
      <c r="C72" s="1360" t="str">
        <f>[4]BPU!C151</f>
        <v>m</v>
      </c>
      <c r="D72" s="1361"/>
      <c r="E72" s="1338">
        <f>+[4]BPU!D151</f>
        <v>5466</v>
      </c>
      <c r="F72" s="1338">
        <f t="shared" si="2"/>
        <v>0</v>
      </c>
      <c r="G72" s="493"/>
      <c r="H72" s="493"/>
      <c r="I72" s="494"/>
      <c r="J72" s="493"/>
    </row>
    <row r="73" spans="1:10" s="495" customFormat="1" hidden="1">
      <c r="A73" s="1344" t="str">
        <f>+[4]BPU!A152</f>
        <v>408B-2</v>
      </c>
      <c r="B73" s="1345" t="str">
        <f>+[4]BPU!B152</f>
        <v>Bordures de dimensions 10 x 20 cm ou bordures T1</v>
      </c>
      <c r="C73" s="1360" t="str">
        <f>[4]BPU!C152</f>
        <v>m</v>
      </c>
      <c r="D73" s="1361"/>
      <c r="E73" s="1338">
        <f>+[4]BPU!D152</f>
        <v>4800</v>
      </c>
      <c r="F73" s="1338">
        <f t="shared" si="2"/>
        <v>0</v>
      </c>
      <c r="G73" s="493"/>
      <c r="H73" s="493"/>
      <c r="I73" s="494"/>
      <c r="J73" s="493"/>
    </row>
    <row r="74" spans="1:10" s="495" customFormat="1" hidden="1">
      <c r="A74" s="1344" t="str">
        <f>+[4]BPU!A154</f>
        <v>408B-4</v>
      </c>
      <c r="B74" s="1345" t="str">
        <f>+[4]BPU!B154</f>
        <v>Bordures T2- CS2</v>
      </c>
      <c r="C74" s="1360" t="str">
        <f>[4]BPU!C154</f>
        <v>m</v>
      </c>
      <c r="D74" s="1361"/>
      <c r="E74" s="1338">
        <f>+[4]BPU!D154</f>
        <v>11315</v>
      </c>
      <c r="F74" s="1338">
        <f t="shared" si="2"/>
        <v>0</v>
      </c>
      <c r="G74" s="493"/>
      <c r="H74" s="493"/>
      <c r="I74" s="494"/>
      <c r="J74" s="493"/>
    </row>
    <row r="75" spans="1:10" s="495" customFormat="1" ht="25.5" hidden="1">
      <c r="A75" s="1336">
        <f>+[4]BPU!A155</f>
        <v>409</v>
      </c>
      <c r="B75" s="1337" t="str">
        <f>+[4]BPU!B155</f>
        <v>Prix 409 - Préfabrication et mise en œuvre  de Pavé Pré peint et pavé décoratif d'embellissement du cadre de vie</v>
      </c>
      <c r="C75" s="1360"/>
      <c r="D75" s="1361"/>
      <c r="E75" s="1338"/>
      <c r="F75" s="1338"/>
      <c r="G75" s="493"/>
      <c r="H75" s="493"/>
      <c r="I75" s="494"/>
      <c r="J75" s="493"/>
    </row>
    <row r="76" spans="1:10" s="495" customFormat="1" ht="25.5" hidden="1">
      <c r="A76" s="1336" t="str">
        <f>+[4]BPU!A156</f>
        <v>409A</v>
      </c>
      <c r="B76" s="1337" t="str">
        <f>+[4]BPU!B156</f>
        <v>Prix 409A - Préfabrication de Pavé Pré peint et pavé décoratif d'embellissemnt du cadre de vie</v>
      </c>
      <c r="C76" s="1360"/>
      <c r="D76" s="1361"/>
      <c r="E76" s="1338"/>
      <c r="F76" s="1338"/>
      <c r="G76" s="493"/>
      <c r="H76" s="493"/>
      <c r="I76" s="494"/>
      <c r="J76" s="493"/>
    </row>
    <row r="77" spans="1:10" s="495" customFormat="1" hidden="1">
      <c r="A77" s="1344" t="str">
        <f>+[4]BPU!A157</f>
        <v>409A-1</v>
      </c>
      <c r="B77" s="1345" t="str">
        <f>+[4]BPU!B157</f>
        <v>Préfabrication de Pavé pré peint de 11 cm pour la signalisation routière</v>
      </c>
      <c r="C77" s="1360" t="str">
        <f>[4]BPU!C157</f>
        <v>m2</v>
      </c>
      <c r="D77" s="1361"/>
      <c r="E77" s="1338">
        <f>+[4]BPU!D157</f>
        <v>14300</v>
      </c>
      <c r="F77" s="1338">
        <f t="shared" si="2"/>
        <v>0</v>
      </c>
      <c r="G77" s="493"/>
      <c r="H77" s="493"/>
      <c r="I77" s="494"/>
      <c r="J77" s="493"/>
    </row>
    <row r="78" spans="1:10" s="495" customFormat="1" hidden="1">
      <c r="A78" s="1344" t="str">
        <f>+[4]BPU!A158</f>
        <v>409A-2</v>
      </c>
      <c r="B78" s="1345" t="str">
        <f>+[4]BPU!B158</f>
        <v>Préfabrication de pavé de 8 cm décoratif d'embellissement du cadre de Vie</v>
      </c>
      <c r="C78" s="1360" t="str">
        <f>[4]BPU!C158</f>
        <v>m2</v>
      </c>
      <c r="D78" s="1361"/>
      <c r="E78" s="1338">
        <f>+[4]BPU!D158</f>
        <v>12090</v>
      </c>
      <c r="F78" s="1338">
        <f t="shared" si="2"/>
        <v>0</v>
      </c>
      <c r="G78" s="493"/>
      <c r="H78" s="493"/>
      <c r="I78" s="494"/>
      <c r="J78" s="493"/>
    </row>
    <row r="79" spans="1:10" s="495" customFormat="1" ht="25.5" hidden="1">
      <c r="A79" s="1336" t="str">
        <f>+[4]BPU!A159</f>
        <v>409B</v>
      </c>
      <c r="B79" s="1337" t="str">
        <f>+[4]BPU!B159</f>
        <v>Prix 409B - Mise en oeurve  de Pavé Pré peint et Pavé décoratif d'embellissement du cadre de vie</v>
      </c>
      <c r="C79" s="1360"/>
      <c r="D79" s="1361"/>
      <c r="E79" s="1338"/>
      <c r="F79" s="1338"/>
      <c r="G79" s="493"/>
      <c r="H79" s="493"/>
      <c r="I79" s="494"/>
      <c r="J79" s="493"/>
    </row>
    <row r="80" spans="1:10" s="495" customFormat="1" hidden="1">
      <c r="A80" s="1344" t="str">
        <f>+[4]BPU!A160</f>
        <v>409B-1</v>
      </c>
      <c r="B80" s="1345" t="str">
        <f>+[4]BPU!B160</f>
        <v>Mise en œuvre  de Pavé pré peint de 11 cm pour la signalisation routière</v>
      </c>
      <c r="C80" s="1360" t="str">
        <f>[4]BPU!C160</f>
        <v>m2</v>
      </c>
      <c r="D80" s="1361"/>
      <c r="E80" s="1338">
        <f>+[4]BPU!D160</f>
        <v>4900</v>
      </c>
      <c r="F80" s="1338">
        <f t="shared" si="2"/>
        <v>0</v>
      </c>
      <c r="G80" s="493"/>
      <c r="H80" s="493"/>
      <c r="I80" s="494"/>
      <c r="J80" s="493"/>
    </row>
    <row r="81" spans="1:16" s="495" customFormat="1" hidden="1">
      <c r="A81" s="1344" t="str">
        <f>+[4]BPU!A161</f>
        <v>409B-2</v>
      </c>
      <c r="B81" s="1345" t="str">
        <f>+[4]BPU!B161</f>
        <v>Mise en œuvre  de pavé de 8 cm  décoratif d'embellissement du cadre de Vie</v>
      </c>
      <c r="C81" s="1360" t="str">
        <f>[4]BPU!C161</f>
        <v>m2</v>
      </c>
      <c r="D81" s="1361"/>
      <c r="E81" s="1338">
        <f>+[4]BPU!D161</f>
        <v>3900</v>
      </c>
      <c r="F81" s="1338">
        <f t="shared" si="2"/>
        <v>0</v>
      </c>
      <c r="G81" s="493"/>
      <c r="H81" s="493"/>
      <c r="I81" s="494"/>
      <c r="J81" s="493"/>
    </row>
    <row r="82" spans="1:16" s="495" customFormat="1" hidden="1">
      <c r="A82" s="1344"/>
      <c r="B82" s="1366"/>
      <c r="C82" s="1355"/>
      <c r="D82" s="1348"/>
      <c r="E82" s="1349" t="s">
        <v>109</v>
      </c>
      <c r="F82" s="1350">
        <f>SUM(F53:F81)</f>
        <v>0</v>
      </c>
      <c r="G82" s="493"/>
      <c r="H82" s="493"/>
      <c r="I82" s="494"/>
      <c r="J82" s="493"/>
      <c r="L82" s="495">
        <f>2.95*2</f>
        <v>5.9</v>
      </c>
    </row>
    <row r="83" spans="1:16" s="129" customFormat="1" ht="15.95" hidden="1" customHeight="1">
      <c r="A83" s="1088"/>
      <c r="B83" s="1367"/>
      <c r="C83" s="1368"/>
      <c r="D83" s="1369"/>
      <c r="E83" s="1370"/>
      <c r="F83" s="1370"/>
      <c r="G83" s="255"/>
      <c r="H83" s="255"/>
      <c r="I83" s="262"/>
      <c r="J83" s="255"/>
    </row>
    <row r="84" spans="1:16" s="495" customFormat="1" ht="24.95" customHeight="1">
      <c r="A84" s="1334" t="str">
        <f>+[4]BPU!A166</f>
        <v>PRIX 500 - ASSAINISSEMENT ET DRAINAGE</v>
      </c>
      <c r="B84" s="1335"/>
      <c r="C84" s="1333"/>
      <c r="D84" s="1333"/>
      <c r="E84" s="1333"/>
      <c r="F84" s="1333"/>
      <c r="G84" s="493"/>
      <c r="H84" s="493"/>
      <c r="I84" s="494"/>
      <c r="J84" s="493"/>
    </row>
    <row r="85" spans="1:16" s="129" customFormat="1">
      <c r="A85" s="1336">
        <f>+[4]BPU!A167</f>
        <v>501</v>
      </c>
      <c r="B85" s="1343" t="str">
        <f>+[4]BPU!B167</f>
        <v xml:space="preserve">Prix 501 - Fouilles en terrain meuble pour ouvrages de drainage </v>
      </c>
      <c r="C85" s="1359"/>
      <c r="D85" s="1342"/>
      <c r="E85" s="1338"/>
      <c r="F85" s="1338"/>
      <c r="G85" s="255"/>
      <c r="H85" s="255"/>
      <c r="I85" s="262"/>
      <c r="J85" s="255"/>
      <c r="L85" s="129">
        <v>6.1</v>
      </c>
    </row>
    <row r="86" spans="1:16" s="129" customFormat="1">
      <c r="A86" s="1344"/>
      <c r="B86" s="1345"/>
      <c r="C86" s="1360" t="str">
        <f>[4]BPU!C168</f>
        <v>m3</v>
      </c>
      <c r="D86" s="1361">
        <f>J86</f>
        <v>3950</v>
      </c>
      <c r="E86" s="1338" t="e">
        <f>+M_traverséé!E83</f>
        <v>#REF!</v>
      </c>
      <c r="F86" s="1338" t="e">
        <f>+D86*E86</f>
        <v>#REF!</v>
      </c>
      <c r="G86" s="255"/>
      <c r="H86" s="1371">
        <f>10*5*F3</f>
        <v>3950</v>
      </c>
      <c r="I86" s="262">
        <v>1</v>
      </c>
      <c r="J86" s="255">
        <f>H86*I86</f>
        <v>3950</v>
      </c>
      <c r="L86" s="129">
        <f>2*9</f>
        <v>18</v>
      </c>
      <c r="M86" s="129" t="s">
        <v>498</v>
      </c>
    </row>
    <row r="87" spans="1:16" s="129" customFormat="1" hidden="1">
      <c r="A87" s="1336" t="str">
        <f>+[4]BPU!A169</f>
        <v>501bis</v>
      </c>
      <c r="B87" s="1343" t="str">
        <f>+[4]BPU!B169</f>
        <v xml:space="preserve">Prix 501 bis - Fouilles en terrain rocheux pour ouvrages de drainage </v>
      </c>
      <c r="C87" s="1359"/>
      <c r="D87" s="1342"/>
      <c r="E87" s="1338"/>
      <c r="F87" s="1338"/>
      <c r="G87" s="255"/>
      <c r="H87" s="255"/>
      <c r="I87" s="262"/>
      <c r="J87" s="255"/>
      <c r="L87" s="129">
        <f>2*2</f>
        <v>4</v>
      </c>
    </row>
    <row r="88" spans="1:16" s="129" customFormat="1" hidden="1">
      <c r="A88" s="1344"/>
      <c r="B88" s="1345"/>
      <c r="C88" s="1360" t="str">
        <f>[4]BPU!C170</f>
        <v>m3</v>
      </c>
      <c r="D88" s="1361"/>
      <c r="E88" s="1338"/>
      <c r="F88" s="1338"/>
      <c r="G88" s="255"/>
      <c r="I88" s="262">
        <v>1.1000000000000001</v>
      </c>
      <c r="J88" s="255">
        <f>H90*I88</f>
        <v>3031.0720000000001</v>
      </c>
      <c r="K88" s="328">
        <f>+K86/2016*(2016-1700)</f>
        <v>0</v>
      </c>
      <c r="L88" s="262">
        <v>1.1000000000000001</v>
      </c>
      <c r="M88" s="255">
        <f>K88*L88</f>
        <v>0</v>
      </c>
      <c r="N88" s="328">
        <f>+N86/2016*(2016-1700)</f>
        <v>0</v>
      </c>
      <c r="O88" s="262">
        <v>1.1000000000000001</v>
      </c>
      <c r="P88" s="255">
        <f>N88*O88</f>
        <v>0</v>
      </c>
    </row>
    <row r="89" spans="1:16" s="129" customFormat="1">
      <c r="A89" s="1336">
        <f>+[4]BPU!A171</f>
        <v>502</v>
      </c>
      <c r="B89" s="1343" t="str">
        <f>+[4]BPU!B171</f>
        <v>Prix 502 - Remblais de fouilles</v>
      </c>
      <c r="C89" s="1359"/>
      <c r="D89" s="1342"/>
      <c r="E89" s="1338"/>
      <c r="F89" s="1338"/>
      <c r="G89" s="255"/>
      <c r="H89" s="328">
        <f>+H87/2016*(2016-1700)</f>
        <v>0</v>
      </c>
      <c r="I89" s="262">
        <v>1.1000000000000001</v>
      </c>
      <c r="J89" s="255">
        <f>H89*I89</f>
        <v>0</v>
      </c>
      <c r="K89" s="328">
        <f>+K87/2016*(2016-1700)</f>
        <v>0</v>
      </c>
      <c r="L89" s="262">
        <v>1.1000000000000001</v>
      </c>
      <c r="M89" s="255">
        <f>K89*L89</f>
        <v>0</v>
      </c>
      <c r="N89" s="328">
        <f>+N87/2016*(2016-1700)</f>
        <v>0</v>
      </c>
      <c r="O89" s="262">
        <v>1.1000000000000001</v>
      </c>
      <c r="P89" s="255">
        <f>N89*O89</f>
        <v>0</v>
      </c>
    </row>
    <row r="90" spans="1:16" s="129" customFormat="1">
      <c r="A90" s="1344"/>
      <c r="B90" s="1345"/>
      <c r="C90" s="1360" t="str">
        <f>[4]BPU!C172</f>
        <v>m3</v>
      </c>
      <c r="D90" s="1361">
        <f>+H90</f>
        <v>2755.52</v>
      </c>
      <c r="E90" s="1338" t="e">
        <f>+M_traverséé!E85</f>
        <v>#REF!</v>
      </c>
      <c r="F90" s="1338" t="e">
        <f>+D90*E90</f>
        <v>#REF!</v>
      </c>
      <c r="G90" s="255"/>
      <c r="H90" s="328">
        <f>+H86-6.3*(1.7+0.3*2+0.1)*F3</f>
        <v>2755.52</v>
      </c>
      <c r="I90" s="262">
        <v>0.8</v>
      </c>
      <c r="J90" s="255" t="e">
        <f>#REF!*I90</f>
        <v>#REF!</v>
      </c>
      <c r="L90" s="129">
        <f>2*3</f>
        <v>6</v>
      </c>
    </row>
    <row r="91" spans="1:16" s="129" customFormat="1" hidden="1">
      <c r="A91" s="1336" t="str">
        <f>+[4]BPU!A173</f>
        <v>503</v>
      </c>
      <c r="B91" s="1343" t="str">
        <f>+[4]BPU!B173</f>
        <v xml:space="preserve">Prix 503 - Béton de propreté C 150 </v>
      </c>
      <c r="C91" s="1359"/>
      <c r="D91" s="1342"/>
      <c r="E91" s="1338"/>
      <c r="F91" s="1338"/>
      <c r="G91" s="255"/>
      <c r="H91" s="255"/>
      <c r="I91" s="262"/>
      <c r="J91" s="255"/>
    </row>
    <row r="92" spans="1:16" s="129" customFormat="1" hidden="1">
      <c r="A92" s="1344"/>
      <c r="B92" s="1345"/>
      <c r="C92" s="1360" t="str">
        <f>[4]BPU!C174</f>
        <v>m3</v>
      </c>
      <c r="D92" s="1361"/>
      <c r="E92" s="1338">
        <f>[4]BPU!D174</f>
        <v>98394</v>
      </c>
      <c r="F92" s="1338">
        <f>+D92*E92</f>
        <v>0</v>
      </c>
      <c r="G92" s="255"/>
      <c r="H92" s="255"/>
      <c r="I92" s="262"/>
      <c r="J92" s="255"/>
    </row>
    <row r="93" spans="1:16" s="129" customFormat="1">
      <c r="A93" s="1336" t="str">
        <f>+[4]BPU!A175</f>
        <v>504</v>
      </c>
      <c r="B93" s="1343" t="str">
        <f>+[4]BPU!B175</f>
        <v>Prix 504 - Coffrages</v>
      </c>
      <c r="C93" s="1359"/>
      <c r="D93" s="1342"/>
      <c r="E93" s="1338"/>
      <c r="F93" s="1338"/>
      <c r="G93" s="255"/>
      <c r="H93" s="255"/>
      <c r="I93" s="262"/>
      <c r="J93" s="255"/>
    </row>
    <row r="94" spans="1:16" s="129" customFormat="1">
      <c r="A94" s="1344"/>
      <c r="B94" s="1345"/>
      <c r="C94" s="1360" t="str">
        <f>[4]BPU!C176</f>
        <v>m2</v>
      </c>
      <c r="D94" s="1361">
        <v>92</v>
      </c>
      <c r="E94" s="1338" t="e">
        <f>+#REF!*1.5</f>
        <v>#REF!</v>
      </c>
      <c r="F94" s="1338" t="e">
        <f>+D94*E94</f>
        <v>#REF!</v>
      </c>
      <c r="G94" s="255"/>
      <c r="H94" s="255"/>
      <c r="I94" s="262"/>
      <c r="J94" s="255">
        <f>6.2+2</f>
        <v>8.1999999999999993</v>
      </c>
      <c r="K94" s="129">
        <f>2</f>
        <v>2</v>
      </c>
    </row>
    <row r="95" spans="1:16" s="129" customFormat="1">
      <c r="A95" s="1336">
        <f>+[4]BPU!A177</f>
        <v>505</v>
      </c>
      <c r="B95" s="1343" t="str">
        <f>+[4]BPU!B177</f>
        <v>Prix 505 - Aciers pour les bétons armés des ouvrages</v>
      </c>
      <c r="C95" s="1359"/>
      <c r="D95" s="1342"/>
      <c r="E95" s="1338"/>
      <c r="F95" s="1338"/>
      <c r="G95" s="255"/>
      <c r="H95" s="255"/>
      <c r="I95" s="262"/>
      <c r="J95" s="255"/>
      <c r="K95" s="129">
        <f>J94*K94/2</f>
        <v>8.1999999999999993</v>
      </c>
    </row>
    <row r="96" spans="1:16" s="129" customFormat="1">
      <c r="A96" s="1344" t="str">
        <f>+[4]BPU!A178</f>
        <v>505-1</v>
      </c>
      <c r="B96" s="1345" t="str">
        <f>+[4]BPU!B178</f>
        <v>le kilogramme d'acier à haute adhérence</v>
      </c>
      <c r="C96" s="1360" t="str">
        <f>[4]BPU!C178</f>
        <v>kg</v>
      </c>
      <c r="D96" s="1361">
        <f>+D100*120</f>
        <v>1680</v>
      </c>
      <c r="E96" s="1338" t="e">
        <f>+#REF!*1.5</f>
        <v>#REF!</v>
      </c>
      <c r="F96" s="1338" t="e">
        <f>+D96*E96</f>
        <v>#REF!</v>
      </c>
      <c r="G96" s="255"/>
      <c r="H96" s="255"/>
      <c r="I96" s="262"/>
      <c r="J96" s="255"/>
    </row>
    <row r="97" spans="1:189" s="129" customFormat="1" hidden="1">
      <c r="A97" s="1336">
        <f>+[4]BPU!A180</f>
        <v>506</v>
      </c>
      <c r="B97" s="1343" t="str">
        <f>+[4]BPU!B180</f>
        <v>Prix 506 - Béton de classe B 250</v>
      </c>
      <c r="C97" s="1359"/>
      <c r="D97" s="1342"/>
      <c r="E97" s="1338"/>
      <c r="F97" s="1338"/>
      <c r="G97" s="255"/>
      <c r="H97" s="255"/>
      <c r="I97" s="262"/>
      <c r="J97" s="255"/>
      <c r="L97" s="129">
        <f>0.1+0.25+0.25+0.25+0.1</f>
        <v>0.95</v>
      </c>
    </row>
    <row r="98" spans="1:189" s="129" customFormat="1" hidden="1">
      <c r="A98" s="1344"/>
      <c r="B98" s="1345"/>
      <c r="C98" s="1360" t="str">
        <f>[4]BPU!C181</f>
        <v>m3</v>
      </c>
      <c r="D98" s="1361"/>
      <c r="E98" s="1338">
        <f>[4]BPU!D181</f>
        <v>109505</v>
      </c>
      <c r="F98" s="1338">
        <f>+D98*E98</f>
        <v>0</v>
      </c>
      <c r="G98" s="255"/>
      <c r="H98" s="255"/>
      <c r="I98" s="262"/>
      <c r="J98" s="255"/>
      <c r="L98" s="129">
        <f>1*2+L97</f>
        <v>2.95</v>
      </c>
      <c r="N98" s="129">
        <f>0.1+0.25+1.8+0.25</f>
        <v>2.4</v>
      </c>
    </row>
    <row r="99" spans="1:189" s="129" customFormat="1">
      <c r="A99" s="1336">
        <f>+[4]BPU!A182</f>
        <v>507</v>
      </c>
      <c r="B99" s="1343" t="str">
        <f>+[4]BPU!B182</f>
        <v xml:space="preserve">Prix 507 - Béton de classe A 350  pour ouvrages </v>
      </c>
      <c r="C99" s="1359"/>
      <c r="D99" s="1342"/>
      <c r="E99" s="1338"/>
      <c r="F99" s="1338"/>
      <c r="G99" s="255"/>
      <c r="H99" s="255"/>
      <c r="I99" s="262"/>
      <c r="J99" s="255"/>
    </row>
    <row r="100" spans="1:189" s="129" customFormat="1">
      <c r="A100" s="1344"/>
      <c r="B100" s="1345"/>
      <c r="C100" s="1360" t="str">
        <f>[4]BPU!C183</f>
        <v>m3</v>
      </c>
      <c r="D100" s="1361">
        <v>14</v>
      </c>
      <c r="E100" s="1338" t="e">
        <f>+#REF!*1.5</f>
        <v>#REF!</v>
      </c>
      <c r="F100" s="1338" t="e">
        <f>+D100*E100</f>
        <v>#REF!</v>
      </c>
      <c r="G100" s="255"/>
      <c r="H100" s="255"/>
      <c r="I100" s="262"/>
      <c r="J100" s="255"/>
    </row>
    <row r="101" spans="1:189" s="129" customFormat="1" ht="25.5">
      <c r="A101" s="1372">
        <f>+[4]BPU!A186</f>
        <v>509</v>
      </c>
      <c r="B101" s="1337" t="str">
        <f>+[4]BPU!B186</f>
        <v>Prix 509 - Dalles de couverture de caniveaux, préfabriqués ou coulés sur place (Portée inférieure ou égale à 1,50 m)</v>
      </c>
      <c r="C101" s="1362"/>
      <c r="D101" s="1348"/>
      <c r="E101" s="1338"/>
      <c r="F101" s="1338"/>
      <c r="G101" s="255"/>
      <c r="H101" s="255"/>
      <c r="I101" s="262"/>
      <c r="J101" s="255"/>
    </row>
    <row r="102" spans="1:189" s="129" customFormat="1">
      <c r="A102" s="1344" t="str">
        <f>+[4]BPU!A187</f>
        <v>509-1</v>
      </c>
      <c r="B102" s="1345" t="str">
        <f>+[4]BPU!B187</f>
        <v xml:space="preserve">dalles de trottoirs </v>
      </c>
      <c r="C102" s="1360" t="str">
        <f>[4]BPU!C187</f>
        <v>m2</v>
      </c>
      <c r="D102" s="1348"/>
      <c r="E102" s="1338">
        <f>[4]BPU!D187</f>
        <v>47298</v>
      </c>
      <c r="F102" s="1338">
        <f>+D102*E102</f>
        <v>0</v>
      </c>
      <c r="G102" s="255"/>
      <c r="H102" s="255">
        <f>2%*J46</f>
        <v>400.46000000000004</v>
      </c>
      <c r="I102" s="262">
        <v>1.1000000000000001</v>
      </c>
      <c r="J102" s="255">
        <f>H102*I102</f>
        <v>440.50600000000009</v>
      </c>
    </row>
    <row r="103" spans="1:189" s="129" customFormat="1">
      <c r="A103" s="1344" t="str">
        <f>+[4]BPU!A188</f>
        <v>509-2</v>
      </c>
      <c r="B103" s="1345" t="str">
        <f>+[4]BPU!B188</f>
        <v xml:space="preserve">dalles de rue </v>
      </c>
      <c r="C103" s="1360" t="str">
        <f>[4]BPU!C188</f>
        <v>m2</v>
      </c>
      <c r="D103" s="1348"/>
      <c r="E103" s="1338">
        <f>[4]BPU!D188</f>
        <v>62523.75</v>
      </c>
      <c r="F103" s="1338">
        <f>+D103*E103</f>
        <v>0</v>
      </c>
      <c r="G103" s="255"/>
      <c r="H103" s="255">
        <f>1%*H46</f>
        <v>200.23000000000002</v>
      </c>
      <c r="I103" s="262">
        <v>1.1000000000000001</v>
      </c>
      <c r="J103" s="255">
        <f>H103*I103</f>
        <v>220.25300000000004</v>
      </c>
    </row>
    <row r="104" spans="1:189">
      <c r="A104" s="1344" t="str">
        <f>+[4]BPU!A189</f>
        <v>509-3</v>
      </c>
      <c r="B104" s="1345" t="str">
        <f>+[4]BPU!B189</f>
        <v xml:space="preserve">dalles spéciales B.A sur bouches avaloirs </v>
      </c>
      <c r="C104" s="1360" t="str">
        <f>[4]BPU!C189</f>
        <v>m2</v>
      </c>
      <c r="D104" s="1348"/>
      <c r="E104" s="1338">
        <f>[4]BPU!D189</f>
        <v>52900</v>
      </c>
      <c r="F104" s="1338">
        <f>+D104*E104</f>
        <v>0</v>
      </c>
      <c r="H104" s="255">
        <v>30</v>
      </c>
    </row>
    <row r="105" spans="1:189" s="225" customFormat="1" ht="25.5">
      <c r="A105" s="1336" t="str">
        <f>+[4]BPU!A200</f>
        <v>511</v>
      </c>
      <c r="B105" s="1337" t="str">
        <f>+[4]BPU!B200</f>
        <v>Prix 511 - Caniveaux trottoir en béton Armé y compris les dalles  de trottoir  et de rue</v>
      </c>
      <c r="C105" s="1360"/>
      <c r="D105" s="1361"/>
      <c r="E105" s="1338"/>
      <c r="F105" s="1338"/>
      <c r="G105" s="259"/>
      <c r="H105" s="259"/>
      <c r="I105" s="265"/>
      <c r="J105" s="255">
        <f>H105*I105</f>
        <v>0</v>
      </c>
      <c r="K105" s="226"/>
      <c r="L105" s="226"/>
      <c r="M105" s="226"/>
      <c r="N105" s="226"/>
      <c r="O105" s="226"/>
      <c r="P105" s="226"/>
      <c r="Q105" s="226"/>
      <c r="R105" s="226"/>
      <c r="S105" s="226"/>
      <c r="T105" s="226"/>
      <c r="U105" s="226"/>
      <c r="V105" s="226"/>
      <c r="W105" s="226"/>
      <c r="X105" s="226"/>
      <c r="Y105" s="226"/>
      <c r="Z105" s="226"/>
      <c r="AA105" s="226"/>
      <c r="AB105" s="226"/>
      <c r="AC105" s="226"/>
      <c r="AD105" s="226"/>
      <c r="AE105" s="226"/>
      <c r="AF105" s="226"/>
      <c r="AG105" s="226"/>
      <c r="AH105" s="226"/>
      <c r="AI105" s="226"/>
      <c r="AJ105" s="226"/>
      <c r="AK105" s="226"/>
      <c r="AL105" s="226"/>
      <c r="AM105" s="226"/>
      <c r="AN105" s="226"/>
      <c r="AO105" s="226"/>
      <c r="AP105" s="226"/>
      <c r="AQ105" s="226"/>
      <c r="AR105" s="226"/>
      <c r="AS105" s="226"/>
      <c r="AT105" s="226"/>
      <c r="AU105" s="226"/>
      <c r="AV105" s="226"/>
      <c r="AW105" s="226"/>
      <c r="AX105" s="226"/>
      <c r="AY105" s="226"/>
      <c r="AZ105" s="226"/>
      <c r="BA105" s="226"/>
      <c r="BB105" s="226"/>
      <c r="BC105" s="226"/>
      <c r="BD105" s="226"/>
      <c r="BE105" s="226"/>
      <c r="BF105" s="226"/>
      <c r="BG105" s="226"/>
      <c r="BH105" s="226"/>
      <c r="BI105" s="226"/>
      <c r="BJ105" s="226"/>
      <c r="BK105" s="226"/>
      <c r="BL105" s="226"/>
      <c r="BM105" s="226"/>
      <c r="BN105" s="226"/>
      <c r="BO105" s="226"/>
      <c r="BP105" s="226"/>
      <c r="BQ105" s="226"/>
      <c r="BR105" s="226"/>
      <c r="BS105" s="226"/>
      <c r="BT105" s="226"/>
      <c r="BU105" s="226"/>
      <c r="BV105" s="226"/>
      <c r="BW105" s="226"/>
      <c r="BX105" s="226"/>
      <c r="BY105" s="226"/>
      <c r="BZ105" s="226"/>
      <c r="CA105" s="226"/>
      <c r="CB105" s="226"/>
      <c r="CC105" s="226"/>
      <c r="CD105" s="226"/>
      <c r="CE105" s="226"/>
      <c r="CF105" s="226"/>
      <c r="CG105" s="226"/>
      <c r="CH105" s="226"/>
      <c r="CI105" s="226"/>
      <c r="CJ105" s="226"/>
      <c r="CK105" s="226"/>
      <c r="CL105" s="226"/>
      <c r="CM105" s="226"/>
      <c r="CN105" s="226"/>
      <c r="CO105" s="226"/>
      <c r="CP105" s="226"/>
      <c r="CQ105" s="226"/>
      <c r="CR105" s="226"/>
      <c r="CS105" s="226"/>
      <c r="CT105" s="226"/>
      <c r="CU105" s="226"/>
      <c r="CV105" s="226"/>
      <c r="CW105" s="226"/>
      <c r="CX105" s="226"/>
      <c r="CY105" s="226"/>
      <c r="CZ105" s="226"/>
      <c r="DA105" s="226"/>
      <c r="DB105" s="226"/>
      <c r="DC105" s="226"/>
      <c r="DD105" s="226"/>
      <c r="DE105" s="226"/>
      <c r="DF105" s="226"/>
      <c r="DG105" s="226"/>
      <c r="DH105" s="226"/>
      <c r="DI105" s="226"/>
      <c r="DJ105" s="226"/>
      <c r="DK105" s="226"/>
      <c r="DL105" s="226"/>
      <c r="DM105" s="226"/>
      <c r="DN105" s="226"/>
      <c r="DO105" s="226"/>
      <c r="DP105" s="226"/>
      <c r="DQ105" s="226"/>
      <c r="DR105" s="226"/>
      <c r="DS105" s="226"/>
      <c r="DT105" s="226"/>
      <c r="DU105" s="226"/>
      <c r="DV105" s="226"/>
      <c r="DW105" s="226"/>
      <c r="DX105" s="226"/>
      <c r="DY105" s="226"/>
      <c r="DZ105" s="226"/>
      <c r="EA105" s="226"/>
      <c r="EB105" s="226"/>
      <c r="EC105" s="226"/>
      <c r="ED105" s="226"/>
      <c r="EE105" s="226"/>
      <c r="EF105" s="226"/>
      <c r="EG105" s="226"/>
      <c r="EH105" s="226"/>
      <c r="EI105" s="226"/>
      <c r="EJ105" s="226"/>
      <c r="EK105" s="226"/>
      <c r="EL105" s="226"/>
      <c r="EM105" s="226"/>
      <c r="EN105" s="226"/>
      <c r="EO105" s="226"/>
      <c r="EP105" s="226"/>
      <c r="EQ105" s="226"/>
      <c r="ER105" s="226"/>
      <c r="ES105" s="226"/>
      <c r="ET105" s="226"/>
      <c r="EU105" s="226"/>
      <c r="EV105" s="226"/>
      <c r="EW105" s="226"/>
      <c r="EX105" s="226"/>
      <c r="EY105" s="226"/>
      <c r="EZ105" s="226"/>
      <c r="FA105" s="226"/>
      <c r="FB105" s="226"/>
      <c r="FC105" s="226"/>
      <c r="FD105" s="226"/>
      <c r="FE105" s="226"/>
      <c r="FF105" s="226"/>
      <c r="FG105" s="226"/>
      <c r="FH105" s="226"/>
      <c r="FI105" s="226"/>
      <c r="FJ105" s="226"/>
      <c r="FK105" s="226"/>
      <c r="FL105" s="226"/>
      <c r="FM105" s="226"/>
      <c r="FN105" s="226"/>
      <c r="FO105" s="226"/>
      <c r="FP105" s="226"/>
      <c r="FQ105" s="226"/>
      <c r="FR105" s="226"/>
      <c r="FS105" s="226"/>
      <c r="FT105" s="226"/>
      <c r="FU105" s="226"/>
      <c r="FV105" s="226"/>
      <c r="FW105" s="226"/>
      <c r="FX105" s="226"/>
      <c r="FY105" s="226"/>
      <c r="FZ105" s="226"/>
      <c r="GA105" s="226"/>
      <c r="GB105" s="226"/>
      <c r="GC105" s="226"/>
      <c r="GD105" s="226"/>
      <c r="GE105" s="226"/>
      <c r="GF105" s="226"/>
      <c r="GG105" s="226"/>
    </row>
    <row r="106" spans="1:189" s="225" customFormat="1">
      <c r="A106" s="1344" t="str">
        <f>+[4]BPU!A201</f>
        <v>Prix 511-1</v>
      </c>
      <c r="B106" s="1345" t="str">
        <f>+[4]BPU!B201</f>
        <v>caniveau trottoir de largeur intérieure 0,60 m et hauteur 0,60 à 0,7 m</v>
      </c>
      <c r="C106" s="1360" t="str">
        <f>[4]BPU!C201</f>
        <v>m</v>
      </c>
      <c r="D106" s="1361"/>
      <c r="E106" s="1338">
        <f>+[4]BPU!D201</f>
        <v>95000</v>
      </c>
      <c r="F106" s="1338">
        <f>+D106*E106</f>
        <v>0</v>
      </c>
      <c r="G106" s="259"/>
      <c r="H106" s="225" t="e">
        <f>+(#REF!+#REF!+#REF!)*2*0.6</f>
        <v>#REF!</v>
      </c>
      <c r="I106" s="265">
        <v>1.2</v>
      </c>
      <c r="J106" s="255" t="e">
        <f>H106*I106</f>
        <v>#REF!</v>
      </c>
      <c r="K106" s="226" t="s">
        <v>595</v>
      </c>
      <c r="L106" s="226"/>
      <c r="M106" s="226" t="e">
        <f>+(#REF!+#REF!+#REF!)*2</f>
        <v>#REF!</v>
      </c>
      <c r="N106" s="226"/>
      <c r="O106" s="226"/>
      <c r="P106" s="226"/>
      <c r="Q106" s="226"/>
      <c r="R106" s="226"/>
      <c r="S106" s="226"/>
      <c r="T106" s="226"/>
      <c r="U106" s="226"/>
      <c r="V106" s="226"/>
      <c r="W106" s="226"/>
      <c r="X106" s="226"/>
      <c r="Y106" s="226"/>
      <c r="Z106" s="226"/>
      <c r="AA106" s="226"/>
      <c r="AB106" s="226"/>
      <c r="AC106" s="226"/>
      <c r="AD106" s="226"/>
      <c r="AE106" s="226"/>
      <c r="AF106" s="226"/>
      <c r="AG106" s="226"/>
      <c r="AH106" s="226"/>
      <c r="AI106" s="226"/>
      <c r="AJ106" s="226"/>
      <c r="AK106" s="226"/>
      <c r="AL106" s="226"/>
      <c r="AM106" s="226"/>
      <c r="AN106" s="226"/>
      <c r="AO106" s="226"/>
      <c r="AP106" s="226"/>
      <c r="AQ106" s="226"/>
      <c r="AR106" s="226"/>
      <c r="AS106" s="226"/>
      <c r="AT106" s="226"/>
      <c r="AU106" s="226"/>
      <c r="AV106" s="226"/>
      <c r="AW106" s="226"/>
      <c r="AX106" s="226"/>
      <c r="AY106" s="226"/>
      <c r="AZ106" s="226"/>
      <c r="BA106" s="226"/>
      <c r="BB106" s="226"/>
      <c r="BC106" s="226"/>
      <c r="BD106" s="226"/>
      <c r="BE106" s="226"/>
      <c r="BF106" s="226"/>
      <c r="BG106" s="226"/>
      <c r="BH106" s="226"/>
      <c r="BI106" s="226"/>
      <c r="BJ106" s="226"/>
      <c r="BK106" s="226"/>
      <c r="BL106" s="226"/>
      <c r="BM106" s="226"/>
      <c r="BN106" s="226"/>
      <c r="BO106" s="226"/>
      <c r="BP106" s="226"/>
      <c r="BQ106" s="226"/>
      <c r="BR106" s="226"/>
      <c r="BS106" s="226"/>
      <c r="BT106" s="226"/>
      <c r="BU106" s="226"/>
      <c r="BV106" s="226"/>
      <c r="BW106" s="226"/>
      <c r="BX106" s="226"/>
      <c r="BY106" s="226"/>
      <c r="BZ106" s="226"/>
      <c r="CA106" s="226"/>
      <c r="CB106" s="226"/>
      <c r="CC106" s="226"/>
      <c r="CD106" s="226"/>
      <c r="CE106" s="226"/>
      <c r="CF106" s="226"/>
      <c r="CG106" s="226"/>
      <c r="CH106" s="226"/>
      <c r="CI106" s="226"/>
      <c r="CJ106" s="226"/>
      <c r="CK106" s="226"/>
      <c r="CL106" s="226"/>
      <c r="CM106" s="226"/>
      <c r="CN106" s="226"/>
      <c r="CO106" s="226"/>
      <c r="CP106" s="226"/>
      <c r="CQ106" s="226"/>
      <c r="CR106" s="226"/>
      <c r="CS106" s="226"/>
      <c r="CT106" s="226"/>
      <c r="CU106" s="226"/>
      <c r="CV106" s="226"/>
      <c r="CW106" s="226"/>
      <c r="CX106" s="226"/>
      <c r="CY106" s="226"/>
      <c r="CZ106" s="226"/>
      <c r="DA106" s="226"/>
      <c r="DB106" s="226"/>
      <c r="DC106" s="226"/>
      <c r="DD106" s="226"/>
      <c r="DE106" s="226"/>
      <c r="DF106" s="226"/>
      <c r="DG106" s="226"/>
      <c r="DH106" s="226"/>
      <c r="DI106" s="226"/>
      <c r="DJ106" s="226"/>
      <c r="DK106" s="226"/>
      <c r="DL106" s="226"/>
      <c r="DM106" s="226"/>
      <c r="DN106" s="226"/>
      <c r="DO106" s="226"/>
      <c r="DP106" s="226"/>
      <c r="DQ106" s="226"/>
      <c r="DR106" s="226"/>
      <c r="DS106" s="226"/>
      <c r="DT106" s="226"/>
      <c r="DU106" s="226"/>
      <c r="DV106" s="226"/>
      <c r="DW106" s="226"/>
      <c r="DX106" s="226"/>
      <c r="DY106" s="226"/>
      <c r="DZ106" s="226"/>
      <c r="EA106" s="226"/>
      <c r="EB106" s="226"/>
      <c r="EC106" s="226"/>
      <c r="ED106" s="226"/>
      <c r="EE106" s="226"/>
      <c r="EF106" s="226"/>
      <c r="EG106" s="226"/>
      <c r="EH106" s="226"/>
      <c r="EI106" s="226"/>
      <c r="EJ106" s="226"/>
      <c r="EK106" s="226"/>
      <c r="EL106" s="226"/>
      <c r="EM106" s="226"/>
      <c r="EN106" s="226"/>
      <c r="EO106" s="226"/>
      <c r="EP106" s="226"/>
      <c r="EQ106" s="226"/>
      <c r="ER106" s="226"/>
      <c r="ES106" s="226"/>
      <c r="ET106" s="226"/>
      <c r="EU106" s="226"/>
      <c r="EV106" s="226"/>
      <c r="EW106" s="226"/>
      <c r="EX106" s="226"/>
      <c r="EY106" s="226"/>
      <c r="EZ106" s="226"/>
      <c r="FA106" s="226"/>
      <c r="FB106" s="226"/>
      <c r="FC106" s="226"/>
      <c r="FD106" s="226"/>
      <c r="FE106" s="226"/>
      <c r="FF106" s="226"/>
      <c r="FG106" s="226"/>
      <c r="FH106" s="226"/>
      <c r="FI106" s="226"/>
      <c r="FJ106" s="226"/>
      <c r="FK106" s="226"/>
      <c r="FL106" s="226"/>
      <c r="FM106" s="226"/>
      <c r="FN106" s="226"/>
      <c r="FO106" s="226"/>
      <c r="FP106" s="226"/>
      <c r="FQ106" s="226"/>
      <c r="FR106" s="226"/>
      <c r="FS106" s="226"/>
      <c r="FT106" s="226"/>
      <c r="FU106" s="226"/>
      <c r="FV106" s="226"/>
      <c r="FW106" s="226"/>
      <c r="FX106" s="226"/>
      <c r="FY106" s="226"/>
      <c r="FZ106" s="226"/>
      <c r="GA106" s="226"/>
      <c r="GB106" s="226"/>
      <c r="GC106" s="226"/>
      <c r="GD106" s="226"/>
      <c r="GE106" s="226"/>
      <c r="GF106" s="226"/>
      <c r="GG106" s="226"/>
    </row>
    <row r="107" spans="1:189" s="225" customFormat="1">
      <c r="A107" s="1344" t="str">
        <f>+[4]BPU!A206</f>
        <v>Prix 511-6</v>
      </c>
      <c r="B107" s="1345" t="str">
        <f>+[4]BPU!B206</f>
        <v>caniveau trottoir de largeur intérieure 0,8 m et hauteur 0,80 à 0,90 m</v>
      </c>
      <c r="C107" s="1360" t="str">
        <f>[4]BPU!C206</f>
        <v>m</v>
      </c>
      <c r="D107" s="1361"/>
      <c r="E107" s="1338">
        <f>+[4]BPU!D206</f>
        <v>110000</v>
      </c>
      <c r="F107" s="1338">
        <f>+D107*E107</f>
        <v>0</v>
      </c>
      <c r="G107" s="259"/>
      <c r="H107" s="225" t="e">
        <f>+(#REF!+#REF!+#REF!)*2*0.4</f>
        <v>#REF!</v>
      </c>
      <c r="I107" s="265">
        <v>1.1000000000000001</v>
      </c>
      <c r="J107" s="255" t="e">
        <f>H107*I107</f>
        <v>#REF!</v>
      </c>
      <c r="K107" s="226"/>
      <c r="L107" s="226"/>
      <c r="M107" s="226"/>
      <c r="N107" s="226"/>
      <c r="O107" s="226"/>
      <c r="P107" s="226"/>
      <c r="Q107" s="226"/>
      <c r="R107" s="226"/>
      <c r="S107" s="226"/>
      <c r="T107" s="226"/>
      <c r="U107" s="226"/>
      <c r="V107" s="226"/>
      <c r="W107" s="226"/>
      <c r="X107" s="226"/>
      <c r="Y107" s="226"/>
      <c r="Z107" s="226"/>
      <c r="AA107" s="226"/>
      <c r="AB107" s="226"/>
      <c r="AC107" s="226"/>
      <c r="AD107" s="226"/>
      <c r="AE107" s="226"/>
      <c r="AF107" s="226"/>
      <c r="AG107" s="226"/>
      <c r="AH107" s="226"/>
      <c r="AI107" s="226"/>
      <c r="AJ107" s="226"/>
      <c r="AK107" s="226"/>
      <c r="AL107" s="226"/>
      <c r="AM107" s="226"/>
      <c r="AN107" s="226"/>
      <c r="AO107" s="226"/>
      <c r="AP107" s="226"/>
      <c r="AQ107" s="226"/>
      <c r="AR107" s="226"/>
      <c r="AS107" s="226"/>
      <c r="AT107" s="226"/>
      <c r="AU107" s="226"/>
      <c r="AV107" s="226"/>
      <c r="AW107" s="226"/>
      <c r="AX107" s="226"/>
      <c r="AY107" s="226"/>
      <c r="AZ107" s="226"/>
      <c r="BA107" s="226"/>
      <c r="BB107" s="226"/>
      <c r="BC107" s="226"/>
      <c r="BD107" s="226"/>
      <c r="BE107" s="226"/>
      <c r="BF107" s="226"/>
      <c r="BG107" s="226"/>
      <c r="BH107" s="226"/>
      <c r="BI107" s="226"/>
      <c r="BJ107" s="226"/>
      <c r="BK107" s="226"/>
      <c r="BL107" s="226"/>
      <c r="BM107" s="226"/>
      <c r="BN107" s="226"/>
      <c r="BO107" s="226"/>
      <c r="BP107" s="226"/>
      <c r="BQ107" s="226"/>
      <c r="BR107" s="226"/>
      <c r="BS107" s="226"/>
      <c r="BT107" s="226"/>
      <c r="BU107" s="226"/>
      <c r="BV107" s="226"/>
      <c r="BW107" s="226"/>
      <c r="BX107" s="226"/>
      <c r="BY107" s="226"/>
      <c r="BZ107" s="226"/>
      <c r="CA107" s="226"/>
      <c r="CB107" s="226"/>
      <c r="CC107" s="226"/>
      <c r="CD107" s="226"/>
      <c r="CE107" s="226"/>
      <c r="CF107" s="226"/>
      <c r="CG107" s="226"/>
      <c r="CH107" s="226"/>
      <c r="CI107" s="226"/>
      <c r="CJ107" s="226"/>
      <c r="CK107" s="226"/>
      <c r="CL107" s="226"/>
      <c r="CM107" s="226"/>
      <c r="CN107" s="226"/>
      <c r="CO107" s="226"/>
      <c r="CP107" s="226"/>
      <c r="CQ107" s="226"/>
      <c r="CR107" s="226"/>
      <c r="CS107" s="226"/>
      <c r="CT107" s="226"/>
      <c r="CU107" s="226"/>
      <c r="CV107" s="226"/>
      <c r="CW107" s="226"/>
      <c r="CX107" s="226"/>
      <c r="CY107" s="226"/>
      <c r="CZ107" s="226"/>
      <c r="DA107" s="226"/>
      <c r="DB107" s="226"/>
      <c r="DC107" s="226"/>
      <c r="DD107" s="226"/>
      <c r="DE107" s="226"/>
      <c r="DF107" s="226"/>
      <c r="DG107" s="226"/>
      <c r="DH107" s="226"/>
      <c r="DI107" s="226"/>
      <c r="DJ107" s="226"/>
      <c r="DK107" s="226"/>
      <c r="DL107" s="226"/>
      <c r="DM107" s="226"/>
      <c r="DN107" s="226"/>
      <c r="DO107" s="226"/>
      <c r="DP107" s="226"/>
      <c r="DQ107" s="226"/>
      <c r="DR107" s="226"/>
      <c r="DS107" s="226"/>
      <c r="DT107" s="226"/>
      <c r="DU107" s="226"/>
      <c r="DV107" s="226"/>
      <c r="DW107" s="226"/>
      <c r="DX107" s="226"/>
      <c r="DY107" s="226"/>
      <c r="DZ107" s="226"/>
      <c r="EA107" s="226"/>
      <c r="EB107" s="226"/>
      <c r="EC107" s="226"/>
      <c r="ED107" s="226"/>
      <c r="EE107" s="226"/>
      <c r="EF107" s="226"/>
      <c r="EG107" s="226"/>
      <c r="EH107" s="226"/>
      <c r="EI107" s="226"/>
      <c r="EJ107" s="226"/>
      <c r="EK107" s="226"/>
      <c r="EL107" s="226"/>
      <c r="EM107" s="226"/>
      <c r="EN107" s="226"/>
      <c r="EO107" s="226"/>
      <c r="EP107" s="226"/>
      <c r="EQ107" s="226"/>
      <c r="ER107" s="226"/>
      <c r="ES107" s="226"/>
      <c r="ET107" s="226"/>
      <c r="EU107" s="226"/>
      <c r="EV107" s="226"/>
      <c r="EW107" s="226"/>
      <c r="EX107" s="226"/>
      <c r="EY107" s="226"/>
      <c r="EZ107" s="226"/>
      <c r="FA107" s="226"/>
      <c r="FB107" s="226"/>
      <c r="FC107" s="226"/>
      <c r="FD107" s="226"/>
      <c r="FE107" s="226"/>
      <c r="FF107" s="226"/>
      <c r="FG107" s="226"/>
      <c r="FH107" s="226"/>
      <c r="FI107" s="226"/>
      <c r="FJ107" s="226"/>
      <c r="FK107" s="226"/>
      <c r="FL107" s="226"/>
      <c r="FM107" s="226"/>
      <c r="FN107" s="226"/>
      <c r="FO107" s="226"/>
      <c r="FP107" s="226"/>
      <c r="FQ107" s="226"/>
      <c r="FR107" s="226"/>
      <c r="FS107" s="226"/>
      <c r="FT107" s="226"/>
      <c r="FU107" s="226"/>
      <c r="FV107" s="226"/>
      <c r="FW107" s="226"/>
      <c r="FX107" s="226"/>
      <c r="FY107" s="226"/>
      <c r="FZ107" s="226"/>
      <c r="GA107" s="226"/>
      <c r="GB107" s="226"/>
      <c r="GC107" s="226"/>
      <c r="GD107" s="226"/>
      <c r="GE107" s="226"/>
      <c r="GF107" s="226"/>
      <c r="GG107" s="226"/>
    </row>
    <row r="108" spans="1:189" s="225" customFormat="1">
      <c r="A108" s="1336" t="str">
        <f>+[4]BPU!A232</f>
        <v xml:space="preserve">Prix 511 bis  </v>
      </c>
      <c r="B108" s="1343" t="str">
        <f>+[4]BPU!B232</f>
        <v>Prix 511 bis - Caniveaux – cadre en béton armé</v>
      </c>
      <c r="C108" s="1360"/>
      <c r="D108" s="1361"/>
      <c r="E108" s="1338"/>
      <c r="F108" s="1338"/>
      <c r="G108" s="259"/>
      <c r="I108" s="265"/>
      <c r="J108" s="255"/>
      <c r="K108" s="226"/>
      <c r="L108" s="226"/>
      <c r="M108" s="226"/>
      <c r="N108" s="226"/>
      <c r="O108" s="226"/>
      <c r="P108" s="226"/>
      <c r="Q108" s="226"/>
      <c r="R108" s="226"/>
      <c r="S108" s="226"/>
      <c r="T108" s="226"/>
      <c r="U108" s="226"/>
      <c r="V108" s="226"/>
      <c r="W108" s="226"/>
      <c r="X108" s="226"/>
      <c r="Y108" s="226"/>
      <c r="Z108" s="226"/>
      <c r="AA108" s="226"/>
      <c r="AB108" s="226"/>
      <c r="AC108" s="226"/>
      <c r="AD108" s="226"/>
      <c r="AE108" s="226"/>
      <c r="AF108" s="226"/>
      <c r="AG108" s="226"/>
      <c r="AH108" s="226"/>
      <c r="AI108" s="226"/>
      <c r="AJ108" s="226"/>
      <c r="AK108" s="226"/>
      <c r="AL108" s="226"/>
      <c r="AM108" s="226"/>
      <c r="AN108" s="226"/>
      <c r="AO108" s="226"/>
      <c r="AP108" s="226"/>
      <c r="AQ108" s="226"/>
      <c r="AR108" s="226"/>
      <c r="AS108" s="226"/>
      <c r="AT108" s="226"/>
      <c r="AU108" s="226"/>
      <c r="AV108" s="226"/>
      <c r="AW108" s="226"/>
      <c r="AX108" s="226"/>
      <c r="AY108" s="226"/>
      <c r="AZ108" s="226"/>
      <c r="BA108" s="226"/>
      <c r="BB108" s="226"/>
      <c r="BC108" s="226"/>
      <c r="BD108" s="226"/>
      <c r="BE108" s="226"/>
      <c r="BF108" s="226"/>
      <c r="BG108" s="226"/>
      <c r="BH108" s="226"/>
      <c r="BI108" s="226"/>
      <c r="BJ108" s="226"/>
      <c r="BK108" s="226"/>
      <c r="BL108" s="226"/>
      <c r="BM108" s="226"/>
      <c r="BN108" s="226"/>
      <c r="BO108" s="226"/>
      <c r="BP108" s="226"/>
      <c r="BQ108" s="226"/>
      <c r="BR108" s="226"/>
      <c r="BS108" s="226"/>
      <c r="BT108" s="226"/>
      <c r="BU108" s="226"/>
      <c r="BV108" s="226"/>
      <c r="BW108" s="226"/>
      <c r="BX108" s="226"/>
      <c r="BY108" s="226"/>
      <c r="BZ108" s="226"/>
      <c r="CA108" s="226"/>
      <c r="CB108" s="226"/>
      <c r="CC108" s="226"/>
      <c r="CD108" s="226"/>
      <c r="CE108" s="226"/>
      <c r="CF108" s="226"/>
      <c r="CG108" s="226"/>
      <c r="CH108" s="226"/>
      <c r="CI108" s="226"/>
      <c r="CJ108" s="226"/>
      <c r="CK108" s="226"/>
      <c r="CL108" s="226"/>
      <c r="CM108" s="226"/>
      <c r="CN108" s="226"/>
      <c r="CO108" s="226"/>
      <c r="CP108" s="226"/>
      <c r="CQ108" s="226"/>
      <c r="CR108" s="226"/>
      <c r="CS108" s="226"/>
      <c r="CT108" s="226"/>
      <c r="CU108" s="226"/>
      <c r="CV108" s="226"/>
      <c r="CW108" s="226"/>
      <c r="CX108" s="226"/>
      <c r="CY108" s="226"/>
      <c r="CZ108" s="226"/>
      <c r="DA108" s="226"/>
      <c r="DB108" s="226"/>
      <c r="DC108" s="226"/>
      <c r="DD108" s="226"/>
      <c r="DE108" s="226"/>
      <c r="DF108" s="226"/>
      <c r="DG108" s="226"/>
      <c r="DH108" s="226"/>
      <c r="DI108" s="226"/>
      <c r="DJ108" s="226"/>
      <c r="DK108" s="226"/>
      <c r="DL108" s="226"/>
      <c r="DM108" s="226"/>
      <c r="DN108" s="226"/>
      <c r="DO108" s="226"/>
      <c r="DP108" s="226"/>
      <c r="DQ108" s="226"/>
      <c r="DR108" s="226"/>
      <c r="DS108" s="226"/>
      <c r="DT108" s="226"/>
      <c r="DU108" s="226"/>
      <c r="DV108" s="226"/>
      <c r="DW108" s="226"/>
      <c r="DX108" s="226"/>
      <c r="DY108" s="226"/>
      <c r="DZ108" s="226"/>
      <c r="EA108" s="226"/>
      <c r="EB108" s="226"/>
      <c r="EC108" s="226"/>
      <c r="ED108" s="226"/>
      <c r="EE108" s="226"/>
      <c r="EF108" s="226"/>
      <c r="EG108" s="226"/>
      <c r="EH108" s="226"/>
      <c r="EI108" s="226"/>
      <c r="EJ108" s="226"/>
      <c r="EK108" s="226"/>
      <c r="EL108" s="226"/>
      <c r="EM108" s="226"/>
      <c r="EN108" s="226"/>
      <c r="EO108" s="226"/>
      <c r="EP108" s="226"/>
      <c r="EQ108" s="226"/>
      <c r="ER108" s="226"/>
      <c r="ES108" s="226"/>
      <c r="ET108" s="226"/>
      <c r="EU108" s="226"/>
      <c r="EV108" s="226"/>
      <c r="EW108" s="226"/>
      <c r="EX108" s="226"/>
      <c r="EY108" s="226"/>
      <c r="EZ108" s="226"/>
      <c r="FA108" s="226"/>
      <c r="FB108" s="226"/>
      <c r="FC108" s="226"/>
      <c r="FD108" s="226"/>
      <c r="FE108" s="226"/>
      <c r="FF108" s="226"/>
      <c r="FG108" s="226"/>
      <c r="FH108" s="226"/>
      <c r="FI108" s="226"/>
      <c r="FJ108" s="226"/>
      <c r="FK108" s="226"/>
      <c r="FL108" s="226"/>
      <c r="FM108" s="226"/>
      <c r="FN108" s="226"/>
      <c r="FO108" s="226"/>
      <c r="FP108" s="226"/>
      <c r="FQ108" s="226"/>
      <c r="FR108" s="226"/>
      <c r="FS108" s="226"/>
      <c r="FT108" s="226"/>
      <c r="FU108" s="226"/>
      <c r="FV108" s="226"/>
      <c r="FW108" s="226"/>
      <c r="FX108" s="226"/>
      <c r="FY108" s="226"/>
      <c r="FZ108" s="226"/>
      <c r="GA108" s="226"/>
      <c r="GB108" s="226"/>
      <c r="GC108" s="226"/>
      <c r="GD108" s="226"/>
      <c r="GE108" s="226"/>
      <c r="GF108" s="226"/>
      <c r="GG108" s="226"/>
    </row>
    <row r="109" spans="1:189" s="225" customFormat="1">
      <c r="A109" s="1344" t="str">
        <f>+[4]BPU!A234</f>
        <v>Prix 511bis-2</v>
      </c>
      <c r="B109" s="1345" t="str">
        <f>+[4]BPU!B234</f>
        <v>caniveau cadre de largeur intérieure 1,0 m et hauteur 1,0 m</v>
      </c>
      <c r="C109" s="1360" t="str">
        <f>[4]BPU!C234</f>
        <v>m</v>
      </c>
      <c r="D109" s="1361"/>
      <c r="E109" s="1338">
        <f>[4]BPU!D234</f>
        <v>450000</v>
      </c>
      <c r="F109" s="1338">
        <f>+D109*E109</f>
        <v>0</v>
      </c>
      <c r="G109" s="259"/>
      <c r="H109" s="259" t="e">
        <f>#REF!</f>
        <v>#REF!</v>
      </c>
      <c r="I109" s="265">
        <v>1.02</v>
      </c>
      <c r="J109" s="259" t="e">
        <f>H109*I109</f>
        <v>#REF!</v>
      </c>
      <c r="K109" s="226"/>
      <c r="L109" s="226"/>
      <c r="M109" s="226"/>
      <c r="N109" s="226"/>
      <c r="O109" s="226"/>
      <c r="P109" s="226"/>
      <c r="Q109" s="226"/>
      <c r="R109" s="226"/>
      <c r="S109" s="226"/>
      <c r="T109" s="226"/>
      <c r="U109" s="226"/>
      <c r="V109" s="226"/>
      <c r="W109" s="226"/>
      <c r="X109" s="226"/>
      <c r="Y109" s="226"/>
      <c r="Z109" s="226"/>
      <c r="AA109" s="226"/>
      <c r="AB109" s="226"/>
      <c r="AC109" s="226"/>
      <c r="AD109" s="226"/>
      <c r="AE109" s="226"/>
      <c r="AF109" s="226"/>
      <c r="AG109" s="226"/>
      <c r="AH109" s="226"/>
      <c r="AI109" s="226"/>
      <c r="AJ109" s="226"/>
      <c r="AK109" s="226"/>
      <c r="AL109" s="226"/>
      <c r="AM109" s="226"/>
      <c r="AN109" s="226"/>
      <c r="AO109" s="226"/>
      <c r="AP109" s="226"/>
      <c r="AQ109" s="226"/>
      <c r="AR109" s="226"/>
      <c r="AS109" s="226"/>
      <c r="AT109" s="226"/>
      <c r="AU109" s="226"/>
      <c r="AV109" s="226"/>
      <c r="AW109" s="226"/>
      <c r="AX109" s="226"/>
      <c r="AY109" s="226"/>
      <c r="AZ109" s="226"/>
      <c r="BA109" s="226"/>
      <c r="BB109" s="226"/>
      <c r="BC109" s="226"/>
      <c r="BD109" s="226"/>
      <c r="BE109" s="226"/>
      <c r="BF109" s="226"/>
      <c r="BG109" s="226"/>
      <c r="BH109" s="226"/>
      <c r="BI109" s="226"/>
      <c r="BJ109" s="226"/>
      <c r="BK109" s="226"/>
      <c r="BL109" s="226"/>
      <c r="BM109" s="226"/>
      <c r="BN109" s="226"/>
      <c r="BO109" s="226"/>
      <c r="BP109" s="226"/>
      <c r="BQ109" s="226"/>
      <c r="BR109" s="226"/>
      <c r="BS109" s="226"/>
      <c r="BT109" s="226"/>
      <c r="BU109" s="226"/>
      <c r="BV109" s="226"/>
      <c r="BW109" s="226"/>
      <c r="BX109" s="226"/>
      <c r="BY109" s="226"/>
      <c r="BZ109" s="226"/>
      <c r="CA109" s="226"/>
      <c r="CB109" s="226"/>
      <c r="CC109" s="226"/>
      <c r="CD109" s="226"/>
      <c r="CE109" s="226"/>
      <c r="CF109" s="226"/>
      <c r="CG109" s="226"/>
      <c r="CH109" s="226"/>
      <c r="CI109" s="226"/>
      <c r="CJ109" s="226"/>
      <c r="CK109" s="226"/>
      <c r="CL109" s="226"/>
      <c r="CM109" s="226"/>
      <c r="CN109" s="226"/>
      <c r="CO109" s="226"/>
      <c r="CP109" s="226"/>
      <c r="CQ109" s="226"/>
      <c r="CR109" s="226"/>
      <c r="CS109" s="226"/>
      <c r="CT109" s="226"/>
      <c r="CU109" s="226"/>
      <c r="CV109" s="226"/>
      <c r="CW109" s="226"/>
      <c r="CX109" s="226"/>
      <c r="CY109" s="226"/>
      <c r="CZ109" s="226"/>
      <c r="DA109" s="226"/>
      <c r="DB109" s="226"/>
      <c r="DC109" s="226"/>
      <c r="DD109" s="226"/>
      <c r="DE109" s="226"/>
      <c r="DF109" s="226"/>
      <c r="DG109" s="226"/>
      <c r="DH109" s="226"/>
      <c r="DI109" s="226"/>
      <c r="DJ109" s="226"/>
      <c r="DK109" s="226"/>
      <c r="DL109" s="226"/>
      <c r="DM109" s="226"/>
      <c r="DN109" s="226"/>
      <c r="DO109" s="226"/>
      <c r="DP109" s="226"/>
      <c r="DQ109" s="226"/>
      <c r="DR109" s="226"/>
      <c r="DS109" s="226"/>
      <c r="DT109" s="226"/>
      <c r="DU109" s="226"/>
      <c r="DV109" s="226"/>
      <c r="DW109" s="226"/>
      <c r="DX109" s="226"/>
      <c r="DY109" s="226"/>
      <c r="DZ109" s="226"/>
      <c r="EA109" s="226"/>
      <c r="EB109" s="226"/>
      <c r="EC109" s="226"/>
      <c r="ED109" s="226"/>
      <c r="EE109" s="226"/>
      <c r="EF109" s="226"/>
      <c r="EG109" s="226"/>
      <c r="EH109" s="226"/>
      <c r="EI109" s="226"/>
      <c r="EJ109" s="226"/>
      <c r="EK109" s="226"/>
      <c r="EL109" s="226"/>
      <c r="EM109" s="226"/>
      <c r="EN109" s="226"/>
      <c r="EO109" s="226"/>
      <c r="EP109" s="226"/>
      <c r="EQ109" s="226"/>
      <c r="ER109" s="226"/>
      <c r="ES109" s="226"/>
      <c r="ET109" s="226"/>
      <c r="EU109" s="226"/>
      <c r="EV109" s="226"/>
      <c r="EW109" s="226"/>
      <c r="EX109" s="226"/>
      <c r="EY109" s="226"/>
      <c r="EZ109" s="226"/>
      <c r="FA109" s="226"/>
      <c r="FB109" s="226"/>
      <c r="FC109" s="226"/>
      <c r="FD109" s="226"/>
      <c r="FE109" s="226"/>
      <c r="FF109" s="226"/>
      <c r="FG109" s="226"/>
      <c r="FH109" s="226"/>
      <c r="FI109" s="226"/>
      <c r="FJ109" s="226"/>
      <c r="FK109" s="226"/>
      <c r="FL109" s="226"/>
      <c r="FM109" s="226"/>
      <c r="FN109" s="226"/>
      <c r="FO109" s="226"/>
      <c r="FP109" s="226"/>
      <c r="FQ109" s="226"/>
      <c r="FR109" s="226"/>
      <c r="FS109" s="226"/>
      <c r="FT109" s="226"/>
      <c r="FU109" s="226"/>
      <c r="FV109" s="226"/>
      <c r="FW109" s="226"/>
      <c r="FX109" s="226"/>
      <c r="FY109" s="226"/>
      <c r="FZ109" s="226"/>
      <c r="GA109" s="226"/>
      <c r="GB109" s="226"/>
      <c r="GC109" s="226"/>
      <c r="GD109" s="226"/>
      <c r="GE109" s="226"/>
      <c r="GF109" s="226"/>
      <c r="GG109" s="226"/>
    </row>
    <row r="110" spans="1:189" s="225" customFormat="1">
      <c r="A110" s="1344" t="str">
        <f>+[4]BPU!A235</f>
        <v>Prix 511bis-3</v>
      </c>
      <c r="B110" s="1345" t="str">
        <f>+[4]BPU!B235</f>
        <v>caniveau cadre de largeur intérieure 1,0 m et hauteur 1,5 m</v>
      </c>
      <c r="C110" s="1360" t="str">
        <f>[4]BPU!C235</f>
        <v>m</v>
      </c>
      <c r="D110" s="1361"/>
      <c r="E110" s="1338">
        <f>[4]BPU!D235</f>
        <v>528129</v>
      </c>
      <c r="F110" s="1338">
        <f>+D110*E110</f>
        <v>0</v>
      </c>
      <c r="G110" s="259"/>
      <c r="H110" s="259" t="e">
        <f>#REF!</f>
        <v>#REF!</v>
      </c>
      <c r="I110" s="265">
        <f>+I109</f>
        <v>1.02</v>
      </c>
      <c r="J110" s="259" t="e">
        <f>H110*I110</f>
        <v>#REF!</v>
      </c>
      <c r="K110" s="226"/>
      <c r="L110" s="226" t="e">
        <f>+H106</f>
        <v>#REF!</v>
      </c>
      <c r="M110" s="226"/>
      <c r="N110" s="226"/>
      <c r="O110" s="226"/>
      <c r="P110" s="226"/>
      <c r="Q110" s="226"/>
      <c r="R110" s="226"/>
      <c r="S110" s="226"/>
      <c r="T110" s="226"/>
      <c r="U110" s="226"/>
      <c r="V110" s="226"/>
      <c r="W110" s="226"/>
      <c r="X110" s="226"/>
      <c r="Y110" s="226"/>
      <c r="Z110" s="226"/>
      <c r="AA110" s="226"/>
      <c r="AB110" s="226"/>
      <c r="AC110" s="226"/>
      <c r="AD110" s="226"/>
      <c r="AE110" s="226"/>
      <c r="AF110" s="226"/>
      <c r="AG110" s="226"/>
      <c r="AH110" s="226"/>
      <c r="AI110" s="226"/>
      <c r="AJ110" s="226"/>
      <c r="AK110" s="226"/>
      <c r="AL110" s="226"/>
      <c r="AM110" s="226"/>
      <c r="AN110" s="226"/>
      <c r="AO110" s="226"/>
      <c r="AP110" s="226"/>
      <c r="AQ110" s="226"/>
      <c r="AR110" s="226"/>
      <c r="AS110" s="226"/>
      <c r="AT110" s="226"/>
      <c r="AU110" s="226"/>
      <c r="AV110" s="226"/>
      <c r="AW110" s="226"/>
      <c r="AX110" s="226"/>
      <c r="AY110" s="226"/>
      <c r="AZ110" s="226"/>
      <c r="BA110" s="226"/>
      <c r="BB110" s="226"/>
      <c r="BC110" s="226"/>
      <c r="BD110" s="226"/>
      <c r="BE110" s="226"/>
      <c r="BF110" s="226"/>
      <c r="BG110" s="226"/>
      <c r="BH110" s="226"/>
      <c r="BI110" s="226"/>
      <c r="BJ110" s="226"/>
      <c r="BK110" s="226"/>
      <c r="BL110" s="226"/>
      <c r="BM110" s="226"/>
      <c r="BN110" s="226"/>
      <c r="BO110" s="226"/>
      <c r="BP110" s="226"/>
      <c r="BQ110" s="226"/>
      <c r="BR110" s="226"/>
      <c r="BS110" s="226"/>
      <c r="BT110" s="226"/>
      <c r="BU110" s="226"/>
      <c r="BV110" s="226"/>
      <c r="BW110" s="226"/>
      <c r="BX110" s="226"/>
      <c r="BY110" s="226"/>
      <c r="BZ110" s="226"/>
      <c r="CA110" s="226"/>
      <c r="CB110" s="226"/>
      <c r="CC110" s="226"/>
      <c r="CD110" s="226"/>
      <c r="CE110" s="226"/>
      <c r="CF110" s="226"/>
      <c r="CG110" s="226"/>
      <c r="CH110" s="226"/>
      <c r="CI110" s="226"/>
      <c r="CJ110" s="226"/>
      <c r="CK110" s="226"/>
      <c r="CL110" s="226"/>
      <c r="CM110" s="226"/>
      <c r="CN110" s="226"/>
      <c r="CO110" s="226"/>
      <c r="CP110" s="226"/>
      <c r="CQ110" s="226"/>
      <c r="CR110" s="226"/>
      <c r="CS110" s="226"/>
      <c r="CT110" s="226"/>
      <c r="CU110" s="226"/>
      <c r="CV110" s="226"/>
      <c r="CW110" s="226"/>
      <c r="CX110" s="226"/>
      <c r="CY110" s="226"/>
      <c r="CZ110" s="226"/>
      <c r="DA110" s="226"/>
      <c r="DB110" s="226"/>
      <c r="DC110" s="226"/>
      <c r="DD110" s="226"/>
      <c r="DE110" s="226"/>
      <c r="DF110" s="226"/>
      <c r="DG110" s="226"/>
      <c r="DH110" s="226"/>
      <c r="DI110" s="226"/>
      <c r="DJ110" s="226"/>
      <c r="DK110" s="226"/>
      <c r="DL110" s="226"/>
      <c r="DM110" s="226"/>
      <c r="DN110" s="226"/>
      <c r="DO110" s="226"/>
      <c r="DP110" s="226"/>
      <c r="DQ110" s="226"/>
      <c r="DR110" s="226"/>
      <c r="DS110" s="226"/>
      <c r="DT110" s="226"/>
      <c r="DU110" s="226"/>
      <c r="DV110" s="226"/>
      <c r="DW110" s="226"/>
      <c r="DX110" s="226"/>
      <c r="DY110" s="226"/>
      <c r="DZ110" s="226"/>
      <c r="EA110" s="226"/>
      <c r="EB110" s="226"/>
      <c r="EC110" s="226"/>
      <c r="ED110" s="226"/>
      <c r="EE110" s="226"/>
      <c r="EF110" s="226"/>
      <c r="EG110" s="226"/>
      <c r="EH110" s="226"/>
      <c r="EI110" s="226"/>
      <c r="EJ110" s="226"/>
      <c r="EK110" s="226"/>
      <c r="EL110" s="226"/>
      <c r="EM110" s="226"/>
      <c r="EN110" s="226"/>
      <c r="EO110" s="226"/>
      <c r="EP110" s="226"/>
      <c r="EQ110" s="226"/>
      <c r="ER110" s="226"/>
      <c r="ES110" s="226"/>
      <c r="ET110" s="226"/>
      <c r="EU110" s="226"/>
      <c r="EV110" s="226"/>
      <c r="EW110" s="226"/>
      <c r="EX110" s="226"/>
      <c r="EY110" s="226"/>
      <c r="EZ110" s="226"/>
      <c r="FA110" s="226"/>
      <c r="FB110" s="226"/>
      <c r="FC110" s="226"/>
      <c r="FD110" s="226"/>
      <c r="FE110" s="226"/>
      <c r="FF110" s="226"/>
      <c r="FG110" s="226"/>
      <c r="FH110" s="226"/>
      <c r="FI110" s="226"/>
      <c r="FJ110" s="226"/>
      <c r="FK110" s="226"/>
      <c r="FL110" s="226"/>
      <c r="FM110" s="226"/>
      <c r="FN110" s="226"/>
      <c r="FO110" s="226"/>
      <c r="FP110" s="226"/>
      <c r="FQ110" s="226"/>
      <c r="FR110" s="226"/>
      <c r="FS110" s="226"/>
      <c r="FT110" s="226"/>
      <c r="FU110" s="226"/>
      <c r="FV110" s="226"/>
      <c r="FW110" s="226"/>
      <c r="FX110" s="226"/>
      <c r="FY110" s="226"/>
      <c r="FZ110" s="226"/>
      <c r="GA110" s="226"/>
      <c r="GB110" s="226"/>
      <c r="GC110" s="226"/>
      <c r="GD110" s="226"/>
      <c r="GE110" s="226"/>
      <c r="GF110" s="226"/>
      <c r="GG110" s="226"/>
    </row>
    <row r="111" spans="1:189" s="225" customFormat="1">
      <c r="A111" s="1344" t="str">
        <f>+[4]BPU!A255</f>
        <v>Prix 511bis-23</v>
      </c>
      <c r="B111" s="1345" t="str">
        <f>+[4]BPU!B255</f>
        <v>caniveau cadre de largeur intérieure 2x1,6 m et hauteur 1,8 m</v>
      </c>
      <c r="C111" s="1360" t="str">
        <f>[4]BPU!C255</f>
        <v>m</v>
      </c>
      <c r="D111" s="1361"/>
      <c r="E111" s="1338">
        <f>[4]BPU!D255</f>
        <v>1197013.4400000002</v>
      </c>
      <c r="F111" s="1338">
        <f>+D111*E111</f>
        <v>0</v>
      </c>
      <c r="G111" s="259"/>
      <c r="H111" s="259" t="e">
        <f>#REF!</f>
        <v>#REF!</v>
      </c>
      <c r="I111" s="265">
        <f>+I110</f>
        <v>1.02</v>
      </c>
      <c r="J111" s="259" t="e">
        <f>H111*I111</f>
        <v>#REF!</v>
      </c>
      <c r="K111" s="226"/>
      <c r="L111" s="226" t="e">
        <f>+H107</f>
        <v>#REF!</v>
      </c>
      <c r="M111" s="226"/>
      <c r="N111" s="226"/>
      <c r="O111" s="226"/>
      <c r="P111" s="226"/>
      <c r="Q111" s="226"/>
      <c r="R111" s="226"/>
      <c r="S111" s="226"/>
      <c r="T111" s="226"/>
      <c r="U111" s="226"/>
      <c r="V111" s="226"/>
      <c r="W111" s="226"/>
      <c r="X111" s="226"/>
      <c r="Y111" s="226"/>
      <c r="Z111" s="226"/>
      <c r="AA111" s="226"/>
      <c r="AB111" s="226"/>
      <c r="AC111" s="226"/>
      <c r="AD111" s="226"/>
      <c r="AE111" s="226"/>
      <c r="AF111" s="226"/>
      <c r="AG111" s="226"/>
      <c r="AH111" s="226"/>
      <c r="AI111" s="226"/>
      <c r="AJ111" s="226"/>
      <c r="AK111" s="226"/>
      <c r="AL111" s="226"/>
      <c r="AM111" s="199"/>
      <c r="AN111" s="199"/>
      <c r="AO111" s="199"/>
      <c r="AP111" s="199"/>
      <c r="AQ111" s="226"/>
      <c r="AR111" s="226"/>
      <c r="AS111" s="226"/>
      <c r="AT111" s="226"/>
      <c r="AU111" s="226"/>
      <c r="AV111" s="226"/>
      <c r="AW111" s="226"/>
      <c r="AX111" s="226"/>
      <c r="AY111" s="226"/>
      <c r="AZ111" s="226"/>
      <c r="BA111" s="226"/>
      <c r="BB111" s="226"/>
      <c r="BC111" s="226"/>
      <c r="BD111" s="226"/>
      <c r="BE111" s="226"/>
      <c r="BF111" s="226"/>
      <c r="BG111" s="226"/>
      <c r="BH111" s="226"/>
      <c r="BI111" s="226"/>
      <c r="BJ111" s="226"/>
      <c r="BK111" s="226"/>
      <c r="BL111" s="226"/>
      <c r="BM111" s="226"/>
      <c r="BN111" s="226"/>
      <c r="BO111" s="226"/>
      <c r="BP111" s="226"/>
      <c r="BQ111" s="226"/>
      <c r="BR111" s="226"/>
      <c r="BS111" s="226"/>
      <c r="BT111" s="226"/>
      <c r="BU111" s="226"/>
      <c r="BV111" s="226"/>
      <c r="BW111" s="226"/>
      <c r="BX111" s="226"/>
      <c r="BY111" s="226"/>
      <c r="BZ111" s="226"/>
      <c r="CA111" s="226"/>
      <c r="CB111" s="226"/>
      <c r="CC111" s="226"/>
      <c r="CD111" s="226"/>
      <c r="CE111" s="226"/>
      <c r="CF111" s="226"/>
      <c r="CG111" s="226"/>
      <c r="CH111" s="226"/>
      <c r="CI111" s="226"/>
      <c r="CJ111" s="226"/>
      <c r="CK111" s="226"/>
      <c r="CL111" s="226"/>
      <c r="CM111" s="226"/>
      <c r="CN111" s="226"/>
      <c r="CO111" s="226"/>
      <c r="CP111" s="226"/>
      <c r="CQ111" s="226"/>
      <c r="CR111" s="226"/>
      <c r="CS111" s="226"/>
      <c r="CT111" s="226"/>
      <c r="CU111" s="226"/>
      <c r="CV111" s="226"/>
      <c r="CW111" s="226"/>
      <c r="CX111" s="226"/>
      <c r="CY111" s="226"/>
      <c r="CZ111" s="226"/>
      <c r="DA111" s="226"/>
      <c r="DB111" s="226"/>
      <c r="DC111" s="226"/>
      <c r="DD111" s="226"/>
      <c r="DE111" s="226"/>
      <c r="DF111" s="226"/>
      <c r="DG111" s="226"/>
      <c r="DH111" s="226"/>
      <c r="DI111" s="226"/>
      <c r="DJ111" s="226"/>
      <c r="DK111" s="226"/>
      <c r="DL111" s="226"/>
      <c r="DM111" s="226"/>
      <c r="DN111" s="226"/>
      <c r="DO111" s="226"/>
      <c r="DP111" s="226"/>
      <c r="DQ111" s="226"/>
      <c r="DR111" s="226"/>
      <c r="DS111" s="226"/>
      <c r="DT111" s="226"/>
      <c r="DU111" s="226"/>
      <c r="DV111" s="226"/>
      <c r="DW111" s="226"/>
      <c r="DX111" s="226"/>
      <c r="DY111" s="226"/>
      <c r="DZ111" s="226"/>
      <c r="EA111" s="226"/>
      <c r="EB111" s="226"/>
      <c r="EC111" s="226"/>
      <c r="ED111" s="226"/>
      <c r="EE111" s="226"/>
      <c r="EF111" s="226"/>
      <c r="EG111" s="226"/>
      <c r="EH111" s="226"/>
      <c r="EI111" s="226"/>
      <c r="EJ111" s="226"/>
      <c r="EK111" s="226"/>
      <c r="EL111" s="226"/>
      <c r="EM111" s="226"/>
      <c r="EN111" s="226"/>
      <c r="EO111" s="226"/>
      <c r="EP111" s="226"/>
      <c r="EQ111" s="226"/>
      <c r="ER111" s="226"/>
      <c r="ES111" s="226"/>
      <c r="ET111" s="226"/>
      <c r="EU111" s="226"/>
      <c r="EV111" s="226"/>
      <c r="EW111" s="226"/>
      <c r="EX111" s="226"/>
      <c r="EY111" s="226"/>
      <c r="EZ111" s="226"/>
      <c r="FA111" s="226"/>
      <c r="FB111" s="226"/>
      <c r="FC111" s="226"/>
      <c r="FD111" s="226"/>
      <c r="FE111" s="226"/>
      <c r="FF111" s="226"/>
      <c r="FG111" s="226"/>
      <c r="FH111" s="226"/>
      <c r="FI111" s="226"/>
      <c r="FJ111" s="226"/>
      <c r="FK111" s="226"/>
      <c r="FL111" s="226"/>
      <c r="FM111" s="226"/>
      <c r="FN111" s="226"/>
      <c r="FO111" s="226"/>
      <c r="FP111" s="226"/>
      <c r="FQ111" s="226"/>
      <c r="FR111" s="226"/>
      <c r="FS111" s="226"/>
      <c r="FT111" s="226"/>
      <c r="FU111" s="226"/>
      <c r="FV111" s="226"/>
      <c r="FW111" s="226"/>
      <c r="FX111" s="226"/>
      <c r="FY111" s="226"/>
      <c r="FZ111" s="226"/>
      <c r="GA111" s="226"/>
      <c r="GB111" s="226"/>
      <c r="GC111" s="226"/>
      <c r="GD111" s="226"/>
      <c r="GE111" s="226"/>
      <c r="GF111" s="226"/>
      <c r="GG111" s="226"/>
    </row>
    <row r="112" spans="1:189" s="198" customFormat="1">
      <c r="A112" s="1344" t="str">
        <f>+[4]BPU!A269</f>
        <v>Prix 511bis-37</v>
      </c>
      <c r="B112" s="1345" t="str">
        <f>+[4]BPU!B269</f>
        <v>caniveau cadre de largeur intérieure 3 x 1,7 m et hauteur 2,0 m</v>
      </c>
      <c r="C112" s="1360" t="str">
        <f>[4]BPU!C266</f>
        <v>m</v>
      </c>
      <c r="D112" s="1361"/>
      <c r="E112" s="1338"/>
      <c r="F112" s="1338"/>
      <c r="G112" s="259"/>
      <c r="H112" s="259" t="e">
        <f>#REF!</f>
        <v>#REF!</v>
      </c>
      <c r="I112" s="265">
        <f>+I111</f>
        <v>1.02</v>
      </c>
      <c r="J112" s="259" t="e">
        <f>H112*I112</f>
        <v>#REF!</v>
      </c>
      <c r="K112" s="226"/>
      <c r="L112" s="226">
        <f>+H108</f>
        <v>0</v>
      </c>
      <c r="M112" s="226"/>
      <c r="N112" s="226"/>
      <c r="O112" s="226"/>
      <c r="P112" s="226"/>
      <c r="Q112" s="226"/>
      <c r="R112" s="226"/>
      <c r="S112" s="226"/>
      <c r="T112" s="226"/>
      <c r="U112" s="226"/>
      <c r="V112" s="226"/>
      <c r="W112" s="226"/>
      <c r="X112" s="226"/>
      <c r="Y112" s="226"/>
      <c r="Z112" s="226"/>
      <c r="AA112" s="226"/>
      <c r="AB112" s="226"/>
      <c r="AC112" s="226"/>
      <c r="AD112" s="226"/>
      <c r="AE112" s="226"/>
      <c r="AF112" s="226"/>
      <c r="AG112" s="226"/>
      <c r="AH112" s="226"/>
      <c r="AI112" s="226"/>
      <c r="AJ112" s="226"/>
      <c r="AK112" s="226"/>
      <c r="AL112" s="199"/>
      <c r="AM112" s="226"/>
      <c r="AN112" s="226"/>
      <c r="AO112" s="226"/>
      <c r="AP112" s="226"/>
      <c r="AQ112" s="199"/>
      <c r="AR112" s="199"/>
      <c r="AS112" s="199"/>
      <c r="AT112" s="199"/>
      <c r="AU112" s="199"/>
      <c r="AV112" s="199"/>
      <c r="AW112" s="199"/>
      <c r="AX112" s="199"/>
      <c r="AY112" s="199"/>
      <c r="AZ112" s="199"/>
      <c r="BA112" s="199"/>
      <c r="BB112" s="199"/>
      <c r="BC112" s="199"/>
      <c r="BD112" s="199"/>
      <c r="BE112" s="199"/>
      <c r="BF112" s="199"/>
      <c r="BG112" s="199"/>
      <c r="BH112" s="199"/>
      <c r="BI112" s="199"/>
      <c r="BJ112" s="199"/>
      <c r="BK112" s="199"/>
      <c r="BL112" s="199"/>
      <c r="BM112" s="199"/>
      <c r="BN112" s="199"/>
      <c r="BO112" s="199"/>
      <c r="BP112" s="199"/>
      <c r="BQ112" s="199"/>
      <c r="BR112" s="199"/>
      <c r="BS112" s="199"/>
      <c r="BT112" s="199"/>
      <c r="BU112" s="199"/>
      <c r="BV112" s="199"/>
      <c r="BW112" s="199"/>
      <c r="BX112" s="199"/>
      <c r="BY112" s="199"/>
      <c r="BZ112" s="199"/>
      <c r="CA112" s="199"/>
      <c r="CB112" s="199"/>
      <c r="CC112" s="199"/>
      <c r="CD112" s="199"/>
      <c r="CE112" s="199"/>
      <c r="CF112" s="199"/>
      <c r="CG112" s="199"/>
      <c r="CH112" s="199"/>
      <c r="CI112" s="199"/>
      <c r="CJ112" s="199"/>
      <c r="CK112" s="199"/>
      <c r="CL112" s="199"/>
      <c r="CM112" s="199"/>
      <c r="CN112" s="199"/>
      <c r="CO112" s="199"/>
      <c r="CP112" s="199"/>
      <c r="CQ112" s="199"/>
      <c r="CR112" s="199"/>
      <c r="CS112" s="199"/>
      <c r="CT112" s="199"/>
      <c r="CU112" s="199"/>
      <c r="CV112" s="199"/>
      <c r="CW112" s="199"/>
      <c r="CX112" s="199"/>
      <c r="CY112" s="199"/>
      <c r="CZ112" s="199"/>
      <c r="DA112" s="199"/>
      <c r="DB112" s="199"/>
      <c r="DC112" s="199"/>
      <c r="DD112" s="199"/>
      <c r="DE112" s="199"/>
      <c r="DF112" s="199"/>
      <c r="DG112" s="199"/>
      <c r="DH112" s="199"/>
      <c r="DI112" s="199"/>
      <c r="DJ112" s="199"/>
      <c r="DK112" s="199"/>
      <c r="DL112" s="199"/>
      <c r="DM112" s="199"/>
      <c r="DN112" s="199"/>
      <c r="DO112" s="199"/>
      <c r="DP112" s="199"/>
      <c r="DQ112" s="199"/>
      <c r="DR112" s="199"/>
      <c r="DS112" s="199"/>
      <c r="DT112" s="199"/>
      <c r="DU112" s="199"/>
      <c r="DV112" s="199"/>
      <c r="DW112" s="199"/>
      <c r="DX112" s="199"/>
      <c r="DY112" s="199"/>
      <c r="DZ112" s="199"/>
      <c r="EA112" s="199"/>
      <c r="EB112" s="199"/>
      <c r="EC112" s="199"/>
      <c r="ED112" s="199"/>
      <c r="EE112" s="199"/>
      <c r="EF112" s="199"/>
      <c r="EG112" s="199"/>
      <c r="EH112" s="199"/>
      <c r="EI112" s="199"/>
      <c r="EJ112" s="199"/>
      <c r="EK112" s="199"/>
      <c r="EL112" s="199"/>
      <c r="EM112" s="199"/>
      <c r="EN112" s="199"/>
      <c r="EO112" s="199"/>
      <c r="EP112" s="199"/>
      <c r="EQ112" s="199"/>
      <c r="ER112" s="199"/>
      <c r="ES112" s="199"/>
      <c r="ET112" s="199"/>
      <c r="EU112" s="199"/>
      <c r="EV112" s="199"/>
      <c r="EW112" s="199"/>
      <c r="EX112" s="199"/>
      <c r="EY112" s="199"/>
      <c r="EZ112" s="199"/>
      <c r="FA112" s="199"/>
      <c r="FB112" s="199"/>
      <c r="FC112" s="199"/>
      <c r="FD112" s="199"/>
      <c r="FE112" s="199"/>
      <c r="FF112" s="199"/>
      <c r="FG112" s="199"/>
      <c r="FH112" s="199"/>
      <c r="FI112" s="199"/>
      <c r="FJ112" s="199"/>
      <c r="FK112" s="199"/>
      <c r="FL112" s="199"/>
      <c r="FM112" s="199"/>
      <c r="FN112" s="199"/>
      <c r="FO112" s="199"/>
      <c r="FP112" s="199"/>
      <c r="FQ112" s="199"/>
      <c r="FR112" s="199"/>
      <c r="FS112" s="199"/>
      <c r="FT112" s="199"/>
      <c r="FU112" s="199"/>
      <c r="FV112" s="199"/>
      <c r="FW112" s="199"/>
      <c r="FX112" s="199"/>
      <c r="FY112" s="199"/>
      <c r="FZ112" s="199"/>
      <c r="GA112" s="199"/>
      <c r="GB112" s="199"/>
      <c r="GC112" s="199"/>
      <c r="GD112" s="199"/>
      <c r="GE112" s="199"/>
      <c r="GF112" s="199"/>
      <c r="GG112" s="199"/>
    </row>
    <row r="113" spans="1:189" s="225" customFormat="1">
      <c r="A113" s="1344" t="str">
        <f>+[4]BPU!A276</f>
        <v>Prix 511bis-44</v>
      </c>
      <c r="B113" s="1345" t="str">
        <f>+[4]BPU!B276</f>
        <v>caniveau cadre de largeur intérieure 4x1,6 m et hauteur 1,8 m</v>
      </c>
      <c r="C113" s="1360" t="str">
        <f>[4]BPU!C273</f>
        <v>m</v>
      </c>
      <c r="D113" s="1361">
        <f>+F3</f>
        <v>79</v>
      </c>
      <c r="E113" s="1338">
        <f>+'Bd Marina'!I9</f>
        <v>2966240</v>
      </c>
      <c r="F113" s="1338">
        <f>+D113*E113</f>
        <v>234332960</v>
      </c>
      <c r="G113" s="259"/>
      <c r="H113" s="259">
        <f>+F3</f>
        <v>79</v>
      </c>
      <c r="I113" s="265">
        <v>1</v>
      </c>
      <c r="J113" s="259">
        <f>H113*I113</f>
        <v>79</v>
      </c>
      <c r="K113" s="226"/>
      <c r="L113" s="226"/>
      <c r="M113" s="226"/>
      <c r="N113" s="226"/>
      <c r="O113" s="226"/>
      <c r="P113" s="226"/>
      <c r="Q113" s="199"/>
      <c r="R113" s="199"/>
      <c r="S113" s="199"/>
      <c r="T113" s="199"/>
      <c r="U113" s="199"/>
      <c r="V113" s="199"/>
      <c r="W113" s="199"/>
      <c r="X113" s="199"/>
      <c r="Y113" s="199"/>
      <c r="Z113" s="199"/>
      <c r="AA113" s="199"/>
      <c r="AB113" s="199"/>
      <c r="AC113" s="199"/>
      <c r="AD113" s="199"/>
      <c r="AE113" s="199"/>
      <c r="AF113" s="199"/>
      <c r="AG113" s="199"/>
      <c r="AH113" s="199"/>
      <c r="AI113" s="199"/>
      <c r="AJ113" s="226"/>
      <c r="AK113" s="226"/>
      <c r="AL113" s="226"/>
      <c r="AM113" s="226"/>
      <c r="AN113" s="226"/>
      <c r="AO113" s="226"/>
      <c r="AP113" s="226"/>
      <c r="AQ113" s="226"/>
      <c r="AR113" s="226"/>
      <c r="AS113" s="226"/>
      <c r="AT113" s="226"/>
      <c r="AU113" s="226"/>
      <c r="AV113" s="226"/>
      <c r="AW113" s="226"/>
      <c r="AX113" s="226"/>
      <c r="AY113" s="226"/>
      <c r="AZ113" s="226"/>
      <c r="BA113" s="226"/>
      <c r="BB113" s="226"/>
      <c r="BC113" s="226"/>
      <c r="BD113" s="226"/>
      <c r="BE113" s="226"/>
      <c r="BF113" s="226"/>
      <c r="BG113" s="226"/>
      <c r="BH113" s="226"/>
      <c r="BI113" s="226"/>
      <c r="BJ113" s="226"/>
      <c r="BK113" s="226"/>
      <c r="BL113" s="226"/>
      <c r="BM113" s="226"/>
      <c r="BN113" s="226"/>
      <c r="BO113" s="226"/>
      <c r="BP113" s="226"/>
      <c r="BQ113" s="226"/>
      <c r="BR113" s="226"/>
      <c r="BS113" s="226"/>
      <c r="BT113" s="226"/>
      <c r="BU113" s="226"/>
      <c r="BV113" s="226"/>
      <c r="BW113" s="226"/>
      <c r="BX113" s="226"/>
      <c r="BY113" s="226"/>
      <c r="BZ113" s="226"/>
      <c r="CA113" s="226"/>
      <c r="CB113" s="226"/>
      <c r="CC113" s="226"/>
      <c r="CD113" s="226"/>
      <c r="CE113" s="226"/>
      <c r="CF113" s="226"/>
      <c r="CG113" s="226"/>
      <c r="CH113" s="226"/>
      <c r="CI113" s="226"/>
      <c r="CJ113" s="226"/>
      <c r="CK113" s="226"/>
      <c r="CL113" s="226"/>
      <c r="CM113" s="226"/>
      <c r="CN113" s="226"/>
      <c r="CO113" s="226"/>
      <c r="CP113" s="226"/>
      <c r="CQ113" s="226"/>
      <c r="CR113" s="226"/>
      <c r="CS113" s="226"/>
      <c r="CT113" s="226"/>
      <c r="CU113" s="226"/>
      <c r="CV113" s="226"/>
      <c r="CW113" s="226"/>
      <c r="CX113" s="226"/>
      <c r="CY113" s="226"/>
      <c r="CZ113" s="226"/>
      <c r="DA113" s="226"/>
      <c r="DB113" s="226"/>
      <c r="DC113" s="226"/>
      <c r="DD113" s="226"/>
      <c r="DE113" s="226"/>
      <c r="DF113" s="226"/>
      <c r="DG113" s="226"/>
      <c r="DH113" s="226"/>
      <c r="DI113" s="226"/>
      <c r="DJ113" s="226"/>
      <c r="DK113" s="226"/>
      <c r="DL113" s="226"/>
      <c r="DM113" s="226"/>
      <c r="DN113" s="226"/>
      <c r="DO113" s="226"/>
      <c r="DP113" s="226"/>
      <c r="DQ113" s="226"/>
      <c r="DR113" s="226"/>
      <c r="DS113" s="226"/>
      <c r="DT113" s="226"/>
      <c r="DU113" s="226"/>
      <c r="DV113" s="226"/>
      <c r="DW113" s="226"/>
      <c r="DX113" s="226"/>
      <c r="DY113" s="226"/>
      <c r="DZ113" s="226"/>
      <c r="EA113" s="226"/>
      <c r="EB113" s="226"/>
      <c r="EC113" s="226"/>
      <c r="ED113" s="226"/>
      <c r="EE113" s="226"/>
      <c r="EF113" s="226"/>
      <c r="EG113" s="226"/>
      <c r="EH113" s="226"/>
      <c r="EI113" s="226"/>
      <c r="EJ113" s="226"/>
      <c r="EK113" s="226"/>
      <c r="EL113" s="226"/>
      <c r="EM113" s="226"/>
      <c r="EN113" s="226"/>
      <c r="EO113" s="226"/>
      <c r="EP113" s="226"/>
      <c r="EQ113" s="226"/>
      <c r="ER113" s="226"/>
      <c r="ES113" s="226"/>
      <c r="ET113" s="226"/>
      <c r="EU113" s="226"/>
      <c r="EV113" s="226"/>
      <c r="EW113" s="226"/>
      <c r="EX113" s="226"/>
      <c r="EY113" s="226"/>
      <c r="EZ113" s="226"/>
      <c r="FA113" s="226"/>
      <c r="FB113" s="226"/>
      <c r="FC113" s="226"/>
      <c r="FD113" s="226"/>
      <c r="FE113" s="226"/>
      <c r="FF113" s="226"/>
      <c r="FG113" s="226"/>
      <c r="FH113" s="226"/>
      <c r="FI113" s="226"/>
      <c r="FJ113" s="226"/>
      <c r="FK113" s="226"/>
      <c r="FL113" s="226"/>
      <c r="FM113" s="226"/>
      <c r="FN113" s="226"/>
      <c r="FO113" s="226"/>
      <c r="FP113" s="226"/>
      <c r="FQ113" s="226"/>
      <c r="FR113" s="226"/>
      <c r="FS113" s="226"/>
      <c r="FT113" s="226"/>
      <c r="FU113" s="226"/>
      <c r="FV113" s="226"/>
      <c r="FW113" s="226"/>
      <c r="FX113" s="226"/>
      <c r="FY113" s="226"/>
      <c r="FZ113" s="226"/>
      <c r="GA113" s="226"/>
      <c r="GB113" s="226"/>
      <c r="GC113" s="226"/>
      <c r="GD113" s="226"/>
      <c r="GE113" s="226"/>
      <c r="GF113" s="226"/>
      <c r="GG113" s="226"/>
    </row>
    <row r="114" spans="1:189" s="225" customFormat="1" hidden="1">
      <c r="A114" s="1336" t="str">
        <f>+[4]BPU!A328</f>
        <v>512 b</v>
      </c>
      <c r="B114" s="1343" t="str">
        <f>+[4]BPU!B328</f>
        <v>Prix 512 b - Aile en béton</v>
      </c>
      <c r="C114" s="1360"/>
      <c r="D114" s="1361"/>
      <c r="E114" s="1338"/>
      <c r="F114" s="1338"/>
      <c r="G114" s="259"/>
      <c r="H114" s="259"/>
      <c r="I114" s="265"/>
      <c r="J114" s="259"/>
      <c r="K114" s="199"/>
      <c r="L114" s="199"/>
      <c r="M114" s="199"/>
      <c r="N114" s="199"/>
      <c r="O114" s="199"/>
      <c r="P114" s="199"/>
      <c r="Q114" s="226"/>
      <c r="R114" s="226"/>
      <c r="S114" s="226"/>
      <c r="T114" s="226"/>
      <c r="U114" s="226"/>
      <c r="V114" s="226"/>
      <c r="W114" s="226"/>
      <c r="X114" s="226"/>
      <c r="Y114" s="226"/>
      <c r="Z114" s="226"/>
      <c r="AA114" s="226"/>
      <c r="AB114" s="226"/>
      <c r="AC114" s="226"/>
      <c r="AD114" s="226"/>
      <c r="AE114" s="226"/>
      <c r="AF114" s="226"/>
      <c r="AG114" s="226"/>
      <c r="AH114" s="226"/>
      <c r="AI114" s="226"/>
      <c r="AJ114" s="226"/>
      <c r="AK114" s="226"/>
      <c r="AL114" s="226"/>
      <c r="AM114" s="226"/>
      <c r="AN114" s="226"/>
      <c r="AO114" s="226"/>
      <c r="AP114" s="226"/>
      <c r="AQ114" s="226"/>
      <c r="AR114" s="226"/>
      <c r="AS114" s="226"/>
      <c r="AT114" s="226"/>
      <c r="AU114" s="226"/>
      <c r="AV114" s="226"/>
      <c r="AW114" s="226"/>
      <c r="AX114" s="226"/>
      <c r="AY114" s="226"/>
      <c r="AZ114" s="226"/>
      <c r="BA114" s="226"/>
      <c r="BB114" s="226"/>
      <c r="BC114" s="226"/>
      <c r="BD114" s="226"/>
      <c r="BE114" s="226"/>
      <c r="BF114" s="226"/>
      <c r="BG114" s="226"/>
      <c r="BH114" s="226"/>
      <c r="BI114" s="226"/>
      <c r="BJ114" s="226"/>
      <c r="BK114" s="226"/>
      <c r="BL114" s="226"/>
      <c r="BM114" s="226"/>
      <c r="BN114" s="226"/>
      <c r="BO114" s="226"/>
      <c r="BP114" s="226"/>
      <c r="BQ114" s="226"/>
      <c r="BR114" s="226"/>
      <c r="BS114" s="226"/>
      <c r="BT114" s="226"/>
      <c r="BU114" s="226"/>
      <c r="BV114" s="226"/>
      <c r="BW114" s="226"/>
      <c r="BX114" s="226"/>
      <c r="BY114" s="226"/>
      <c r="BZ114" s="226"/>
      <c r="CA114" s="226"/>
      <c r="CB114" s="226"/>
      <c r="CC114" s="226"/>
      <c r="CD114" s="226"/>
      <c r="CE114" s="226"/>
      <c r="CF114" s="226"/>
      <c r="CG114" s="226"/>
      <c r="CH114" s="226"/>
      <c r="CI114" s="226"/>
      <c r="CJ114" s="226"/>
      <c r="CK114" s="226"/>
      <c r="CL114" s="226"/>
      <c r="CM114" s="226"/>
      <c r="CN114" s="226"/>
      <c r="CO114" s="226"/>
      <c r="CP114" s="226"/>
      <c r="CQ114" s="226"/>
      <c r="CR114" s="226"/>
      <c r="CS114" s="226"/>
      <c r="CT114" s="226"/>
      <c r="CU114" s="226"/>
      <c r="CV114" s="226"/>
      <c r="CW114" s="226"/>
      <c r="CX114" s="226"/>
      <c r="CY114" s="226"/>
      <c r="CZ114" s="226"/>
      <c r="DA114" s="226"/>
      <c r="DB114" s="226"/>
      <c r="DC114" s="226"/>
      <c r="DD114" s="226"/>
      <c r="DE114" s="226"/>
      <c r="DF114" s="226"/>
      <c r="DG114" s="226"/>
      <c r="DH114" s="226"/>
      <c r="DI114" s="226"/>
      <c r="DJ114" s="226"/>
      <c r="DK114" s="226"/>
      <c r="DL114" s="226"/>
      <c r="DM114" s="226"/>
      <c r="DN114" s="226"/>
      <c r="DO114" s="226"/>
      <c r="DP114" s="226"/>
      <c r="DQ114" s="226"/>
      <c r="DR114" s="226"/>
      <c r="DS114" s="226"/>
      <c r="DT114" s="226"/>
      <c r="DU114" s="226"/>
      <c r="DV114" s="226"/>
      <c r="DW114" s="226"/>
      <c r="DX114" s="226"/>
      <c r="DY114" s="226"/>
      <c r="DZ114" s="226"/>
      <c r="EA114" s="226"/>
      <c r="EB114" s="226"/>
      <c r="EC114" s="226"/>
      <c r="ED114" s="226"/>
      <c r="EE114" s="226"/>
      <c r="EF114" s="226"/>
      <c r="EG114" s="226"/>
      <c r="EH114" s="226"/>
      <c r="EI114" s="226"/>
      <c r="EJ114" s="226"/>
      <c r="EK114" s="226"/>
      <c r="EL114" s="226"/>
      <c r="EM114" s="226"/>
      <c r="EN114" s="226"/>
      <c r="EO114" s="226"/>
      <c r="EP114" s="226"/>
      <c r="EQ114" s="226"/>
      <c r="ER114" s="226"/>
      <c r="ES114" s="226"/>
      <c r="ET114" s="226"/>
      <c r="EU114" s="226"/>
      <c r="EV114" s="226"/>
      <c r="EW114" s="226"/>
      <c r="EX114" s="226"/>
      <c r="EY114" s="226"/>
      <c r="EZ114" s="226"/>
      <c r="FA114" s="226"/>
      <c r="FB114" s="226"/>
      <c r="FC114" s="226"/>
      <c r="FD114" s="226"/>
      <c r="FE114" s="226"/>
      <c r="FF114" s="226"/>
      <c r="FG114" s="226"/>
      <c r="FH114" s="226"/>
      <c r="FI114" s="226"/>
      <c r="FJ114" s="226"/>
      <c r="FK114" s="226"/>
      <c r="FL114" s="226"/>
      <c r="FM114" s="226"/>
      <c r="FN114" s="226"/>
      <c r="FO114" s="226"/>
      <c r="FP114" s="226"/>
      <c r="FQ114" s="226"/>
      <c r="FR114" s="226"/>
      <c r="FS114" s="226"/>
      <c r="FT114" s="226"/>
      <c r="FU114" s="226"/>
      <c r="FV114" s="226"/>
      <c r="FW114" s="226"/>
      <c r="FX114" s="226"/>
      <c r="FY114" s="226"/>
      <c r="FZ114" s="226"/>
      <c r="GA114" s="226"/>
      <c r="GB114" s="226"/>
      <c r="GC114" s="226"/>
      <c r="GD114" s="226"/>
      <c r="GE114" s="226"/>
      <c r="GF114" s="226"/>
      <c r="GG114" s="226"/>
    </row>
    <row r="115" spans="1:189" s="225" customFormat="1" hidden="1">
      <c r="A115" s="1344"/>
      <c r="B115" s="1345"/>
      <c r="C115" s="1360" t="str">
        <f>[4]BPU!C329</f>
        <v>U</v>
      </c>
      <c r="D115" s="1361"/>
      <c r="E115" s="1338">
        <f>[4]BPU!D329</f>
        <v>8200120</v>
      </c>
      <c r="F115" s="1338">
        <f>+D115*E115</f>
        <v>0</v>
      </c>
      <c r="G115" s="259"/>
      <c r="H115" s="259"/>
      <c r="I115" s="265"/>
      <c r="J115" s="259"/>
      <c r="K115" s="226"/>
      <c r="L115" s="226"/>
      <c r="M115" s="226"/>
      <c r="N115" s="226"/>
      <c r="O115" s="226"/>
      <c r="P115" s="226"/>
      <c r="Q115" s="226"/>
      <c r="R115" s="226"/>
      <c r="S115" s="226"/>
      <c r="T115" s="226"/>
      <c r="U115" s="226"/>
      <c r="V115" s="226"/>
      <c r="W115" s="226"/>
      <c r="X115" s="226"/>
      <c r="Y115" s="226"/>
      <c r="Z115" s="226"/>
      <c r="AA115" s="226"/>
      <c r="AB115" s="226"/>
      <c r="AC115" s="226"/>
      <c r="AD115" s="226"/>
      <c r="AE115" s="226"/>
      <c r="AF115" s="226"/>
      <c r="AG115" s="226"/>
      <c r="AH115" s="226"/>
      <c r="AI115" s="226"/>
      <c r="AJ115" s="226"/>
      <c r="AK115" s="226"/>
      <c r="AL115" s="226"/>
      <c r="AM115" s="226"/>
      <c r="AN115" s="226"/>
      <c r="AO115" s="226"/>
      <c r="AP115" s="226"/>
      <c r="AQ115" s="226"/>
      <c r="AR115" s="226"/>
      <c r="AS115" s="226"/>
      <c r="AT115" s="226"/>
      <c r="AU115" s="226"/>
      <c r="AV115" s="226"/>
      <c r="AW115" s="226"/>
      <c r="AX115" s="226"/>
      <c r="AY115" s="226"/>
      <c r="AZ115" s="226"/>
      <c r="BA115" s="226"/>
      <c r="BB115" s="226"/>
      <c r="BC115" s="226"/>
      <c r="BD115" s="226"/>
      <c r="BE115" s="226"/>
      <c r="BF115" s="226"/>
      <c r="BG115" s="226"/>
      <c r="BH115" s="226"/>
      <c r="BI115" s="226"/>
      <c r="BJ115" s="226"/>
      <c r="BK115" s="226"/>
      <c r="BL115" s="226"/>
      <c r="BM115" s="226"/>
      <c r="BN115" s="226"/>
      <c r="BO115" s="226"/>
      <c r="BP115" s="226"/>
      <c r="BQ115" s="226"/>
      <c r="BR115" s="226"/>
      <c r="BS115" s="226"/>
      <c r="BT115" s="226"/>
      <c r="BU115" s="226"/>
      <c r="BV115" s="226"/>
      <c r="BW115" s="226"/>
      <c r="BX115" s="226"/>
      <c r="BY115" s="226"/>
      <c r="BZ115" s="226"/>
      <c r="CA115" s="226"/>
      <c r="CB115" s="226"/>
      <c r="CC115" s="226"/>
      <c r="CD115" s="226"/>
      <c r="CE115" s="226"/>
      <c r="CF115" s="226"/>
      <c r="CG115" s="226"/>
      <c r="CH115" s="226"/>
      <c r="CI115" s="226"/>
      <c r="CJ115" s="226"/>
      <c r="CK115" s="226"/>
      <c r="CL115" s="226"/>
      <c r="CM115" s="226"/>
      <c r="CN115" s="226"/>
      <c r="CO115" s="226"/>
      <c r="CP115" s="226"/>
      <c r="CQ115" s="226"/>
      <c r="CR115" s="226"/>
      <c r="CS115" s="226"/>
      <c r="CT115" s="226"/>
      <c r="CU115" s="226"/>
      <c r="CV115" s="226"/>
      <c r="CW115" s="226"/>
      <c r="CX115" s="226"/>
      <c r="CY115" s="226"/>
      <c r="CZ115" s="226"/>
      <c r="DA115" s="226"/>
      <c r="DB115" s="226"/>
      <c r="DC115" s="226"/>
      <c r="DD115" s="226"/>
      <c r="DE115" s="226"/>
      <c r="DF115" s="226"/>
      <c r="DG115" s="226"/>
      <c r="DH115" s="226"/>
      <c r="DI115" s="226"/>
      <c r="DJ115" s="226"/>
      <c r="DK115" s="226"/>
      <c r="DL115" s="226"/>
      <c r="DM115" s="226"/>
      <c r="DN115" s="226"/>
      <c r="DO115" s="226"/>
      <c r="DP115" s="226"/>
      <c r="DQ115" s="226"/>
      <c r="DR115" s="226"/>
      <c r="DS115" s="226"/>
      <c r="DT115" s="226"/>
      <c r="DU115" s="226"/>
      <c r="DV115" s="226"/>
      <c r="DW115" s="226"/>
      <c r="DX115" s="226"/>
      <c r="DY115" s="226"/>
      <c r="DZ115" s="226"/>
      <c r="EA115" s="226"/>
      <c r="EB115" s="226"/>
      <c r="EC115" s="226"/>
      <c r="ED115" s="226"/>
      <c r="EE115" s="226"/>
      <c r="EF115" s="226"/>
      <c r="EG115" s="226"/>
      <c r="EH115" s="226"/>
      <c r="EI115" s="226"/>
      <c r="EJ115" s="226"/>
      <c r="EK115" s="226"/>
      <c r="EL115" s="226"/>
      <c r="EM115" s="226"/>
      <c r="EN115" s="226"/>
      <c r="EO115" s="226"/>
      <c r="EP115" s="226"/>
      <c r="EQ115" s="226"/>
      <c r="ER115" s="226"/>
      <c r="ES115" s="226"/>
      <c r="ET115" s="226"/>
      <c r="EU115" s="226"/>
      <c r="EV115" s="226"/>
      <c r="EW115" s="226"/>
      <c r="EX115" s="226"/>
      <c r="EY115" s="226"/>
      <c r="EZ115" s="226"/>
      <c r="FA115" s="226"/>
      <c r="FB115" s="226"/>
      <c r="FC115" s="226"/>
      <c r="FD115" s="226"/>
      <c r="FE115" s="226"/>
      <c r="FF115" s="226"/>
      <c r="FG115" s="226"/>
      <c r="FH115" s="226"/>
      <c r="FI115" s="226"/>
      <c r="FJ115" s="226"/>
      <c r="FK115" s="226"/>
      <c r="FL115" s="226"/>
      <c r="FM115" s="226"/>
      <c r="FN115" s="226"/>
      <c r="FO115" s="226"/>
      <c r="FP115" s="226"/>
      <c r="FQ115" s="226"/>
      <c r="FR115" s="226"/>
      <c r="FS115" s="226"/>
      <c r="FT115" s="226"/>
      <c r="FU115" s="226"/>
      <c r="FV115" s="226"/>
      <c r="FW115" s="226"/>
      <c r="FX115" s="226"/>
      <c r="FY115" s="226"/>
      <c r="FZ115" s="226"/>
      <c r="GA115" s="226"/>
      <c r="GB115" s="226"/>
      <c r="GC115" s="226"/>
      <c r="GD115" s="226"/>
      <c r="GE115" s="226"/>
      <c r="GF115" s="226"/>
      <c r="GG115" s="226"/>
    </row>
    <row r="116" spans="1:189" s="225" customFormat="1">
      <c r="A116" s="1336">
        <f>+[4]BPU!A330</f>
        <v>513</v>
      </c>
      <c r="B116" s="1343" t="str">
        <f>+[4]BPU!B330</f>
        <v>Prix 513 - Regards</v>
      </c>
      <c r="C116" s="1360"/>
      <c r="D116" s="1361"/>
      <c r="E116" s="1338"/>
      <c r="F116" s="1338"/>
      <c r="G116" s="259"/>
      <c r="K116" s="226"/>
      <c r="L116" s="226"/>
      <c r="M116" s="226"/>
      <c r="N116" s="226"/>
      <c r="O116" s="226"/>
      <c r="P116" s="226"/>
      <c r="Q116" s="226"/>
      <c r="R116" s="226"/>
      <c r="S116" s="226"/>
      <c r="T116" s="226"/>
      <c r="U116" s="226"/>
      <c r="V116" s="226"/>
      <c r="W116" s="226"/>
      <c r="X116" s="226"/>
      <c r="Y116" s="226"/>
      <c r="Z116" s="226"/>
      <c r="AA116" s="226"/>
      <c r="AB116" s="226"/>
      <c r="AC116" s="226"/>
      <c r="AD116" s="226"/>
      <c r="AE116" s="226"/>
      <c r="AF116" s="226"/>
      <c r="AG116" s="226"/>
      <c r="AH116" s="226"/>
      <c r="AI116" s="226"/>
      <c r="AJ116" s="226"/>
      <c r="AK116" s="226"/>
      <c r="AL116" s="226"/>
      <c r="AM116" s="226"/>
      <c r="AN116" s="226"/>
      <c r="AO116" s="226"/>
      <c r="AP116" s="226"/>
      <c r="AQ116" s="226"/>
      <c r="AR116" s="226"/>
      <c r="AS116" s="226"/>
      <c r="AT116" s="226"/>
      <c r="AU116" s="226"/>
      <c r="AV116" s="226"/>
      <c r="AW116" s="226"/>
      <c r="AX116" s="226"/>
      <c r="AY116" s="226"/>
      <c r="AZ116" s="226"/>
      <c r="BA116" s="226"/>
      <c r="BB116" s="226"/>
      <c r="BC116" s="226"/>
      <c r="BD116" s="226"/>
      <c r="BE116" s="226"/>
      <c r="BF116" s="226"/>
      <c r="BG116" s="226"/>
      <c r="BH116" s="226"/>
      <c r="BI116" s="226"/>
      <c r="BJ116" s="226"/>
      <c r="BK116" s="226"/>
      <c r="BL116" s="226"/>
      <c r="BM116" s="226"/>
      <c r="BN116" s="226"/>
      <c r="BO116" s="226"/>
      <c r="BP116" s="226"/>
      <c r="BQ116" s="226"/>
      <c r="BR116" s="226"/>
      <c r="BS116" s="226"/>
      <c r="BT116" s="226"/>
      <c r="BU116" s="226"/>
      <c r="BV116" s="226"/>
      <c r="BW116" s="226"/>
      <c r="BX116" s="226"/>
      <c r="BY116" s="226"/>
      <c r="BZ116" s="226"/>
      <c r="CA116" s="226"/>
      <c r="CB116" s="226"/>
      <c r="CC116" s="226"/>
      <c r="CD116" s="226"/>
      <c r="CE116" s="226"/>
      <c r="CF116" s="226"/>
      <c r="CG116" s="226"/>
      <c r="CH116" s="226"/>
      <c r="CI116" s="226"/>
      <c r="CJ116" s="226"/>
      <c r="CK116" s="226"/>
      <c r="CL116" s="226"/>
      <c r="CM116" s="226"/>
      <c r="CN116" s="226"/>
      <c r="CO116" s="226"/>
      <c r="CP116" s="226"/>
      <c r="CQ116" s="226"/>
      <c r="CR116" s="226"/>
      <c r="CS116" s="226"/>
      <c r="CT116" s="226"/>
      <c r="CU116" s="226"/>
      <c r="CV116" s="226"/>
      <c r="CW116" s="226"/>
      <c r="CX116" s="226"/>
      <c r="CY116" s="226"/>
      <c r="CZ116" s="226"/>
      <c r="DA116" s="226"/>
      <c r="DB116" s="226"/>
      <c r="DC116" s="226"/>
      <c r="DD116" s="226"/>
      <c r="DE116" s="226"/>
      <c r="DF116" s="226"/>
      <c r="DG116" s="226"/>
      <c r="DH116" s="226"/>
      <c r="DI116" s="226"/>
      <c r="DJ116" s="226"/>
      <c r="DK116" s="226"/>
      <c r="DL116" s="226"/>
      <c r="DM116" s="226"/>
      <c r="DN116" s="226"/>
      <c r="DO116" s="226"/>
      <c r="DP116" s="226"/>
      <c r="DQ116" s="226"/>
      <c r="DR116" s="226"/>
      <c r="DS116" s="226"/>
      <c r="DT116" s="226"/>
      <c r="DU116" s="226"/>
      <c r="DV116" s="226"/>
      <c r="DW116" s="226"/>
      <c r="DX116" s="226"/>
      <c r="DY116" s="226"/>
      <c r="DZ116" s="226"/>
      <c r="EA116" s="226"/>
      <c r="EB116" s="226"/>
      <c r="EC116" s="226"/>
      <c r="ED116" s="226"/>
      <c r="EE116" s="226"/>
      <c r="EF116" s="226"/>
      <c r="EG116" s="226"/>
      <c r="EH116" s="226"/>
      <c r="EI116" s="226"/>
      <c r="EJ116" s="226"/>
      <c r="EK116" s="226"/>
      <c r="EL116" s="226"/>
      <c r="EM116" s="226"/>
      <c r="EN116" s="226"/>
      <c r="EO116" s="226"/>
      <c r="EP116" s="226"/>
      <c r="EQ116" s="226"/>
      <c r="ER116" s="226"/>
      <c r="ES116" s="226"/>
      <c r="ET116" s="226"/>
      <c r="EU116" s="226"/>
      <c r="EV116" s="226"/>
      <c r="EW116" s="226"/>
      <c r="EX116" s="226"/>
      <c r="EY116" s="226"/>
      <c r="EZ116" s="226"/>
      <c r="FA116" s="226"/>
      <c r="FB116" s="226"/>
      <c r="FC116" s="226"/>
      <c r="FD116" s="226"/>
      <c r="FE116" s="226"/>
      <c r="FF116" s="226"/>
      <c r="FG116" s="226"/>
      <c r="FH116" s="226"/>
      <c r="FI116" s="226"/>
      <c r="FJ116" s="226"/>
      <c r="FK116" s="226"/>
      <c r="FL116" s="226"/>
      <c r="FM116" s="226"/>
      <c r="FN116" s="226"/>
      <c r="FO116" s="226"/>
      <c r="FP116" s="226"/>
      <c r="FQ116" s="226"/>
      <c r="FR116" s="226"/>
      <c r="FS116" s="226"/>
      <c r="FT116" s="226"/>
      <c r="FU116" s="226"/>
      <c r="FV116" s="226"/>
      <c r="FW116" s="226"/>
      <c r="FX116" s="226"/>
      <c r="FY116" s="226"/>
      <c r="FZ116" s="226"/>
      <c r="GA116" s="226"/>
      <c r="GB116" s="226"/>
      <c r="GC116" s="226"/>
      <c r="GD116" s="226"/>
      <c r="GE116" s="226"/>
      <c r="GF116" s="226"/>
      <c r="GG116" s="226"/>
    </row>
    <row r="117" spans="1:189" s="225" customFormat="1" ht="27.75" customHeight="1">
      <c r="A117" s="1373" t="str">
        <f>+[4]BPU!A332</f>
        <v>513-2</v>
      </c>
      <c r="B117" s="1374" t="str">
        <f>+[4]BPU!B332</f>
        <v>Regards d'inspection coulés en place sur collecteur fermé, avec tampon inviolable en fonte de type D-400 selon NF EN. 124 et échelons en acier inoxydable encastrés et de hauteur 0 à 5 m</v>
      </c>
      <c r="C117" s="1360" t="str">
        <f>[4]BPU!C332</f>
        <v>U</v>
      </c>
      <c r="D117" s="1361">
        <f>+J117</f>
        <v>4.4000000000000004</v>
      </c>
      <c r="E117" s="1338" t="e">
        <f>+#REF!</f>
        <v>#REF!</v>
      </c>
      <c r="F117" s="1338" t="e">
        <f>+D117*E117</f>
        <v>#REF!</v>
      </c>
      <c r="G117" s="259"/>
      <c r="H117" s="259">
        <f>+ROUND(H113/50+2,0)</f>
        <v>4</v>
      </c>
      <c r="I117" s="265">
        <v>1.1000000000000001</v>
      </c>
      <c r="J117" s="259">
        <f>H117*I117</f>
        <v>4.4000000000000004</v>
      </c>
      <c r="K117" s="226"/>
      <c r="L117" s="226"/>
      <c r="M117" s="226"/>
      <c r="N117" s="226"/>
      <c r="O117" s="226"/>
      <c r="P117" s="226"/>
      <c r="Q117" s="226"/>
      <c r="R117" s="226"/>
      <c r="S117" s="226"/>
      <c r="T117" s="226"/>
      <c r="U117" s="226"/>
      <c r="V117" s="226"/>
      <c r="W117" s="226"/>
      <c r="X117" s="226"/>
      <c r="Y117" s="226"/>
      <c r="Z117" s="226"/>
      <c r="AA117" s="226"/>
      <c r="AB117" s="226"/>
      <c r="AC117" s="226"/>
      <c r="AD117" s="226"/>
      <c r="AE117" s="226"/>
      <c r="AF117" s="226"/>
      <c r="AG117" s="226"/>
      <c r="AH117" s="226"/>
      <c r="AI117" s="226"/>
      <c r="AJ117" s="226"/>
      <c r="AK117" s="226"/>
      <c r="AL117" s="226"/>
      <c r="AM117" s="226"/>
      <c r="AN117" s="226"/>
      <c r="AO117" s="226"/>
      <c r="AP117" s="226"/>
      <c r="AQ117" s="226"/>
      <c r="AR117" s="226"/>
      <c r="AS117" s="226"/>
      <c r="AT117" s="226"/>
      <c r="AU117" s="226"/>
      <c r="AV117" s="226"/>
      <c r="AW117" s="226"/>
      <c r="AX117" s="226"/>
      <c r="AY117" s="226"/>
      <c r="AZ117" s="226"/>
      <c r="BA117" s="226"/>
      <c r="BB117" s="226"/>
      <c r="BC117" s="226"/>
      <c r="BD117" s="226"/>
      <c r="BE117" s="226"/>
      <c r="BF117" s="226"/>
      <c r="BG117" s="226"/>
      <c r="BH117" s="226"/>
      <c r="BI117" s="226"/>
      <c r="BJ117" s="226"/>
      <c r="BK117" s="226"/>
      <c r="BL117" s="226"/>
      <c r="BM117" s="226"/>
      <c r="BN117" s="226"/>
      <c r="BO117" s="226"/>
      <c r="BP117" s="226"/>
      <c r="BQ117" s="226"/>
      <c r="BR117" s="226"/>
      <c r="BS117" s="226"/>
      <c r="BT117" s="226"/>
      <c r="BU117" s="226"/>
      <c r="BV117" s="226"/>
      <c r="BW117" s="226"/>
      <c r="BX117" s="226"/>
      <c r="BY117" s="226"/>
      <c r="BZ117" s="226"/>
      <c r="CA117" s="226"/>
      <c r="CB117" s="226"/>
      <c r="CC117" s="226"/>
      <c r="CD117" s="226"/>
      <c r="CE117" s="226"/>
      <c r="CF117" s="226"/>
      <c r="CG117" s="226"/>
      <c r="CH117" s="226"/>
      <c r="CI117" s="226"/>
      <c r="CJ117" s="226"/>
      <c r="CK117" s="226"/>
      <c r="CL117" s="226"/>
      <c r="CM117" s="226"/>
      <c r="CN117" s="226"/>
      <c r="CO117" s="226"/>
      <c r="CP117" s="226"/>
      <c r="CQ117" s="226"/>
      <c r="CR117" s="226"/>
      <c r="CS117" s="226"/>
      <c r="CT117" s="226"/>
      <c r="CU117" s="226"/>
      <c r="CV117" s="226"/>
      <c r="CW117" s="226"/>
      <c r="CX117" s="226"/>
      <c r="CY117" s="226"/>
      <c r="CZ117" s="226"/>
      <c r="DA117" s="226"/>
      <c r="DB117" s="226"/>
      <c r="DC117" s="226"/>
      <c r="DD117" s="226"/>
      <c r="DE117" s="226"/>
      <c r="DF117" s="226"/>
      <c r="DG117" s="226"/>
      <c r="DH117" s="226"/>
      <c r="DI117" s="226"/>
      <c r="DJ117" s="226"/>
      <c r="DK117" s="226"/>
      <c r="DL117" s="226"/>
      <c r="DM117" s="226"/>
      <c r="DN117" s="226"/>
      <c r="DO117" s="226"/>
      <c r="DP117" s="226"/>
      <c r="DQ117" s="226"/>
      <c r="DR117" s="226"/>
      <c r="DS117" s="226"/>
      <c r="DT117" s="226"/>
      <c r="DU117" s="226"/>
      <c r="DV117" s="226"/>
      <c r="DW117" s="226"/>
      <c r="DX117" s="226"/>
      <c r="DY117" s="226"/>
      <c r="DZ117" s="226"/>
      <c r="EA117" s="226"/>
      <c r="EB117" s="226"/>
      <c r="EC117" s="226"/>
      <c r="ED117" s="226"/>
      <c r="EE117" s="226"/>
      <c r="EF117" s="226"/>
      <c r="EG117" s="226"/>
      <c r="EH117" s="226"/>
      <c r="EI117" s="226"/>
      <c r="EJ117" s="226"/>
      <c r="EK117" s="226"/>
      <c r="EL117" s="226"/>
      <c r="EM117" s="226"/>
      <c r="EN117" s="226"/>
      <c r="EO117" s="226"/>
      <c r="EP117" s="226"/>
      <c r="EQ117" s="226"/>
      <c r="ER117" s="226"/>
      <c r="ES117" s="226"/>
      <c r="ET117" s="226"/>
      <c r="EU117" s="226"/>
      <c r="EV117" s="226"/>
      <c r="EW117" s="226"/>
      <c r="EX117" s="226"/>
      <c r="EY117" s="226"/>
      <c r="EZ117" s="226"/>
      <c r="FA117" s="226"/>
      <c r="FB117" s="226"/>
      <c r="FC117" s="226"/>
      <c r="FD117" s="226"/>
      <c r="FE117" s="226"/>
      <c r="FF117" s="226"/>
      <c r="FG117" s="226"/>
      <c r="FH117" s="226"/>
      <c r="FI117" s="226"/>
      <c r="FJ117" s="226"/>
      <c r="FK117" s="226"/>
      <c r="FL117" s="226"/>
      <c r="FM117" s="226"/>
      <c r="FN117" s="226"/>
      <c r="FO117" s="226"/>
      <c r="FP117" s="226"/>
      <c r="FQ117" s="226"/>
      <c r="FR117" s="226"/>
      <c r="FS117" s="226"/>
      <c r="FT117" s="226"/>
      <c r="FU117" s="226"/>
      <c r="FV117" s="226"/>
      <c r="FW117" s="226"/>
      <c r="FX117" s="226"/>
      <c r="FY117" s="226"/>
      <c r="FZ117" s="226"/>
      <c r="GA117" s="226"/>
      <c r="GB117" s="226"/>
      <c r="GC117" s="226"/>
      <c r="GD117" s="226"/>
      <c r="GE117" s="226"/>
      <c r="GF117" s="226"/>
      <c r="GG117" s="226"/>
    </row>
    <row r="118" spans="1:189" s="225" customFormat="1">
      <c r="A118" s="1373" t="str">
        <f>+[4]BPU!A333</f>
        <v>513-3</v>
      </c>
      <c r="B118" s="1374" t="str">
        <f>+[4]BPU!B333</f>
        <v>Regard (avaloir sous chaussée) de type "boîte à lettre"</v>
      </c>
      <c r="C118" s="1360" t="str">
        <f>[4]BPU!C333</f>
        <v>U</v>
      </c>
      <c r="D118" s="1361"/>
      <c r="E118" s="1338">
        <f>[4]BPU!D333</f>
        <v>60000</v>
      </c>
      <c r="F118" s="1338">
        <f>+D118*E118</f>
        <v>0</v>
      </c>
      <c r="G118" s="259"/>
      <c r="H118" s="259" t="e">
        <f>SUM(H106:H107)/12</f>
        <v>#REF!</v>
      </c>
      <c r="I118" s="265">
        <v>1.1000000000000001</v>
      </c>
      <c r="J118" s="259" t="e">
        <f>H118*I118</f>
        <v>#REF!</v>
      </c>
      <c r="K118" s="226"/>
      <c r="L118" s="226"/>
      <c r="M118" s="226"/>
      <c r="N118" s="226"/>
      <c r="O118" s="226"/>
      <c r="P118" s="226"/>
      <c r="Q118" s="226"/>
      <c r="R118" s="226"/>
      <c r="S118" s="226"/>
      <c r="T118" s="226"/>
      <c r="U118" s="226"/>
      <c r="V118" s="226"/>
      <c r="W118" s="226"/>
      <c r="X118" s="226"/>
      <c r="Y118" s="226"/>
      <c r="Z118" s="226"/>
      <c r="AA118" s="226"/>
      <c r="AB118" s="226"/>
      <c r="AC118" s="226"/>
      <c r="AD118" s="226"/>
      <c r="AE118" s="226"/>
      <c r="AF118" s="226"/>
      <c r="AG118" s="226"/>
      <c r="AH118" s="226"/>
      <c r="AI118" s="226"/>
      <c r="AJ118" s="226"/>
      <c r="AK118" s="226"/>
      <c r="AL118" s="226"/>
      <c r="AM118" s="226"/>
      <c r="AN118" s="226"/>
      <c r="AO118" s="226"/>
      <c r="AP118" s="226"/>
      <c r="AQ118" s="226"/>
      <c r="AR118" s="226"/>
      <c r="AS118" s="226"/>
      <c r="AT118" s="226"/>
      <c r="AU118" s="226"/>
      <c r="AV118" s="226"/>
      <c r="AW118" s="226"/>
      <c r="AX118" s="226"/>
      <c r="AY118" s="226"/>
      <c r="AZ118" s="226"/>
      <c r="BA118" s="226"/>
      <c r="BB118" s="226"/>
      <c r="BC118" s="226"/>
      <c r="BD118" s="226"/>
      <c r="BE118" s="226"/>
      <c r="BF118" s="226"/>
      <c r="BG118" s="226"/>
      <c r="BH118" s="226"/>
      <c r="BI118" s="226"/>
      <c r="BJ118" s="226"/>
      <c r="BK118" s="226"/>
      <c r="BL118" s="226"/>
      <c r="BM118" s="226"/>
      <c r="BN118" s="226"/>
      <c r="BO118" s="226"/>
      <c r="BP118" s="226"/>
      <c r="BQ118" s="226"/>
      <c r="BR118" s="226"/>
      <c r="BS118" s="226"/>
      <c r="BT118" s="226"/>
      <c r="BU118" s="226"/>
      <c r="BV118" s="226"/>
      <c r="BW118" s="226"/>
      <c r="BX118" s="226"/>
      <c r="BY118" s="226"/>
      <c r="BZ118" s="226"/>
      <c r="CA118" s="226"/>
      <c r="CB118" s="226"/>
      <c r="CC118" s="226"/>
      <c r="CD118" s="226"/>
      <c r="CE118" s="226"/>
      <c r="CF118" s="226"/>
      <c r="CG118" s="226"/>
      <c r="CH118" s="226"/>
      <c r="CI118" s="226"/>
      <c r="CJ118" s="226"/>
      <c r="CK118" s="226"/>
      <c r="CL118" s="226"/>
      <c r="CM118" s="226"/>
      <c r="CN118" s="226"/>
      <c r="CO118" s="226"/>
      <c r="CP118" s="226"/>
      <c r="CQ118" s="226"/>
      <c r="CR118" s="226"/>
      <c r="CS118" s="226"/>
      <c r="CT118" s="226"/>
      <c r="CU118" s="226"/>
      <c r="CV118" s="226"/>
      <c r="CW118" s="226"/>
      <c r="CX118" s="226"/>
      <c r="CY118" s="226"/>
      <c r="CZ118" s="226"/>
      <c r="DA118" s="226"/>
      <c r="DB118" s="226"/>
      <c r="DC118" s="226"/>
      <c r="DD118" s="226"/>
      <c r="DE118" s="226"/>
      <c r="DF118" s="226"/>
      <c r="DG118" s="226"/>
      <c r="DH118" s="226"/>
      <c r="DI118" s="226"/>
      <c r="DJ118" s="226"/>
      <c r="DK118" s="226"/>
      <c r="DL118" s="226"/>
      <c r="DM118" s="226"/>
      <c r="DN118" s="226"/>
      <c r="DO118" s="226"/>
      <c r="DP118" s="226"/>
      <c r="DQ118" s="226"/>
      <c r="DR118" s="226"/>
      <c r="DS118" s="226"/>
      <c r="DT118" s="226"/>
      <c r="DU118" s="226"/>
      <c r="DV118" s="226"/>
      <c r="DW118" s="226"/>
      <c r="DX118" s="226"/>
      <c r="DY118" s="226"/>
      <c r="DZ118" s="226"/>
      <c r="EA118" s="226"/>
      <c r="EB118" s="226"/>
      <c r="EC118" s="226"/>
      <c r="ED118" s="226"/>
      <c r="EE118" s="226"/>
      <c r="EF118" s="226"/>
      <c r="EG118" s="226"/>
      <c r="EH118" s="226"/>
      <c r="EI118" s="226"/>
      <c r="EJ118" s="226"/>
      <c r="EK118" s="226"/>
      <c r="EL118" s="226"/>
      <c r="EM118" s="226"/>
      <c r="EN118" s="226"/>
      <c r="EO118" s="226"/>
      <c r="EP118" s="226"/>
      <c r="EQ118" s="226"/>
      <c r="ER118" s="226"/>
      <c r="ES118" s="226"/>
      <c r="ET118" s="226"/>
      <c r="EU118" s="226"/>
      <c r="EV118" s="226"/>
      <c r="EW118" s="226"/>
      <c r="EX118" s="226"/>
      <c r="EY118" s="226"/>
      <c r="EZ118" s="226"/>
      <c r="FA118" s="226"/>
      <c r="FB118" s="226"/>
      <c r="FC118" s="226"/>
      <c r="FD118" s="226"/>
      <c r="FE118" s="226"/>
      <c r="FF118" s="226"/>
      <c r="FG118" s="226"/>
      <c r="FH118" s="226"/>
      <c r="FI118" s="226"/>
      <c r="FJ118" s="226"/>
      <c r="FK118" s="226"/>
      <c r="FL118" s="226"/>
      <c r="FM118" s="226"/>
      <c r="FN118" s="226"/>
      <c r="FO118" s="226"/>
      <c r="FP118" s="226"/>
      <c r="FQ118" s="226"/>
      <c r="FR118" s="226"/>
      <c r="FS118" s="226"/>
      <c r="FT118" s="226"/>
      <c r="FU118" s="226"/>
      <c r="FV118" s="226"/>
      <c r="FW118" s="226"/>
      <c r="FX118" s="226"/>
      <c r="FY118" s="226"/>
      <c r="FZ118" s="226"/>
      <c r="GA118" s="226"/>
      <c r="GB118" s="226"/>
      <c r="GC118" s="226"/>
      <c r="GD118" s="226"/>
      <c r="GE118" s="226"/>
      <c r="GF118" s="226"/>
      <c r="GG118" s="226"/>
    </row>
    <row r="119" spans="1:189" s="129" customFormat="1">
      <c r="A119" s="1346"/>
      <c r="B119" s="1345"/>
      <c r="C119" s="1355"/>
      <c r="D119" s="1348"/>
      <c r="E119" s="1349" t="s">
        <v>113</v>
      </c>
      <c r="F119" s="1350" t="e">
        <f>SUM(F85:F118)</f>
        <v>#REF!</v>
      </c>
      <c r="G119" s="255"/>
      <c r="H119" s="255"/>
      <c r="I119" s="262"/>
      <c r="J119" s="255"/>
    </row>
    <row r="120" spans="1:189" s="129" customFormat="1" ht="24.95" customHeight="1">
      <c r="A120" s="1084"/>
      <c r="B120" s="1080"/>
      <c r="C120" s="1355"/>
      <c r="D120" s="1348"/>
      <c r="E120" s="1349" t="s">
        <v>470</v>
      </c>
      <c r="F120" s="1375" t="e">
        <f>+F28+F51+F119</f>
        <v>#REF!</v>
      </c>
      <c r="G120" s="255"/>
      <c r="H120" s="255"/>
      <c r="I120" s="262"/>
      <c r="J120" s="255"/>
    </row>
    <row r="121" spans="1:189" ht="24.95" customHeight="1">
      <c r="A121" s="1113"/>
      <c r="B121" s="926"/>
      <c r="C121" s="1376"/>
      <c r="D121" s="1207"/>
      <c r="E121" s="1377" t="s">
        <v>331</v>
      </c>
      <c r="F121" s="1378" t="e">
        <f>+ROUND(F120+F28,0)</f>
        <v>#REF!</v>
      </c>
    </row>
    <row r="124" spans="1:189" s="129" customFormat="1">
      <c r="A124" s="1108"/>
      <c r="B124" s="114"/>
      <c r="C124" s="1057"/>
      <c r="D124" s="940"/>
      <c r="E124" s="257"/>
      <c r="F124" s="257"/>
      <c r="G124" s="255">
        <v>6297720903.5422144</v>
      </c>
      <c r="H124" s="255"/>
      <c r="I124" s="262"/>
      <c r="J124" s="255"/>
    </row>
    <row r="125" spans="1:189">
      <c r="J125" s="255">
        <f>18500*17</f>
        <v>314500</v>
      </c>
    </row>
    <row r="128" spans="1:189" s="129" customFormat="1">
      <c r="A128" s="1108"/>
      <c r="B128" s="114"/>
      <c r="C128" s="1057"/>
      <c r="D128" s="940"/>
      <c r="E128" s="257"/>
      <c r="F128" s="257"/>
      <c r="G128" s="255"/>
      <c r="H128" s="255"/>
      <c r="I128" s="262"/>
      <c r="J128" s="255"/>
      <c r="AV128" s="129">
        <v>46200</v>
      </c>
    </row>
    <row r="129" spans="1:10" s="129" customFormat="1">
      <c r="A129" s="1108"/>
      <c r="B129" s="114"/>
      <c r="C129" s="1057"/>
      <c r="D129" s="940"/>
      <c r="E129" s="257"/>
      <c r="F129" s="257"/>
      <c r="G129" s="255"/>
      <c r="H129" s="255"/>
      <c r="I129" s="262"/>
      <c r="J129" s="255"/>
    </row>
    <row r="130" spans="1:10" s="129" customFormat="1">
      <c r="A130" s="1108"/>
      <c r="B130" s="114"/>
      <c r="C130" s="1057"/>
      <c r="D130" s="940"/>
      <c r="E130" s="257"/>
      <c r="F130" s="257"/>
      <c r="G130" s="255"/>
      <c r="H130" s="255"/>
      <c r="I130" s="262"/>
      <c r="J130" s="255"/>
    </row>
    <row r="132" spans="1:10" s="129" customFormat="1" ht="15.75">
      <c r="A132" s="1109"/>
      <c r="B132" s="114"/>
      <c r="C132" s="1057"/>
      <c r="D132" s="940"/>
      <c r="E132" s="947"/>
      <c r="F132" s="1059"/>
      <c r="G132" s="255"/>
      <c r="H132" s="255"/>
      <c r="I132" s="262"/>
      <c r="J132" s="255"/>
    </row>
    <row r="133" spans="1:10" s="129" customFormat="1" ht="26.25">
      <c r="A133" s="1108"/>
      <c r="B133" s="1915"/>
      <c r="C133" s="1915"/>
      <c r="D133" s="1915"/>
      <c r="E133" s="1915"/>
      <c r="F133" s="1915"/>
      <c r="G133" s="255"/>
      <c r="H133" s="255"/>
      <c r="I133" s="262"/>
      <c r="J133" s="255"/>
    </row>
    <row r="146" spans="1:189" s="257" customFormat="1">
      <c r="A146" s="1108"/>
      <c r="B146" s="114"/>
      <c r="C146" s="1057"/>
      <c r="D146" s="940"/>
      <c r="E146" s="257">
        <f>18500*17</f>
        <v>314500</v>
      </c>
      <c r="G146" s="255"/>
      <c r="H146" s="255"/>
      <c r="I146" s="262"/>
      <c r="J146" s="255"/>
      <c r="K146" s="129"/>
      <c r="L146" s="129"/>
      <c r="M146" s="129"/>
      <c r="N146" s="129"/>
      <c r="O146" s="129"/>
      <c r="P146" s="129"/>
      <c r="Q146" s="129"/>
      <c r="R146" s="129"/>
      <c r="S146" s="129"/>
      <c r="T146" s="129"/>
      <c r="U146" s="129"/>
      <c r="V146" s="129"/>
      <c r="W146" s="129"/>
      <c r="X146" s="129"/>
      <c r="Y146" s="129"/>
      <c r="Z146" s="129"/>
      <c r="AA146" s="129"/>
      <c r="AB146" s="129"/>
      <c r="AC146" s="129"/>
      <c r="AD146" s="129"/>
      <c r="AE146" s="129"/>
      <c r="AF146" s="129"/>
      <c r="AG146" s="129"/>
      <c r="AH146" s="129"/>
      <c r="AI146" s="129"/>
      <c r="AJ146" s="129"/>
      <c r="AK146" s="129"/>
      <c r="AL146" s="129"/>
      <c r="AM146" s="129"/>
      <c r="AN146" s="129"/>
      <c r="AO146" s="129"/>
      <c r="AP146" s="129"/>
      <c r="AQ146" s="129"/>
      <c r="AR146" s="129"/>
      <c r="AS146" s="129"/>
      <c r="AT146" s="129"/>
      <c r="AU146" s="129"/>
      <c r="AV146" s="129"/>
      <c r="AW146" s="129"/>
      <c r="AX146" s="129"/>
      <c r="AY146" s="129"/>
      <c r="AZ146" s="129"/>
      <c r="BA146" s="129"/>
      <c r="BB146" s="129"/>
      <c r="BC146" s="129"/>
      <c r="BD146" s="129"/>
      <c r="BE146" s="129"/>
      <c r="BF146" s="129"/>
      <c r="BG146" s="129"/>
      <c r="BH146" s="129"/>
      <c r="BI146" s="129"/>
      <c r="BJ146" s="129"/>
      <c r="BK146" s="129"/>
      <c r="BL146" s="129"/>
      <c r="BM146" s="129"/>
      <c r="BN146" s="129"/>
      <c r="BO146" s="129"/>
      <c r="BP146" s="129"/>
      <c r="BQ146" s="129"/>
      <c r="BR146" s="129"/>
      <c r="BS146" s="129"/>
      <c r="BT146" s="129"/>
      <c r="BU146" s="129"/>
      <c r="BV146" s="129"/>
      <c r="BW146" s="129"/>
      <c r="BX146" s="129"/>
      <c r="BY146" s="129"/>
      <c r="BZ146" s="129"/>
      <c r="CA146" s="129"/>
      <c r="CB146" s="129"/>
      <c r="CC146" s="129"/>
      <c r="CD146" s="129"/>
      <c r="CE146" s="129"/>
      <c r="CF146" s="129"/>
      <c r="CG146" s="129"/>
      <c r="CH146" s="129"/>
      <c r="CI146" s="129"/>
      <c r="CJ146" s="129"/>
      <c r="CK146" s="129"/>
      <c r="CL146" s="129"/>
      <c r="CM146" s="129"/>
      <c r="CN146" s="129"/>
      <c r="CO146" s="129"/>
      <c r="CP146" s="129"/>
      <c r="CQ146" s="129"/>
      <c r="CR146" s="129"/>
      <c r="CS146" s="129"/>
      <c r="CT146" s="129"/>
      <c r="CU146" s="129"/>
      <c r="CV146" s="129"/>
      <c r="CW146" s="129"/>
      <c r="CX146" s="129"/>
      <c r="CY146" s="129"/>
      <c r="CZ146" s="129"/>
      <c r="DA146" s="129"/>
      <c r="DB146" s="129"/>
      <c r="DC146" s="129"/>
      <c r="DD146" s="129"/>
      <c r="DE146" s="129"/>
      <c r="DF146" s="129"/>
      <c r="DG146" s="129"/>
      <c r="DH146" s="129"/>
      <c r="DI146" s="129"/>
      <c r="DJ146" s="129"/>
      <c r="DK146" s="129"/>
      <c r="DL146" s="129"/>
      <c r="DM146" s="129"/>
      <c r="DN146" s="129"/>
      <c r="DO146" s="129"/>
      <c r="DP146" s="129"/>
      <c r="DQ146" s="129"/>
      <c r="DR146" s="129"/>
      <c r="DS146" s="129"/>
      <c r="DT146" s="129"/>
      <c r="DU146" s="129"/>
      <c r="DV146" s="129"/>
      <c r="DW146" s="129"/>
      <c r="DX146" s="129"/>
      <c r="DY146" s="129"/>
      <c r="DZ146" s="129"/>
      <c r="EA146" s="129"/>
      <c r="EB146" s="129"/>
      <c r="EC146" s="129"/>
      <c r="ED146" s="129"/>
      <c r="EE146" s="129"/>
      <c r="EF146" s="129"/>
      <c r="EG146" s="129"/>
      <c r="EH146" s="129"/>
      <c r="EI146" s="129"/>
      <c r="EJ146" s="129"/>
      <c r="EK146" s="129"/>
      <c r="EL146" s="129"/>
      <c r="EM146" s="129"/>
      <c r="EN146" s="129"/>
      <c r="EO146" s="129"/>
      <c r="EP146" s="129"/>
      <c r="EQ146" s="129"/>
      <c r="ER146" s="129"/>
      <c r="ES146" s="129"/>
      <c r="ET146" s="129"/>
      <c r="EU146" s="129"/>
      <c r="EV146" s="129"/>
      <c r="EW146" s="129"/>
      <c r="EX146" s="129"/>
      <c r="EY146" s="129"/>
      <c r="EZ146" s="129"/>
      <c r="FA146" s="129"/>
      <c r="FB146" s="129"/>
      <c r="FC146" s="129"/>
      <c r="FD146" s="129"/>
      <c r="FE146" s="129"/>
      <c r="FF146" s="129"/>
      <c r="FG146" s="129"/>
      <c r="FH146" s="129"/>
      <c r="FI146" s="129"/>
      <c r="FJ146" s="129"/>
      <c r="FK146" s="129"/>
      <c r="FL146" s="129"/>
      <c r="FM146" s="129"/>
      <c r="FN146" s="129"/>
      <c r="FO146" s="129"/>
      <c r="FP146" s="129"/>
      <c r="FQ146" s="129"/>
      <c r="FR146" s="129"/>
      <c r="FS146" s="129"/>
      <c r="FT146" s="129"/>
      <c r="FU146" s="129"/>
      <c r="FV146" s="129"/>
      <c r="FW146" s="129"/>
      <c r="FX146" s="129"/>
      <c r="FY146" s="129"/>
      <c r="FZ146" s="129"/>
      <c r="GA146" s="129"/>
      <c r="GB146" s="129"/>
      <c r="GC146" s="129"/>
      <c r="GD146" s="129"/>
      <c r="GE146" s="129"/>
      <c r="GF146" s="129"/>
      <c r="GG146" s="129"/>
    </row>
  </sheetData>
  <mergeCells count="3">
    <mergeCell ref="A1:F1"/>
    <mergeCell ref="A2:F2"/>
    <mergeCell ref="B133:F133"/>
  </mergeCells>
  <pageMargins left="0.70866141732283472" right="0.70866141732283472" top="0.74803149606299213" bottom="0.74803149606299213" header="0.31496062992125984" footer="0.31496062992125984"/>
  <pageSetup paperSize="9" scale="54" orientation="landscape" r:id="rId1"/>
  <headerFooter>
    <oddHeader>Page &amp;P de &amp;N</oddHeader>
    <oddFooter>&amp;A</oddFooter>
  </headerFooter>
  <rowBreaks count="1" manualBreakCount="1">
    <brk id="27" max="6" man="1"/>
  </rowBreaks>
  <colBreaks count="1" manualBreakCount="1">
    <brk id="6" max="1048575" man="1"/>
  </colBreaks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FF00"/>
    <pageSetUpPr fitToPage="1"/>
  </sheetPr>
  <dimension ref="A1:GG165"/>
  <sheetViews>
    <sheetView view="pageBreakPreview" topLeftCell="A16" zoomScaleNormal="100" zoomScaleSheetLayoutView="100" workbookViewId="0">
      <selection activeCell="E7" sqref="E7:G7"/>
    </sheetView>
  </sheetViews>
  <sheetFormatPr baseColWidth="10" defaultColWidth="9.140625" defaultRowHeight="14.25"/>
  <cols>
    <col min="1" max="1" width="14" style="1194" customWidth="1"/>
    <col min="2" max="2" width="72.7109375" style="176" customWidth="1"/>
    <col min="3" max="3" width="10" style="176" customWidth="1"/>
    <col min="4" max="4" width="13" style="176" customWidth="1"/>
    <col min="5" max="5" width="17.85546875" style="176" customWidth="1"/>
    <col min="6" max="6" width="28" style="176" customWidth="1"/>
    <col min="7" max="7" width="18.140625" style="44" customWidth="1"/>
    <col min="8" max="8" width="16" style="1144" bestFit="1" customWidth="1"/>
    <col min="9" max="9" width="15" style="1145" bestFit="1" customWidth="1"/>
    <col min="10" max="10" width="16" style="1144" bestFit="1" customWidth="1"/>
    <col min="11" max="11" width="21.42578125" style="1146" bestFit="1" customWidth="1"/>
    <col min="12" max="12" width="18.85546875" style="1146" customWidth="1"/>
    <col min="13" max="189" width="9.140625" style="1146"/>
    <col min="190" max="16384" width="9.140625" style="44"/>
  </cols>
  <sheetData>
    <row r="1" spans="1:189" ht="26.25" customHeight="1">
      <c r="A1" s="1931" t="str">
        <f>+[4]BPU!F1</f>
        <v>DEVIS QUANTITATIF ET ESTIMATIF</v>
      </c>
      <c r="B1" s="1932"/>
      <c r="C1" s="1932"/>
      <c r="D1" s="1932"/>
      <c r="E1" s="1932"/>
      <c r="F1" s="1933"/>
    </row>
    <row r="2" spans="1:189" ht="34.5" customHeight="1">
      <c r="A2" s="1934" t="s">
        <v>728</v>
      </c>
      <c r="B2" s="1935"/>
      <c r="C2" s="1935"/>
      <c r="D2" s="1935"/>
      <c r="E2" s="1935"/>
      <c r="F2" s="1936"/>
      <c r="G2" s="1147"/>
    </row>
    <row r="3" spans="1:189" s="1146" customFormat="1" ht="30.75" customHeight="1">
      <c r="A3" s="1327"/>
      <c r="B3" s="1937" t="s">
        <v>708</v>
      </c>
      <c r="C3" s="1937"/>
      <c r="D3" s="1937"/>
      <c r="E3" s="1937"/>
      <c r="F3" s="1379">
        <f>45+10*2</f>
        <v>65</v>
      </c>
      <c r="G3" s="44"/>
      <c r="H3" s="1144" t="s">
        <v>659</v>
      </c>
      <c r="I3" s="1145"/>
      <c r="J3" s="1144" t="s">
        <v>660</v>
      </c>
    </row>
    <row r="4" spans="1:189" s="1146" customFormat="1" ht="26.25" customHeight="1">
      <c r="A4" s="1332" t="s">
        <v>661</v>
      </c>
      <c r="B4" s="1332" t="s">
        <v>584</v>
      </c>
      <c r="C4" s="1332" t="s">
        <v>98</v>
      </c>
      <c r="D4" s="1332" t="s">
        <v>99</v>
      </c>
      <c r="E4" s="1333" t="s">
        <v>100</v>
      </c>
      <c r="F4" s="1333" t="s">
        <v>680</v>
      </c>
      <c r="G4" s="44"/>
      <c r="H4" s="1144" t="e">
        <f>SUM(#REF!)</f>
        <v>#REF!</v>
      </c>
      <c r="I4" s="1145"/>
      <c r="J4" s="1144" t="e">
        <f>SUM(#REF!)</f>
        <v>#REF!</v>
      </c>
    </row>
    <row r="5" spans="1:189" s="1152" customFormat="1" ht="20.100000000000001" customHeight="1">
      <c r="A5" s="912" t="str">
        <f>+[4]BPU!A11</f>
        <v>002</v>
      </c>
      <c r="B5" s="912" t="str">
        <f>+[4]BPU!B11</f>
        <v>Prix 002 – Travaux topographiques  et élaboration du dossier d'exécution</v>
      </c>
      <c r="C5" s="1342"/>
      <c r="D5" s="1342"/>
      <c r="E5" s="1380"/>
      <c r="F5" s="1380"/>
      <c r="G5" s="1149"/>
      <c r="H5" s="1153"/>
      <c r="I5" s="1151"/>
      <c r="J5" s="1150"/>
    </row>
    <row r="6" spans="1:189" s="1152" customFormat="1" ht="20.100000000000001" customHeight="1">
      <c r="A6" s="912"/>
      <c r="B6" s="912"/>
      <c r="C6" s="1342" t="s">
        <v>205</v>
      </c>
      <c r="D6" s="1342">
        <v>1600</v>
      </c>
      <c r="E6" s="825" t="e">
        <f>+#REF!*3</f>
        <v>#REF!</v>
      </c>
      <c r="F6" s="825" t="e">
        <f>+D6*E6</f>
        <v>#REF!</v>
      </c>
      <c r="G6" s="1149"/>
      <c r="H6" s="1153"/>
      <c r="I6" s="1151"/>
      <c r="J6" s="1150"/>
    </row>
    <row r="7" spans="1:189" s="1152" customFormat="1" ht="26.25" customHeight="1">
      <c r="A7" s="1346"/>
      <c r="B7" s="938"/>
      <c r="C7" s="1381"/>
      <c r="D7" s="1381"/>
      <c r="E7" s="1382" t="s">
        <v>108</v>
      </c>
      <c r="F7" s="1383" t="e">
        <f>+F6</f>
        <v>#REF!</v>
      </c>
      <c r="G7" s="1149"/>
      <c r="H7" s="1150" t="e">
        <f>SUM(#REF!)</f>
        <v>#REF!</v>
      </c>
      <c r="I7" s="1151"/>
      <c r="J7" s="1150"/>
    </row>
    <row r="8" spans="1:189" s="1146" customFormat="1" ht="24.95" customHeight="1">
      <c r="A8" s="1334" t="str">
        <f>+[4]BPU!A16</f>
        <v>PRIX 100 - DEPLACEMENT OU MODIFICATION DE RESEAUX</v>
      </c>
      <c r="B8" s="1334"/>
      <c r="C8" s="1332"/>
      <c r="D8" s="1332"/>
      <c r="E8" s="1333"/>
      <c r="F8" s="1333"/>
      <c r="G8" s="44"/>
      <c r="H8" s="1144"/>
      <c r="I8" s="1145"/>
      <c r="J8" s="1144"/>
    </row>
    <row r="9" spans="1:189" s="1146" customFormat="1">
      <c r="A9" s="1336" t="str">
        <f>+[4]BPU!A17</f>
        <v>101</v>
      </c>
      <c r="B9" s="1336" t="str">
        <f>+[4]BPU!B17</f>
        <v>Prix 101 –Réseaux d'eau potable</v>
      </c>
      <c r="C9" s="825"/>
      <c r="D9" s="825"/>
      <c r="E9" s="825"/>
      <c r="F9" s="825"/>
      <c r="H9" s="1144"/>
      <c r="I9" s="1145"/>
      <c r="J9" s="1144"/>
      <c r="N9" s="1146">
        <f>1.7*3</f>
        <v>5.0999999999999996</v>
      </c>
    </row>
    <row r="10" spans="1:189" s="1146" customFormat="1">
      <c r="A10" s="1346"/>
      <c r="B10" s="1344"/>
      <c r="C10" s="1359" t="s">
        <v>631</v>
      </c>
      <c r="D10" s="825"/>
      <c r="E10" s="825"/>
      <c r="F10" s="825"/>
      <c r="G10" s="1154">
        <f>+'[4]Devis SONEB-OPT'!B6</f>
        <v>399599233</v>
      </c>
      <c r="H10" s="1144" t="e">
        <f>+F139</f>
        <v>#REF!</v>
      </c>
      <c r="I10" s="44">
        <v>0.02</v>
      </c>
      <c r="J10" s="1144"/>
    </row>
    <row r="11" spans="1:189" s="1158" customFormat="1">
      <c r="A11" s="1336">
        <f>+[4]BPU!A19</f>
        <v>102</v>
      </c>
      <c r="B11" s="1336" t="str">
        <f>+[4]BPU!B19</f>
        <v>Prix 102 – réseau électrique Conventionnel (SBEE)</v>
      </c>
      <c r="C11" s="825"/>
      <c r="D11" s="825"/>
      <c r="E11" s="825"/>
      <c r="F11" s="825"/>
      <c r="G11" s="1154"/>
      <c r="H11" s="1155"/>
      <c r="I11" s="1156"/>
      <c r="J11" s="1155"/>
      <c r="K11" s="1157"/>
      <c r="L11" s="1157"/>
      <c r="M11" s="1157"/>
      <c r="N11" s="1157"/>
      <c r="O11" s="1157"/>
      <c r="P11" s="1157"/>
      <c r="Q11" s="1157"/>
      <c r="R11" s="1157"/>
      <c r="S11" s="1157"/>
      <c r="T11" s="1157"/>
      <c r="U11" s="1157"/>
      <c r="V11" s="1157"/>
      <c r="W11" s="1157"/>
      <c r="X11" s="1157"/>
      <c r="Y11" s="1157"/>
      <c r="Z11" s="1157"/>
      <c r="AA11" s="1157"/>
      <c r="AB11" s="1157"/>
      <c r="AC11" s="1157"/>
      <c r="AD11" s="1157"/>
      <c r="AE11" s="1157"/>
      <c r="AF11" s="1157"/>
      <c r="AG11" s="1157"/>
      <c r="AH11" s="1157"/>
      <c r="AI11" s="1157"/>
      <c r="AJ11" s="1157"/>
      <c r="AK11" s="1157"/>
      <c r="AL11" s="1157"/>
      <c r="AM11" s="1157"/>
      <c r="AN11" s="1157"/>
      <c r="AO11" s="1157"/>
      <c r="AP11" s="1157"/>
      <c r="AQ11" s="1157"/>
      <c r="AR11" s="1157"/>
      <c r="AS11" s="1157"/>
      <c r="AT11" s="1157"/>
      <c r="AU11" s="1157"/>
      <c r="AV11" s="1157"/>
      <c r="AW11" s="1157"/>
      <c r="AX11" s="1157"/>
      <c r="AY11" s="1157"/>
      <c r="AZ11" s="1157"/>
      <c r="BA11" s="1157"/>
      <c r="BB11" s="1157"/>
      <c r="BC11" s="1157"/>
      <c r="BD11" s="1157"/>
      <c r="BE11" s="1157"/>
      <c r="BF11" s="1157"/>
      <c r="BG11" s="1157"/>
      <c r="BH11" s="1157"/>
      <c r="BI11" s="1157"/>
      <c r="BJ11" s="1157"/>
      <c r="BK11" s="1157"/>
      <c r="BL11" s="1157"/>
      <c r="BM11" s="1157"/>
      <c r="BN11" s="1157"/>
      <c r="BO11" s="1157"/>
      <c r="BP11" s="1157"/>
      <c r="BQ11" s="1157"/>
      <c r="BR11" s="1157"/>
      <c r="BS11" s="1157"/>
      <c r="BT11" s="1157"/>
      <c r="BU11" s="1157"/>
      <c r="BV11" s="1157"/>
      <c r="BW11" s="1157"/>
      <c r="BX11" s="1157"/>
      <c r="BY11" s="1157"/>
      <c r="BZ11" s="1157"/>
      <c r="CA11" s="1157"/>
      <c r="CB11" s="1157"/>
      <c r="CC11" s="1157"/>
      <c r="CD11" s="1157"/>
      <c r="CE11" s="1157"/>
      <c r="CF11" s="1157"/>
      <c r="CG11" s="1157"/>
      <c r="CH11" s="1157"/>
      <c r="CI11" s="1157"/>
      <c r="CJ11" s="1157"/>
      <c r="CK11" s="1157"/>
      <c r="CL11" s="1157"/>
      <c r="CM11" s="1157"/>
      <c r="CN11" s="1157"/>
      <c r="CO11" s="1157"/>
      <c r="CP11" s="1157"/>
      <c r="CQ11" s="1157"/>
      <c r="CR11" s="1157"/>
      <c r="CS11" s="1157"/>
      <c r="CT11" s="1157"/>
      <c r="CU11" s="1157"/>
      <c r="CV11" s="1157"/>
      <c r="CW11" s="1157"/>
      <c r="CX11" s="1157"/>
      <c r="CY11" s="1157"/>
      <c r="CZ11" s="1157"/>
      <c r="DA11" s="1157"/>
      <c r="DB11" s="1157"/>
      <c r="DC11" s="1157"/>
      <c r="DD11" s="1157"/>
      <c r="DE11" s="1157"/>
      <c r="DF11" s="1157"/>
      <c r="DG11" s="1157"/>
      <c r="DH11" s="1157"/>
      <c r="DI11" s="1157"/>
      <c r="DJ11" s="1157"/>
      <c r="DK11" s="1157"/>
      <c r="DL11" s="1157"/>
      <c r="DM11" s="1157"/>
      <c r="DN11" s="1157"/>
      <c r="DO11" s="1157"/>
      <c r="DP11" s="1157"/>
      <c r="DQ11" s="1157"/>
      <c r="DR11" s="1157"/>
      <c r="DS11" s="1157"/>
      <c r="DT11" s="1157"/>
      <c r="DU11" s="1157"/>
      <c r="DV11" s="1157"/>
      <c r="DW11" s="1157"/>
      <c r="DX11" s="1157"/>
      <c r="DY11" s="1157"/>
      <c r="DZ11" s="1157"/>
      <c r="EA11" s="1157"/>
      <c r="EB11" s="1157"/>
      <c r="EC11" s="1157"/>
      <c r="ED11" s="1157"/>
      <c r="EE11" s="1157"/>
      <c r="EF11" s="1157"/>
      <c r="EG11" s="1157"/>
      <c r="EH11" s="1157"/>
      <c r="EI11" s="1157"/>
      <c r="EJ11" s="1157"/>
      <c r="EK11" s="1157"/>
      <c r="EL11" s="1157"/>
      <c r="EM11" s="1157"/>
      <c r="EN11" s="1157"/>
      <c r="EO11" s="1157"/>
      <c r="EP11" s="1157"/>
      <c r="EQ11" s="1157"/>
      <c r="ER11" s="1157"/>
      <c r="ES11" s="1157"/>
      <c r="ET11" s="1157"/>
      <c r="EU11" s="1157"/>
      <c r="EV11" s="1157"/>
      <c r="EW11" s="1157"/>
      <c r="EX11" s="1157"/>
      <c r="EY11" s="1157"/>
      <c r="EZ11" s="1157"/>
      <c r="FA11" s="1157"/>
      <c r="FB11" s="1157"/>
      <c r="FC11" s="1157"/>
      <c r="FD11" s="1157"/>
      <c r="FE11" s="1157"/>
      <c r="FF11" s="1157"/>
      <c r="FG11" s="1157"/>
      <c r="FH11" s="1157"/>
      <c r="FI11" s="1157"/>
      <c r="FJ11" s="1157"/>
      <c r="FK11" s="1157"/>
      <c r="FL11" s="1157"/>
      <c r="FM11" s="1157"/>
      <c r="FN11" s="1157"/>
      <c r="FO11" s="1157"/>
      <c r="FP11" s="1157"/>
      <c r="FQ11" s="1157"/>
      <c r="FR11" s="1157"/>
      <c r="FS11" s="1157"/>
      <c r="FT11" s="1157"/>
      <c r="FU11" s="1157"/>
      <c r="FV11" s="1157"/>
      <c r="FW11" s="1157"/>
      <c r="FX11" s="1157"/>
      <c r="FY11" s="1157"/>
      <c r="FZ11" s="1157"/>
      <c r="GA11" s="1157"/>
      <c r="GB11" s="1157"/>
      <c r="GC11" s="1157"/>
      <c r="GD11" s="1157"/>
      <c r="GE11" s="1157"/>
      <c r="GF11" s="1157"/>
      <c r="GG11" s="1157"/>
    </row>
    <row r="12" spans="1:189" s="1158" customFormat="1">
      <c r="A12" s="1346"/>
      <c r="B12" s="1344"/>
      <c r="C12" s="1359" t="s">
        <v>631</v>
      </c>
      <c r="D12" s="825"/>
      <c r="E12" s="825"/>
      <c r="F12" s="825"/>
      <c r="G12" s="1154" t="e">
        <f>+H12*I12</f>
        <v>#REF!</v>
      </c>
      <c r="H12" s="1155" t="e">
        <f>+H10</f>
        <v>#REF!</v>
      </c>
      <c r="I12" s="1156">
        <v>0.02</v>
      </c>
      <c r="J12" s="1155" t="e">
        <f>H12*I12</f>
        <v>#REF!</v>
      </c>
      <c r="K12" s="1157"/>
      <c r="L12" s="1157"/>
      <c r="M12" s="1157"/>
      <c r="N12" s="1157"/>
      <c r="O12" s="1157"/>
      <c r="P12" s="1157"/>
      <c r="Q12" s="1157"/>
      <c r="R12" s="1157"/>
      <c r="S12" s="1157"/>
      <c r="T12" s="1157"/>
      <c r="U12" s="1157"/>
      <c r="V12" s="1157"/>
      <c r="W12" s="1157"/>
      <c r="X12" s="1157"/>
      <c r="Y12" s="1157"/>
      <c r="Z12" s="1157"/>
      <c r="AA12" s="1157"/>
      <c r="AB12" s="1157"/>
      <c r="AC12" s="1157"/>
      <c r="AD12" s="1157"/>
      <c r="AE12" s="1157"/>
      <c r="AF12" s="1157"/>
      <c r="AG12" s="1157"/>
      <c r="AH12" s="1157"/>
      <c r="AI12" s="1157"/>
      <c r="AJ12" s="1157"/>
      <c r="AK12" s="1157"/>
      <c r="AL12" s="1157"/>
      <c r="AM12" s="1157"/>
      <c r="AN12" s="1157"/>
      <c r="AO12" s="1157"/>
      <c r="AP12" s="1157"/>
      <c r="AQ12" s="1157"/>
      <c r="AR12" s="1157"/>
      <c r="AS12" s="1157"/>
      <c r="AT12" s="1157"/>
      <c r="AU12" s="1157"/>
      <c r="AV12" s="1157"/>
      <c r="AW12" s="1157"/>
      <c r="AX12" s="1157"/>
      <c r="AY12" s="1157"/>
      <c r="AZ12" s="1157"/>
      <c r="BA12" s="1157"/>
      <c r="BB12" s="1157"/>
      <c r="BC12" s="1157"/>
      <c r="BD12" s="1157"/>
      <c r="BE12" s="1157"/>
      <c r="BF12" s="1157"/>
      <c r="BG12" s="1157"/>
      <c r="BH12" s="1157"/>
      <c r="BI12" s="1157"/>
      <c r="BJ12" s="1157"/>
      <c r="BK12" s="1157"/>
      <c r="BL12" s="1157"/>
      <c r="BM12" s="1157"/>
      <c r="BN12" s="1157"/>
      <c r="BO12" s="1157"/>
      <c r="BP12" s="1157"/>
      <c r="BQ12" s="1157"/>
      <c r="BR12" s="1157"/>
      <c r="BS12" s="1157"/>
      <c r="BT12" s="1157"/>
      <c r="BU12" s="1157"/>
      <c r="BV12" s="1157"/>
      <c r="BW12" s="1157"/>
      <c r="BX12" s="1157"/>
      <c r="BY12" s="1157"/>
      <c r="BZ12" s="1157"/>
      <c r="CA12" s="1157"/>
      <c r="CB12" s="1157"/>
      <c r="CC12" s="1157"/>
      <c r="CD12" s="1157"/>
      <c r="CE12" s="1157"/>
      <c r="CF12" s="1157"/>
      <c r="CG12" s="1157"/>
      <c r="CH12" s="1157"/>
      <c r="CI12" s="1157"/>
      <c r="CJ12" s="1157"/>
      <c r="CK12" s="1157"/>
      <c r="CL12" s="1157"/>
      <c r="CM12" s="1157"/>
      <c r="CN12" s="1157"/>
      <c r="CO12" s="1157"/>
      <c r="CP12" s="1157"/>
      <c r="CQ12" s="1157"/>
      <c r="CR12" s="1157"/>
      <c r="CS12" s="1157"/>
      <c r="CT12" s="1157"/>
      <c r="CU12" s="1157"/>
      <c r="CV12" s="1157"/>
      <c r="CW12" s="1157"/>
      <c r="CX12" s="1157"/>
      <c r="CY12" s="1157"/>
      <c r="CZ12" s="1157"/>
      <c r="DA12" s="1157"/>
      <c r="DB12" s="1157"/>
      <c r="DC12" s="1157"/>
      <c r="DD12" s="1157"/>
      <c r="DE12" s="1157"/>
      <c r="DF12" s="1157"/>
      <c r="DG12" s="1157"/>
      <c r="DH12" s="1157"/>
      <c r="DI12" s="1157"/>
      <c r="DJ12" s="1157"/>
      <c r="DK12" s="1157"/>
      <c r="DL12" s="1157"/>
      <c r="DM12" s="1157"/>
      <c r="DN12" s="1157"/>
      <c r="DO12" s="1157"/>
      <c r="DP12" s="1157"/>
      <c r="DQ12" s="1157"/>
      <c r="DR12" s="1157"/>
      <c r="DS12" s="1157"/>
      <c r="DT12" s="1157"/>
      <c r="DU12" s="1157"/>
      <c r="DV12" s="1157"/>
      <c r="DW12" s="1157"/>
      <c r="DX12" s="1157"/>
      <c r="DY12" s="1157"/>
      <c r="DZ12" s="1157"/>
      <c r="EA12" s="1157"/>
      <c r="EB12" s="1157"/>
      <c r="EC12" s="1157"/>
      <c r="ED12" s="1157"/>
      <c r="EE12" s="1157"/>
      <c r="EF12" s="1157"/>
      <c r="EG12" s="1157"/>
      <c r="EH12" s="1157"/>
      <c r="EI12" s="1157"/>
      <c r="EJ12" s="1157"/>
      <c r="EK12" s="1157"/>
      <c r="EL12" s="1157"/>
      <c r="EM12" s="1157"/>
      <c r="EN12" s="1157"/>
      <c r="EO12" s="1157"/>
      <c r="EP12" s="1157"/>
      <c r="EQ12" s="1157"/>
      <c r="ER12" s="1157"/>
      <c r="ES12" s="1157"/>
      <c r="ET12" s="1157"/>
      <c r="EU12" s="1157"/>
      <c r="EV12" s="1157"/>
      <c r="EW12" s="1157"/>
      <c r="EX12" s="1157"/>
      <c r="EY12" s="1157"/>
      <c r="EZ12" s="1157"/>
      <c r="FA12" s="1157"/>
      <c r="FB12" s="1157"/>
      <c r="FC12" s="1157"/>
      <c r="FD12" s="1157"/>
      <c r="FE12" s="1157"/>
      <c r="FF12" s="1157"/>
      <c r="FG12" s="1157"/>
      <c r="FH12" s="1157"/>
      <c r="FI12" s="1157"/>
      <c r="FJ12" s="1157"/>
      <c r="FK12" s="1157"/>
      <c r="FL12" s="1157"/>
      <c r="FM12" s="1157"/>
      <c r="FN12" s="1157"/>
      <c r="FO12" s="1157"/>
      <c r="FP12" s="1157"/>
      <c r="FQ12" s="1157"/>
      <c r="FR12" s="1157"/>
      <c r="FS12" s="1157"/>
      <c r="FT12" s="1157"/>
      <c r="FU12" s="1157"/>
      <c r="FV12" s="1157"/>
      <c r="FW12" s="1157"/>
      <c r="FX12" s="1157"/>
      <c r="FY12" s="1157"/>
      <c r="FZ12" s="1157"/>
      <c r="GA12" s="1157"/>
      <c r="GB12" s="1157"/>
      <c r="GC12" s="1157"/>
      <c r="GD12" s="1157"/>
      <c r="GE12" s="1157"/>
      <c r="GF12" s="1157"/>
      <c r="GG12" s="1157"/>
    </row>
    <row r="13" spans="1:189">
      <c r="A13" s="1336">
        <f>+[4]BPU!A25</f>
        <v>103</v>
      </c>
      <c r="B13" s="1336" t="str">
        <f>+[4]BPU!B25</f>
        <v>Prix 103 – réseau téléphonique et de fibre optique</v>
      </c>
      <c r="C13" s="825"/>
      <c r="D13" s="825"/>
      <c r="E13" s="825"/>
      <c r="F13" s="825"/>
      <c r="G13" s="1154"/>
    </row>
    <row r="14" spans="1:189">
      <c r="A14" s="1346"/>
      <c r="B14" s="1344"/>
      <c r="C14" s="1359" t="s">
        <v>631</v>
      </c>
      <c r="D14" s="825"/>
      <c r="E14" s="825"/>
      <c r="F14" s="825"/>
      <c r="G14" s="1154">
        <f>+'[4]Devis SONEB-OPT'!C6</f>
        <v>69695135</v>
      </c>
      <c r="H14" s="1144" t="e">
        <f>+H12</f>
        <v>#REF!</v>
      </c>
      <c r="I14" s="1145">
        <v>0.01</v>
      </c>
    </row>
    <row r="15" spans="1:189" ht="24.95" customHeight="1">
      <c r="A15" s="1353"/>
      <c r="B15" s="1380"/>
      <c r="C15" s="1381"/>
      <c r="D15" s="1381"/>
      <c r="E15" s="1382" t="s">
        <v>107</v>
      </c>
      <c r="F15" s="1383" t="e">
        <f>+F7</f>
        <v>#REF!</v>
      </c>
    </row>
    <row r="16" spans="1:189" ht="24.95" customHeight="1">
      <c r="A16" s="1334" t="str">
        <f>+[4]BPU!A46</f>
        <v xml:space="preserve">PRIX 200 - DEGAGEMENT DES EMPRISES </v>
      </c>
      <c r="B16" s="1334"/>
      <c r="C16" s="1332"/>
      <c r="D16" s="1332"/>
      <c r="E16" s="1333"/>
      <c r="F16" s="1333"/>
    </row>
    <row r="17" spans="1:189" s="1149" customFormat="1" ht="15.95" hidden="1" customHeight="1">
      <c r="A17" s="1336" t="str">
        <f>+[4]BPU!A47</f>
        <v>201</v>
      </c>
      <c r="B17" s="1336" t="str">
        <f>+[4]BPU!B47</f>
        <v xml:space="preserve">Prix 201 - Nettoyage du site </v>
      </c>
      <c r="C17" s="1359"/>
      <c r="D17" s="1342"/>
      <c r="E17" s="825"/>
      <c r="F17" s="825"/>
      <c r="H17" s="1150"/>
      <c r="I17" s="1151"/>
      <c r="J17" s="1150"/>
      <c r="K17" s="1152"/>
      <c r="L17" s="1152"/>
      <c r="M17" s="1152"/>
      <c r="N17" s="1152"/>
      <c r="O17" s="1152"/>
      <c r="P17" s="1152"/>
      <c r="Q17" s="1152"/>
      <c r="R17" s="1152"/>
      <c r="S17" s="1152"/>
      <c r="T17" s="1152"/>
      <c r="U17" s="1152"/>
      <c r="V17" s="1152"/>
      <c r="W17" s="1152"/>
      <c r="X17" s="1152"/>
      <c r="Y17" s="1152"/>
      <c r="Z17" s="1152"/>
      <c r="AA17" s="1152"/>
      <c r="AB17" s="1152"/>
      <c r="AC17" s="1152"/>
      <c r="AD17" s="1152"/>
      <c r="AE17" s="1152"/>
      <c r="AF17" s="1152"/>
      <c r="AG17" s="1152"/>
      <c r="AH17" s="1152"/>
      <c r="AI17" s="1152"/>
      <c r="AJ17" s="1152"/>
      <c r="AK17" s="1152"/>
      <c r="AL17" s="1152"/>
      <c r="AM17" s="1152"/>
      <c r="AN17" s="1152"/>
      <c r="AO17" s="1152"/>
      <c r="AP17" s="1152"/>
      <c r="AQ17" s="1152"/>
      <c r="AR17" s="1152"/>
      <c r="AS17" s="1152"/>
      <c r="AT17" s="1152"/>
      <c r="AU17" s="1152"/>
      <c r="AV17" s="1152"/>
      <c r="AW17" s="1152"/>
      <c r="AX17" s="1152"/>
      <c r="AY17" s="1152"/>
      <c r="AZ17" s="1152"/>
      <c r="BA17" s="1152"/>
      <c r="BB17" s="1152"/>
      <c r="BC17" s="1152"/>
      <c r="BD17" s="1152"/>
      <c r="BE17" s="1152"/>
      <c r="BF17" s="1152"/>
      <c r="BG17" s="1152"/>
      <c r="BH17" s="1152"/>
      <c r="BI17" s="1152"/>
      <c r="BJ17" s="1152"/>
      <c r="BK17" s="1152"/>
      <c r="BL17" s="1152"/>
      <c r="BM17" s="1152"/>
      <c r="BN17" s="1152"/>
      <c r="BO17" s="1152"/>
      <c r="BP17" s="1152"/>
      <c r="BQ17" s="1152"/>
      <c r="BR17" s="1152"/>
      <c r="BS17" s="1152"/>
      <c r="BT17" s="1152"/>
      <c r="BU17" s="1152"/>
      <c r="BV17" s="1152"/>
      <c r="BW17" s="1152"/>
      <c r="BX17" s="1152"/>
      <c r="BY17" s="1152"/>
      <c r="BZ17" s="1152"/>
      <c r="CA17" s="1152"/>
      <c r="CB17" s="1152"/>
      <c r="CC17" s="1152"/>
      <c r="CD17" s="1152"/>
      <c r="CE17" s="1152"/>
      <c r="CF17" s="1152"/>
      <c r="CG17" s="1152"/>
      <c r="CH17" s="1152"/>
      <c r="CI17" s="1152"/>
      <c r="CJ17" s="1152"/>
      <c r="CK17" s="1152"/>
      <c r="CL17" s="1152"/>
      <c r="CM17" s="1152"/>
      <c r="CN17" s="1152"/>
      <c r="CO17" s="1152"/>
      <c r="CP17" s="1152"/>
      <c r="CQ17" s="1152"/>
      <c r="CR17" s="1152"/>
      <c r="CS17" s="1152"/>
      <c r="CT17" s="1152"/>
      <c r="CU17" s="1152"/>
      <c r="CV17" s="1152"/>
      <c r="CW17" s="1152"/>
      <c r="CX17" s="1152"/>
      <c r="CY17" s="1152"/>
      <c r="CZ17" s="1152"/>
      <c r="DA17" s="1152"/>
      <c r="DB17" s="1152"/>
      <c r="DC17" s="1152"/>
      <c r="DD17" s="1152"/>
      <c r="DE17" s="1152"/>
      <c r="DF17" s="1152"/>
      <c r="DG17" s="1152"/>
      <c r="DH17" s="1152"/>
      <c r="DI17" s="1152"/>
      <c r="DJ17" s="1152"/>
      <c r="DK17" s="1152"/>
      <c r="DL17" s="1152"/>
      <c r="DM17" s="1152"/>
      <c r="DN17" s="1152"/>
      <c r="DO17" s="1152"/>
      <c r="DP17" s="1152"/>
      <c r="DQ17" s="1152"/>
      <c r="DR17" s="1152"/>
      <c r="DS17" s="1152"/>
      <c r="DT17" s="1152"/>
      <c r="DU17" s="1152"/>
      <c r="DV17" s="1152"/>
      <c r="DW17" s="1152"/>
      <c r="DX17" s="1152"/>
      <c r="DY17" s="1152"/>
      <c r="DZ17" s="1152"/>
      <c r="EA17" s="1152"/>
      <c r="EB17" s="1152"/>
      <c r="EC17" s="1152"/>
      <c r="ED17" s="1152"/>
      <c r="EE17" s="1152"/>
      <c r="EF17" s="1152"/>
      <c r="EG17" s="1152"/>
      <c r="EH17" s="1152"/>
      <c r="EI17" s="1152"/>
      <c r="EJ17" s="1152"/>
      <c r="EK17" s="1152"/>
      <c r="EL17" s="1152"/>
      <c r="EM17" s="1152"/>
      <c r="EN17" s="1152"/>
      <c r="EO17" s="1152"/>
      <c r="EP17" s="1152"/>
      <c r="EQ17" s="1152"/>
      <c r="ER17" s="1152"/>
      <c r="ES17" s="1152"/>
      <c r="ET17" s="1152"/>
      <c r="EU17" s="1152"/>
      <c r="EV17" s="1152"/>
      <c r="EW17" s="1152"/>
      <c r="EX17" s="1152"/>
      <c r="EY17" s="1152"/>
      <c r="EZ17" s="1152"/>
      <c r="FA17" s="1152"/>
      <c r="FB17" s="1152"/>
      <c r="FC17" s="1152"/>
      <c r="FD17" s="1152"/>
      <c r="FE17" s="1152"/>
      <c r="FF17" s="1152"/>
      <c r="FG17" s="1152"/>
      <c r="FH17" s="1152"/>
      <c r="FI17" s="1152"/>
      <c r="FJ17" s="1152"/>
      <c r="FK17" s="1152"/>
      <c r="FL17" s="1152"/>
      <c r="FM17" s="1152"/>
      <c r="FN17" s="1152"/>
      <c r="FO17" s="1152"/>
      <c r="FP17" s="1152"/>
      <c r="FQ17" s="1152"/>
      <c r="FR17" s="1152"/>
      <c r="FS17" s="1152"/>
      <c r="FT17" s="1152"/>
      <c r="FU17" s="1152"/>
      <c r="FV17" s="1152"/>
      <c r="FW17" s="1152"/>
      <c r="FX17" s="1152"/>
      <c r="FY17" s="1152"/>
      <c r="FZ17" s="1152"/>
      <c r="GA17" s="1152"/>
      <c r="GB17" s="1152"/>
      <c r="GC17" s="1152"/>
      <c r="GD17" s="1152"/>
      <c r="GE17" s="1152"/>
      <c r="GF17" s="1152"/>
      <c r="GG17" s="1152"/>
    </row>
    <row r="18" spans="1:189" s="1149" customFormat="1" ht="15.95" hidden="1" customHeight="1">
      <c r="A18" s="1344"/>
      <c r="B18" s="912"/>
      <c r="C18" s="1360" t="s">
        <v>618</v>
      </c>
      <c r="D18" s="1361">
        <v>0</v>
      </c>
      <c r="E18" s="825">
        <f>25672373*0.7</f>
        <v>17970661.099999998</v>
      </c>
      <c r="F18" s="825">
        <f>+D18*E18</f>
        <v>0</v>
      </c>
      <c r="H18" s="1150"/>
      <c r="I18" s="1151"/>
      <c r="J18" s="1150"/>
      <c r="K18" s="1152"/>
      <c r="L18" s="1152"/>
      <c r="M18" s="1152"/>
      <c r="N18" s="1152"/>
      <c r="O18" s="1152"/>
      <c r="P18" s="1152"/>
      <c r="Q18" s="1152"/>
      <c r="R18" s="1152"/>
      <c r="S18" s="1152"/>
      <c r="T18" s="1152"/>
      <c r="U18" s="1152"/>
      <c r="V18" s="1152"/>
      <c r="W18" s="1152"/>
      <c r="X18" s="1152"/>
      <c r="Y18" s="1152"/>
      <c r="Z18" s="1152"/>
      <c r="AA18" s="1152"/>
      <c r="AB18" s="1152"/>
      <c r="AC18" s="1152"/>
      <c r="AD18" s="1152"/>
      <c r="AE18" s="1152"/>
      <c r="AF18" s="1152"/>
      <c r="AG18" s="1152"/>
      <c r="AH18" s="1152"/>
      <c r="AI18" s="1152"/>
      <c r="AJ18" s="1152"/>
      <c r="AK18" s="1152"/>
      <c r="AL18" s="1152"/>
      <c r="AM18" s="1152"/>
      <c r="AN18" s="1152"/>
      <c r="AO18" s="1152"/>
      <c r="AP18" s="1152"/>
      <c r="AQ18" s="1152"/>
      <c r="AR18" s="1152"/>
      <c r="AS18" s="1152"/>
      <c r="AT18" s="1152"/>
      <c r="AU18" s="1152"/>
      <c r="AV18" s="1152"/>
      <c r="AW18" s="1152"/>
      <c r="AX18" s="1152"/>
      <c r="AY18" s="1152"/>
      <c r="AZ18" s="1152"/>
      <c r="BA18" s="1152"/>
      <c r="BB18" s="1152"/>
      <c r="BC18" s="1152"/>
      <c r="BD18" s="1152"/>
      <c r="BE18" s="1152"/>
      <c r="BF18" s="1152"/>
      <c r="BG18" s="1152"/>
      <c r="BH18" s="1152"/>
      <c r="BI18" s="1152"/>
      <c r="BJ18" s="1152"/>
      <c r="BK18" s="1152"/>
      <c r="BL18" s="1152"/>
      <c r="BM18" s="1152"/>
      <c r="BN18" s="1152"/>
      <c r="BO18" s="1152"/>
      <c r="BP18" s="1152"/>
      <c r="BQ18" s="1152"/>
      <c r="BR18" s="1152"/>
      <c r="BS18" s="1152"/>
      <c r="BT18" s="1152"/>
      <c r="BU18" s="1152"/>
      <c r="BV18" s="1152"/>
      <c r="BW18" s="1152"/>
      <c r="BX18" s="1152"/>
      <c r="BY18" s="1152"/>
      <c r="BZ18" s="1152"/>
      <c r="CA18" s="1152"/>
      <c r="CB18" s="1152"/>
      <c r="CC18" s="1152"/>
      <c r="CD18" s="1152"/>
      <c r="CE18" s="1152"/>
      <c r="CF18" s="1152"/>
      <c r="CG18" s="1152"/>
      <c r="CH18" s="1152"/>
      <c r="CI18" s="1152"/>
      <c r="CJ18" s="1152"/>
      <c r="CK18" s="1152"/>
      <c r="CL18" s="1152"/>
      <c r="CM18" s="1152"/>
      <c r="CN18" s="1152"/>
      <c r="CO18" s="1152"/>
      <c r="CP18" s="1152"/>
      <c r="CQ18" s="1152"/>
      <c r="CR18" s="1152"/>
      <c r="CS18" s="1152"/>
      <c r="CT18" s="1152"/>
      <c r="CU18" s="1152"/>
      <c r="CV18" s="1152"/>
      <c r="CW18" s="1152"/>
      <c r="CX18" s="1152"/>
      <c r="CY18" s="1152"/>
      <c r="CZ18" s="1152"/>
      <c r="DA18" s="1152"/>
      <c r="DB18" s="1152"/>
      <c r="DC18" s="1152"/>
      <c r="DD18" s="1152"/>
      <c r="DE18" s="1152"/>
      <c r="DF18" s="1152"/>
      <c r="DG18" s="1152"/>
      <c r="DH18" s="1152"/>
      <c r="DI18" s="1152"/>
      <c r="DJ18" s="1152"/>
      <c r="DK18" s="1152"/>
      <c r="DL18" s="1152"/>
      <c r="DM18" s="1152"/>
      <c r="DN18" s="1152"/>
      <c r="DO18" s="1152"/>
      <c r="DP18" s="1152"/>
      <c r="DQ18" s="1152"/>
      <c r="DR18" s="1152"/>
      <c r="DS18" s="1152"/>
      <c r="DT18" s="1152"/>
      <c r="DU18" s="1152"/>
      <c r="DV18" s="1152"/>
      <c r="DW18" s="1152"/>
      <c r="DX18" s="1152"/>
      <c r="DY18" s="1152"/>
      <c r="DZ18" s="1152"/>
      <c r="EA18" s="1152"/>
      <c r="EB18" s="1152"/>
      <c r="EC18" s="1152"/>
      <c r="ED18" s="1152"/>
      <c r="EE18" s="1152"/>
      <c r="EF18" s="1152"/>
      <c r="EG18" s="1152"/>
      <c r="EH18" s="1152"/>
      <c r="EI18" s="1152"/>
      <c r="EJ18" s="1152"/>
      <c r="EK18" s="1152"/>
      <c r="EL18" s="1152"/>
      <c r="EM18" s="1152"/>
      <c r="EN18" s="1152"/>
      <c r="EO18" s="1152"/>
      <c r="EP18" s="1152"/>
      <c r="EQ18" s="1152"/>
      <c r="ER18" s="1152"/>
      <c r="ES18" s="1152"/>
      <c r="ET18" s="1152"/>
      <c r="EU18" s="1152"/>
      <c r="EV18" s="1152"/>
      <c r="EW18" s="1152"/>
      <c r="EX18" s="1152"/>
      <c r="EY18" s="1152"/>
      <c r="EZ18" s="1152"/>
      <c r="FA18" s="1152"/>
      <c r="FB18" s="1152"/>
      <c r="FC18" s="1152"/>
      <c r="FD18" s="1152"/>
      <c r="FE18" s="1152"/>
      <c r="FF18" s="1152"/>
      <c r="FG18" s="1152"/>
      <c r="FH18" s="1152"/>
      <c r="FI18" s="1152"/>
      <c r="FJ18" s="1152"/>
      <c r="FK18" s="1152"/>
      <c r="FL18" s="1152"/>
      <c r="FM18" s="1152"/>
      <c r="FN18" s="1152"/>
      <c r="FO18" s="1152"/>
      <c r="FP18" s="1152"/>
      <c r="FQ18" s="1152"/>
      <c r="FR18" s="1152"/>
      <c r="FS18" s="1152"/>
      <c r="FT18" s="1152"/>
      <c r="FU18" s="1152"/>
      <c r="FV18" s="1152"/>
      <c r="FW18" s="1152"/>
      <c r="FX18" s="1152"/>
      <c r="FY18" s="1152"/>
      <c r="FZ18" s="1152"/>
      <c r="GA18" s="1152"/>
      <c r="GB18" s="1152"/>
      <c r="GC18" s="1152"/>
      <c r="GD18" s="1152"/>
      <c r="GE18" s="1152"/>
      <c r="GF18" s="1152"/>
      <c r="GG18" s="1152"/>
    </row>
    <row r="19" spans="1:189" s="1149" customFormat="1" ht="15.95" hidden="1" customHeight="1">
      <c r="A19" s="1336" t="str">
        <f>+[4]BPU!A49</f>
        <v>202</v>
      </c>
      <c r="B19" s="1336" t="str">
        <f>+[4]BPU!B49</f>
        <v xml:space="preserve">Prix 202 - Débroussaillage – décapage - dessouchage - nettoyage </v>
      </c>
      <c r="C19" s="1359"/>
      <c r="D19" s="1342"/>
      <c r="E19" s="825"/>
      <c r="F19" s="825"/>
      <c r="H19" s="1150"/>
      <c r="I19" s="1151"/>
      <c r="J19" s="1150"/>
      <c r="K19" s="1152"/>
      <c r="L19" s="1152"/>
      <c r="M19" s="1152"/>
      <c r="N19" s="1152"/>
      <c r="O19" s="1152"/>
      <c r="P19" s="1152"/>
      <c r="Q19" s="1152"/>
      <c r="R19" s="1152"/>
      <c r="S19" s="1152"/>
      <c r="T19" s="1152"/>
      <c r="U19" s="1152"/>
      <c r="V19" s="1152"/>
      <c r="W19" s="1152"/>
      <c r="X19" s="1152"/>
      <c r="Y19" s="1152"/>
      <c r="Z19" s="1152"/>
      <c r="AA19" s="1152"/>
      <c r="AB19" s="1152"/>
      <c r="AC19" s="1152"/>
      <c r="AD19" s="1152"/>
      <c r="AE19" s="1152"/>
      <c r="AF19" s="1152"/>
      <c r="AG19" s="1152"/>
      <c r="AH19" s="1152"/>
      <c r="AI19" s="1152"/>
      <c r="AJ19" s="1152"/>
      <c r="AK19" s="1152"/>
      <c r="AL19" s="1152"/>
      <c r="AM19" s="1152"/>
      <c r="AN19" s="1152"/>
      <c r="AO19" s="1152"/>
      <c r="AP19" s="1152"/>
      <c r="AQ19" s="1152"/>
      <c r="AR19" s="1152"/>
      <c r="AS19" s="1152"/>
      <c r="AT19" s="1152"/>
      <c r="AU19" s="1152"/>
      <c r="AV19" s="1152"/>
      <c r="AW19" s="1152"/>
      <c r="AX19" s="1152"/>
      <c r="AY19" s="1152"/>
      <c r="AZ19" s="1152"/>
      <c r="BA19" s="1152"/>
      <c r="BB19" s="1152"/>
      <c r="BC19" s="1152"/>
      <c r="BD19" s="1152"/>
      <c r="BE19" s="1152"/>
      <c r="BF19" s="1152"/>
      <c r="BG19" s="1152"/>
      <c r="BH19" s="1152"/>
      <c r="BI19" s="1152"/>
      <c r="BJ19" s="1152"/>
      <c r="BK19" s="1152"/>
      <c r="BL19" s="1152"/>
      <c r="BM19" s="1152"/>
      <c r="BN19" s="1152"/>
      <c r="BO19" s="1152"/>
      <c r="BP19" s="1152"/>
      <c r="BQ19" s="1152"/>
      <c r="BR19" s="1152"/>
      <c r="BS19" s="1152"/>
      <c r="BT19" s="1152"/>
      <c r="BU19" s="1152"/>
      <c r="BV19" s="1152"/>
      <c r="BW19" s="1152"/>
      <c r="BX19" s="1152"/>
      <c r="BY19" s="1152"/>
      <c r="BZ19" s="1152"/>
      <c r="CA19" s="1152"/>
      <c r="CB19" s="1152"/>
      <c r="CC19" s="1152"/>
      <c r="CD19" s="1152"/>
      <c r="CE19" s="1152"/>
      <c r="CF19" s="1152"/>
      <c r="CG19" s="1152"/>
      <c r="CH19" s="1152"/>
      <c r="CI19" s="1152"/>
      <c r="CJ19" s="1152"/>
      <c r="CK19" s="1152"/>
      <c r="CL19" s="1152"/>
      <c r="CM19" s="1152"/>
      <c r="CN19" s="1152"/>
      <c r="CO19" s="1152"/>
      <c r="CP19" s="1152"/>
      <c r="CQ19" s="1152"/>
      <c r="CR19" s="1152"/>
      <c r="CS19" s="1152"/>
      <c r="CT19" s="1152"/>
      <c r="CU19" s="1152"/>
      <c r="CV19" s="1152"/>
      <c r="CW19" s="1152"/>
      <c r="CX19" s="1152"/>
      <c r="CY19" s="1152"/>
      <c r="CZ19" s="1152"/>
      <c r="DA19" s="1152"/>
      <c r="DB19" s="1152"/>
      <c r="DC19" s="1152"/>
      <c r="DD19" s="1152"/>
      <c r="DE19" s="1152"/>
      <c r="DF19" s="1152"/>
      <c r="DG19" s="1152"/>
      <c r="DH19" s="1152"/>
      <c r="DI19" s="1152"/>
      <c r="DJ19" s="1152"/>
      <c r="DK19" s="1152"/>
      <c r="DL19" s="1152"/>
      <c r="DM19" s="1152"/>
      <c r="DN19" s="1152"/>
      <c r="DO19" s="1152"/>
      <c r="DP19" s="1152"/>
      <c r="DQ19" s="1152"/>
      <c r="DR19" s="1152"/>
      <c r="DS19" s="1152"/>
      <c r="DT19" s="1152"/>
      <c r="DU19" s="1152"/>
      <c r="DV19" s="1152"/>
      <c r="DW19" s="1152"/>
      <c r="DX19" s="1152"/>
      <c r="DY19" s="1152"/>
      <c r="DZ19" s="1152"/>
      <c r="EA19" s="1152"/>
      <c r="EB19" s="1152"/>
      <c r="EC19" s="1152"/>
      <c r="ED19" s="1152"/>
      <c r="EE19" s="1152"/>
      <c r="EF19" s="1152"/>
      <c r="EG19" s="1152"/>
      <c r="EH19" s="1152"/>
      <c r="EI19" s="1152"/>
      <c r="EJ19" s="1152"/>
      <c r="EK19" s="1152"/>
      <c r="EL19" s="1152"/>
      <c r="EM19" s="1152"/>
      <c r="EN19" s="1152"/>
      <c r="EO19" s="1152"/>
      <c r="EP19" s="1152"/>
      <c r="EQ19" s="1152"/>
      <c r="ER19" s="1152"/>
      <c r="ES19" s="1152"/>
      <c r="ET19" s="1152"/>
      <c r="EU19" s="1152"/>
      <c r="EV19" s="1152"/>
      <c r="EW19" s="1152"/>
      <c r="EX19" s="1152"/>
      <c r="EY19" s="1152"/>
      <c r="EZ19" s="1152"/>
      <c r="FA19" s="1152"/>
      <c r="FB19" s="1152"/>
      <c r="FC19" s="1152"/>
      <c r="FD19" s="1152"/>
      <c r="FE19" s="1152"/>
      <c r="FF19" s="1152"/>
      <c r="FG19" s="1152"/>
      <c r="FH19" s="1152"/>
      <c r="FI19" s="1152"/>
      <c r="FJ19" s="1152"/>
      <c r="FK19" s="1152"/>
      <c r="FL19" s="1152"/>
      <c r="FM19" s="1152"/>
      <c r="FN19" s="1152"/>
      <c r="FO19" s="1152"/>
      <c r="FP19" s="1152"/>
      <c r="FQ19" s="1152"/>
      <c r="FR19" s="1152"/>
      <c r="FS19" s="1152"/>
      <c r="FT19" s="1152"/>
      <c r="FU19" s="1152"/>
      <c r="FV19" s="1152"/>
      <c r="FW19" s="1152"/>
      <c r="FX19" s="1152"/>
      <c r="FY19" s="1152"/>
      <c r="FZ19" s="1152"/>
      <c r="GA19" s="1152"/>
      <c r="GB19" s="1152"/>
      <c r="GC19" s="1152"/>
      <c r="GD19" s="1152"/>
      <c r="GE19" s="1152"/>
      <c r="GF19" s="1152"/>
      <c r="GG19" s="1152"/>
    </row>
    <row r="20" spans="1:189" s="1149" customFormat="1" ht="15.95" hidden="1" customHeight="1">
      <c r="A20" s="912" t="str">
        <f>+[4]BPU!A50</f>
        <v>202-1</v>
      </c>
      <c r="B20" s="912" t="str">
        <f>+[4]BPU!B50</f>
        <v>Débroussaillage – décapage - dessouchage - nettoyage sur terre ferme</v>
      </c>
      <c r="C20" s="1360" t="s">
        <v>94</v>
      </c>
      <c r="D20" s="1361"/>
      <c r="E20" s="825">
        <f>[4]BPU!D50</f>
        <v>469</v>
      </c>
      <c r="F20" s="825">
        <f>+D20*E20</f>
        <v>0</v>
      </c>
      <c r="H20" s="1153" t="e">
        <f>+H7*20</f>
        <v>#REF!</v>
      </c>
      <c r="I20" s="1151">
        <v>1.2</v>
      </c>
      <c r="J20" s="1150" t="e">
        <f>H20*I20</f>
        <v>#REF!</v>
      </c>
      <c r="K20" s="1152"/>
      <c r="L20" s="1152"/>
      <c r="M20" s="1152"/>
      <c r="N20" s="1152"/>
      <c r="O20" s="1152"/>
      <c r="P20" s="1152"/>
      <c r="Q20" s="1152"/>
      <c r="R20" s="1152"/>
      <c r="S20" s="1152"/>
      <c r="T20" s="1152"/>
      <c r="U20" s="1152"/>
      <c r="V20" s="1152"/>
      <c r="W20" s="1152"/>
      <c r="X20" s="1152"/>
      <c r="Y20" s="1152"/>
      <c r="Z20" s="1152"/>
      <c r="AA20" s="1152"/>
      <c r="AB20" s="1152"/>
      <c r="AC20" s="1152"/>
      <c r="AD20" s="1152"/>
      <c r="AE20" s="1152"/>
      <c r="AF20" s="1152"/>
      <c r="AG20" s="1152"/>
      <c r="AH20" s="1152"/>
      <c r="AI20" s="1152"/>
      <c r="AJ20" s="1152"/>
      <c r="AK20" s="1152"/>
      <c r="AL20" s="1152"/>
      <c r="AM20" s="1152"/>
      <c r="AN20" s="1152"/>
      <c r="AO20" s="1152"/>
      <c r="AP20" s="1152"/>
      <c r="AQ20" s="1152"/>
      <c r="AR20" s="1152"/>
      <c r="AS20" s="1152"/>
      <c r="AT20" s="1152"/>
      <c r="AU20" s="1152"/>
      <c r="AV20" s="1152"/>
      <c r="AW20" s="1152"/>
      <c r="AX20" s="1152"/>
      <c r="AY20" s="1152"/>
      <c r="AZ20" s="1152"/>
      <c r="BA20" s="1152"/>
      <c r="BB20" s="1152"/>
      <c r="BC20" s="1152"/>
      <c r="BD20" s="1152"/>
      <c r="BE20" s="1152"/>
      <c r="BF20" s="1152"/>
      <c r="BG20" s="1152"/>
      <c r="BH20" s="1152"/>
      <c r="BI20" s="1152"/>
      <c r="BJ20" s="1152"/>
      <c r="BK20" s="1152"/>
      <c r="BL20" s="1152"/>
      <c r="BM20" s="1152"/>
      <c r="BN20" s="1152"/>
      <c r="BO20" s="1152"/>
      <c r="BP20" s="1152"/>
      <c r="BQ20" s="1152"/>
      <c r="BR20" s="1152"/>
      <c r="BS20" s="1152"/>
      <c r="BT20" s="1152"/>
      <c r="BU20" s="1152"/>
      <c r="BV20" s="1152"/>
      <c r="BW20" s="1152"/>
      <c r="BX20" s="1152"/>
      <c r="BY20" s="1152"/>
      <c r="BZ20" s="1152"/>
      <c r="CA20" s="1152"/>
      <c r="CB20" s="1152"/>
      <c r="CC20" s="1152"/>
      <c r="CD20" s="1152"/>
      <c r="CE20" s="1152"/>
      <c r="CF20" s="1152"/>
      <c r="CG20" s="1152"/>
      <c r="CH20" s="1152"/>
      <c r="CI20" s="1152"/>
      <c r="CJ20" s="1152"/>
      <c r="CK20" s="1152"/>
      <c r="CL20" s="1152"/>
      <c r="CM20" s="1152"/>
      <c r="CN20" s="1152"/>
      <c r="CO20" s="1152"/>
      <c r="CP20" s="1152"/>
      <c r="CQ20" s="1152"/>
      <c r="CR20" s="1152"/>
      <c r="CS20" s="1152"/>
      <c r="CT20" s="1152"/>
      <c r="CU20" s="1152"/>
      <c r="CV20" s="1152"/>
      <c r="CW20" s="1152"/>
      <c r="CX20" s="1152"/>
      <c r="CY20" s="1152"/>
      <c r="CZ20" s="1152"/>
      <c r="DA20" s="1152"/>
      <c r="DB20" s="1152"/>
      <c r="DC20" s="1152"/>
      <c r="DD20" s="1152"/>
      <c r="DE20" s="1152"/>
      <c r="DF20" s="1152"/>
      <c r="DG20" s="1152"/>
      <c r="DH20" s="1152"/>
      <c r="DI20" s="1152"/>
      <c r="DJ20" s="1152"/>
      <c r="DK20" s="1152"/>
      <c r="DL20" s="1152"/>
      <c r="DM20" s="1152"/>
      <c r="DN20" s="1152"/>
      <c r="DO20" s="1152"/>
      <c r="DP20" s="1152"/>
      <c r="DQ20" s="1152"/>
      <c r="DR20" s="1152"/>
      <c r="DS20" s="1152"/>
      <c r="DT20" s="1152"/>
      <c r="DU20" s="1152"/>
      <c r="DV20" s="1152"/>
      <c r="DW20" s="1152"/>
      <c r="DX20" s="1152"/>
      <c r="DY20" s="1152"/>
      <c r="DZ20" s="1152"/>
      <c r="EA20" s="1152"/>
      <c r="EB20" s="1152"/>
      <c r="EC20" s="1152"/>
      <c r="ED20" s="1152"/>
      <c r="EE20" s="1152"/>
      <c r="EF20" s="1152"/>
      <c r="EG20" s="1152"/>
      <c r="EH20" s="1152"/>
      <c r="EI20" s="1152"/>
      <c r="EJ20" s="1152"/>
      <c r="EK20" s="1152"/>
      <c r="EL20" s="1152"/>
      <c r="EM20" s="1152"/>
      <c r="EN20" s="1152"/>
      <c r="EO20" s="1152"/>
      <c r="EP20" s="1152"/>
      <c r="EQ20" s="1152"/>
      <c r="ER20" s="1152"/>
      <c r="ES20" s="1152"/>
      <c r="ET20" s="1152"/>
      <c r="EU20" s="1152"/>
      <c r="EV20" s="1152"/>
      <c r="EW20" s="1152"/>
      <c r="EX20" s="1152"/>
      <c r="EY20" s="1152"/>
      <c r="EZ20" s="1152"/>
      <c r="FA20" s="1152"/>
      <c r="FB20" s="1152"/>
      <c r="FC20" s="1152"/>
      <c r="FD20" s="1152"/>
      <c r="FE20" s="1152"/>
      <c r="FF20" s="1152"/>
      <c r="FG20" s="1152"/>
      <c r="FH20" s="1152"/>
      <c r="FI20" s="1152"/>
      <c r="FJ20" s="1152"/>
      <c r="FK20" s="1152"/>
      <c r="FL20" s="1152"/>
      <c r="FM20" s="1152"/>
      <c r="FN20" s="1152"/>
      <c r="FO20" s="1152"/>
      <c r="FP20" s="1152"/>
      <c r="FQ20" s="1152"/>
      <c r="FR20" s="1152"/>
      <c r="FS20" s="1152"/>
      <c r="FT20" s="1152"/>
      <c r="FU20" s="1152"/>
      <c r="FV20" s="1152"/>
      <c r="FW20" s="1152"/>
      <c r="FX20" s="1152"/>
      <c r="FY20" s="1152"/>
      <c r="FZ20" s="1152"/>
      <c r="GA20" s="1152"/>
      <c r="GB20" s="1152"/>
      <c r="GC20" s="1152"/>
      <c r="GD20" s="1152"/>
      <c r="GE20" s="1152"/>
      <c r="GF20" s="1152"/>
      <c r="GG20" s="1152"/>
    </row>
    <row r="21" spans="1:189" s="1149" customFormat="1" ht="15.95" hidden="1" customHeight="1">
      <c r="A21" s="1336">
        <f>+[4]BPU!A52</f>
        <v>203</v>
      </c>
      <c r="B21" s="1336" t="str">
        <f>+[4]BPU!B52</f>
        <v xml:space="preserve">Prix 203 -Abattage d'arbres </v>
      </c>
      <c r="C21" s="1359"/>
      <c r="D21" s="1342"/>
      <c r="E21" s="825"/>
      <c r="F21" s="825"/>
      <c r="H21" s="1150"/>
      <c r="I21" s="1151"/>
      <c r="J21" s="1150"/>
      <c r="K21" s="1152"/>
      <c r="L21" s="1152"/>
      <c r="M21" s="1152"/>
      <c r="N21" s="1152"/>
      <c r="O21" s="1152"/>
      <c r="P21" s="1152"/>
      <c r="Q21" s="1152"/>
      <c r="R21" s="1152"/>
      <c r="S21" s="1152"/>
      <c r="T21" s="1152"/>
      <c r="U21" s="1152"/>
      <c r="V21" s="1152"/>
      <c r="W21" s="1152"/>
      <c r="X21" s="1152"/>
      <c r="Y21" s="1152"/>
      <c r="Z21" s="1152"/>
      <c r="AA21" s="1152"/>
      <c r="AB21" s="1152"/>
      <c r="AC21" s="1152"/>
      <c r="AD21" s="1152"/>
      <c r="AE21" s="1152"/>
      <c r="AF21" s="1152"/>
      <c r="AG21" s="1152"/>
      <c r="AH21" s="1152"/>
      <c r="AI21" s="1152"/>
      <c r="AJ21" s="1152"/>
      <c r="AK21" s="1152"/>
      <c r="AL21" s="1152"/>
      <c r="AM21" s="1152"/>
      <c r="AN21" s="1152"/>
      <c r="AO21" s="1152"/>
      <c r="AP21" s="1152"/>
      <c r="AQ21" s="1152"/>
      <c r="AR21" s="1152"/>
      <c r="AS21" s="1152"/>
      <c r="AT21" s="1152"/>
      <c r="AU21" s="1152"/>
      <c r="AV21" s="1152"/>
      <c r="AW21" s="1152"/>
      <c r="AX21" s="1152"/>
      <c r="AY21" s="1152"/>
      <c r="AZ21" s="1152"/>
      <c r="BA21" s="1152"/>
      <c r="BB21" s="1152"/>
      <c r="BC21" s="1152"/>
      <c r="BD21" s="1152"/>
      <c r="BE21" s="1152"/>
      <c r="BF21" s="1152"/>
      <c r="BG21" s="1152"/>
      <c r="BH21" s="1152"/>
      <c r="BI21" s="1152"/>
      <c r="BJ21" s="1152"/>
      <c r="BK21" s="1152"/>
      <c r="BL21" s="1152"/>
      <c r="BM21" s="1152"/>
      <c r="BN21" s="1152"/>
      <c r="BO21" s="1152"/>
      <c r="BP21" s="1152"/>
      <c r="BQ21" s="1152"/>
      <c r="BR21" s="1152"/>
      <c r="BS21" s="1152"/>
      <c r="BT21" s="1152"/>
      <c r="BU21" s="1152"/>
      <c r="BV21" s="1152"/>
      <c r="BW21" s="1152"/>
      <c r="BX21" s="1152"/>
      <c r="BY21" s="1152"/>
      <c r="BZ21" s="1152"/>
      <c r="CA21" s="1152"/>
      <c r="CB21" s="1152"/>
      <c r="CC21" s="1152"/>
      <c r="CD21" s="1152"/>
      <c r="CE21" s="1152"/>
      <c r="CF21" s="1152"/>
      <c r="CG21" s="1152"/>
      <c r="CH21" s="1152"/>
      <c r="CI21" s="1152"/>
      <c r="CJ21" s="1152"/>
      <c r="CK21" s="1152"/>
      <c r="CL21" s="1152"/>
      <c r="CM21" s="1152"/>
      <c r="CN21" s="1152"/>
      <c r="CO21" s="1152"/>
      <c r="CP21" s="1152"/>
      <c r="CQ21" s="1152"/>
      <c r="CR21" s="1152"/>
      <c r="CS21" s="1152"/>
      <c r="CT21" s="1152"/>
      <c r="CU21" s="1152"/>
      <c r="CV21" s="1152"/>
      <c r="CW21" s="1152"/>
      <c r="CX21" s="1152"/>
      <c r="CY21" s="1152"/>
      <c r="CZ21" s="1152"/>
      <c r="DA21" s="1152"/>
      <c r="DB21" s="1152"/>
      <c r="DC21" s="1152"/>
      <c r="DD21" s="1152"/>
      <c r="DE21" s="1152"/>
      <c r="DF21" s="1152"/>
      <c r="DG21" s="1152"/>
      <c r="DH21" s="1152"/>
      <c r="DI21" s="1152"/>
      <c r="DJ21" s="1152"/>
      <c r="DK21" s="1152"/>
      <c r="DL21" s="1152"/>
      <c r="DM21" s="1152"/>
      <c r="DN21" s="1152"/>
      <c r="DO21" s="1152"/>
      <c r="DP21" s="1152"/>
      <c r="DQ21" s="1152"/>
      <c r="DR21" s="1152"/>
      <c r="DS21" s="1152"/>
      <c r="DT21" s="1152"/>
      <c r="DU21" s="1152"/>
      <c r="DV21" s="1152"/>
      <c r="DW21" s="1152"/>
      <c r="DX21" s="1152"/>
      <c r="DY21" s="1152"/>
      <c r="DZ21" s="1152"/>
      <c r="EA21" s="1152"/>
      <c r="EB21" s="1152"/>
      <c r="EC21" s="1152"/>
      <c r="ED21" s="1152"/>
      <c r="EE21" s="1152"/>
      <c r="EF21" s="1152"/>
      <c r="EG21" s="1152"/>
      <c r="EH21" s="1152"/>
      <c r="EI21" s="1152"/>
      <c r="EJ21" s="1152"/>
      <c r="EK21" s="1152"/>
      <c r="EL21" s="1152"/>
      <c r="EM21" s="1152"/>
      <c r="EN21" s="1152"/>
      <c r="EO21" s="1152"/>
      <c r="EP21" s="1152"/>
      <c r="EQ21" s="1152"/>
      <c r="ER21" s="1152"/>
      <c r="ES21" s="1152"/>
      <c r="ET21" s="1152"/>
      <c r="EU21" s="1152"/>
      <c r="EV21" s="1152"/>
      <c r="EW21" s="1152"/>
      <c r="EX21" s="1152"/>
      <c r="EY21" s="1152"/>
      <c r="EZ21" s="1152"/>
      <c r="FA21" s="1152"/>
      <c r="FB21" s="1152"/>
      <c r="FC21" s="1152"/>
      <c r="FD21" s="1152"/>
      <c r="FE21" s="1152"/>
      <c r="FF21" s="1152"/>
      <c r="FG21" s="1152"/>
      <c r="FH21" s="1152"/>
      <c r="FI21" s="1152"/>
      <c r="FJ21" s="1152"/>
      <c r="FK21" s="1152"/>
      <c r="FL21" s="1152"/>
      <c r="FM21" s="1152"/>
      <c r="FN21" s="1152"/>
      <c r="FO21" s="1152"/>
      <c r="FP21" s="1152"/>
      <c r="FQ21" s="1152"/>
      <c r="FR21" s="1152"/>
      <c r="FS21" s="1152"/>
      <c r="FT21" s="1152"/>
      <c r="FU21" s="1152"/>
      <c r="FV21" s="1152"/>
      <c r="FW21" s="1152"/>
      <c r="FX21" s="1152"/>
      <c r="FY21" s="1152"/>
      <c r="FZ21" s="1152"/>
      <c r="GA21" s="1152"/>
      <c r="GB21" s="1152"/>
      <c r="GC21" s="1152"/>
      <c r="GD21" s="1152"/>
      <c r="GE21" s="1152"/>
      <c r="GF21" s="1152"/>
      <c r="GG21" s="1152"/>
    </row>
    <row r="22" spans="1:189" s="1149" customFormat="1" ht="15.95" hidden="1" customHeight="1">
      <c r="A22" s="1344"/>
      <c r="B22" s="912"/>
      <c r="C22" s="1360" t="s">
        <v>27</v>
      </c>
      <c r="D22" s="1361"/>
      <c r="E22" s="825">
        <f>[4]BPU!D53</f>
        <v>138000</v>
      </c>
      <c r="F22" s="825">
        <f>+D22*E22</f>
        <v>0</v>
      </c>
      <c r="H22" s="1150" t="e">
        <f>+H7/100</f>
        <v>#REF!</v>
      </c>
      <c r="I22" s="1151">
        <v>1.05</v>
      </c>
      <c r="J22" s="1150" t="e">
        <f>H22*I22</f>
        <v>#REF!</v>
      </c>
      <c r="K22" s="1152"/>
      <c r="L22" s="1152"/>
      <c r="M22" s="1152"/>
      <c r="N22" s="1152"/>
      <c r="O22" s="1152"/>
      <c r="P22" s="1152"/>
      <c r="Q22" s="1152"/>
      <c r="R22" s="1152"/>
      <c r="S22" s="1152"/>
      <c r="T22" s="1152"/>
      <c r="U22" s="1152"/>
      <c r="V22" s="1152"/>
      <c r="W22" s="1152"/>
      <c r="X22" s="1152"/>
      <c r="Y22" s="1152"/>
      <c r="Z22" s="1152"/>
      <c r="AA22" s="1152"/>
      <c r="AB22" s="1152"/>
      <c r="AC22" s="1152"/>
      <c r="AD22" s="1152"/>
      <c r="AE22" s="1152"/>
      <c r="AF22" s="1152"/>
      <c r="AG22" s="1152"/>
      <c r="AH22" s="1152"/>
      <c r="AI22" s="1152"/>
      <c r="AJ22" s="1152"/>
      <c r="AK22" s="1152"/>
      <c r="AL22" s="1152"/>
      <c r="AM22" s="1152"/>
      <c r="AN22" s="1152"/>
      <c r="AO22" s="1152"/>
      <c r="AP22" s="1152"/>
      <c r="AQ22" s="1152"/>
      <c r="AR22" s="1152"/>
      <c r="AS22" s="1152"/>
      <c r="AT22" s="1152"/>
      <c r="AU22" s="1152"/>
      <c r="AV22" s="1152"/>
      <c r="AW22" s="1152"/>
      <c r="AX22" s="1152"/>
      <c r="AY22" s="1152"/>
      <c r="AZ22" s="1152"/>
      <c r="BA22" s="1152"/>
      <c r="BB22" s="1152"/>
      <c r="BC22" s="1152"/>
      <c r="BD22" s="1152"/>
      <c r="BE22" s="1152"/>
      <c r="BF22" s="1152"/>
      <c r="BG22" s="1152"/>
      <c r="BH22" s="1152"/>
      <c r="BI22" s="1152"/>
      <c r="BJ22" s="1152"/>
      <c r="BK22" s="1152"/>
      <c r="BL22" s="1152"/>
      <c r="BM22" s="1152"/>
      <c r="BN22" s="1152"/>
      <c r="BO22" s="1152"/>
      <c r="BP22" s="1152"/>
      <c r="BQ22" s="1152"/>
      <c r="BR22" s="1152"/>
      <c r="BS22" s="1152"/>
      <c r="BT22" s="1152"/>
      <c r="BU22" s="1152"/>
      <c r="BV22" s="1152"/>
      <c r="BW22" s="1152"/>
      <c r="BX22" s="1152"/>
      <c r="BY22" s="1152"/>
      <c r="BZ22" s="1152"/>
      <c r="CA22" s="1152"/>
      <c r="CB22" s="1152"/>
      <c r="CC22" s="1152"/>
      <c r="CD22" s="1152"/>
      <c r="CE22" s="1152"/>
      <c r="CF22" s="1152"/>
      <c r="CG22" s="1152"/>
      <c r="CH22" s="1152"/>
      <c r="CI22" s="1152"/>
      <c r="CJ22" s="1152"/>
      <c r="CK22" s="1152"/>
      <c r="CL22" s="1152"/>
      <c r="CM22" s="1152"/>
      <c r="CN22" s="1152"/>
      <c r="CO22" s="1152"/>
      <c r="CP22" s="1152"/>
      <c r="CQ22" s="1152"/>
      <c r="CR22" s="1152"/>
      <c r="CS22" s="1152"/>
      <c r="CT22" s="1152"/>
      <c r="CU22" s="1152"/>
      <c r="CV22" s="1152"/>
      <c r="CW22" s="1152"/>
      <c r="CX22" s="1152"/>
      <c r="CY22" s="1152"/>
      <c r="CZ22" s="1152"/>
      <c r="DA22" s="1152"/>
      <c r="DB22" s="1152"/>
      <c r="DC22" s="1152"/>
      <c r="DD22" s="1152"/>
      <c r="DE22" s="1152"/>
      <c r="DF22" s="1152"/>
      <c r="DG22" s="1152"/>
      <c r="DH22" s="1152"/>
      <c r="DI22" s="1152"/>
      <c r="DJ22" s="1152"/>
      <c r="DK22" s="1152"/>
      <c r="DL22" s="1152"/>
      <c r="DM22" s="1152"/>
      <c r="DN22" s="1152"/>
      <c r="DO22" s="1152"/>
      <c r="DP22" s="1152"/>
      <c r="DQ22" s="1152"/>
      <c r="DR22" s="1152"/>
      <c r="DS22" s="1152"/>
      <c r="DT22" s="1152"/>
      <c r="DU22" s="1152"/>
      <c r="DV22" s="1152"/>
      <c r="DW22" s="1152"/>
      <c r="DX22" s="1152"/>
      <c r="DY22" s="1152"/>
      <c r="DZ22" s="1152"/>
      <c r="EA22" s="1152"/>
      <c r="EB22" s="1152"/>
      <c r="EC22" s="1152"/>
      <c r="ED22" s="1152"/>
      <c r="EE22" s="1152"/>
      <c r="EF22" s="1152"/>
      <c r="EG22" s="1152"/>
      <c r="EH22" s="1152"/>
      <c r="EI22" s="1152"/>
      <c r="EJ22" s="1152"/>
      <c r="EK22" s="1152"/>
      <c r="EL22" s="1152"/>
      <c r="EM22" s="1152"/>
      <c r="EN22" s="1152"/>
      <c r="EO22" s="1152"/>
      <c r="EP22" s="1152"/>
      <c r="EQ22" s="1152"/>
      <c r="ER22" s="1152"/>
      <c r="ES22" s="1152"/>
      <c r="ET22" s="1152"/>
      <c r="EU22" s="1152"/>
      <c r="EV22" s="1152"/>
      <c r="EW22" s="1152"/>
      <c r="EX22" s="1152"/>
      <c r="EY22" s="1152"/>
      <c r="EZ22" s="1152"/>
      <c r="FA22" s="1152"/>
      <c r="FB22" s="1152"/>
      <c r="FC22" s="1152"/>
      <c r="FD22" s="1152"/>
      <c r="FE22" s="1152"/>
      <c r="FF22" s="1152"/>
      <c r="FG22" s="1152"/>
      <c r="FH22" s="1152"/>
      <c r="FI22" s="1152"/>
      <c r="FJ22" s="1152"/>
      <c r="FK22" s="1152"/>
      <c r="FL22" s="1152"/>
      <c r="FM22" s="1152"/>
      <c r="FN22" s="1152"/>
      <c r="FO22" s="1152"/>
      <c r="FP22" s="1152"/>
      <c r="FQ22" s="1152"/>
      <c r="FR22" s="1152"/>
      <c r="FS22" s="1152"/>
      <c r="FT22" s="1152"/>
      <c r="FU22" s="1152"/>
      <c r="FV22" s="1152"/>
      <c r="FW22" s="1152"/>
      <c r="FX22" s="1152"/>
      <c r="FY22" s="1152"/>
      <c r="FZ22" s="1152"/>
      <c r="GA22" s="1152"/>
      <c r="GB22" s="1152"/>
      <c r="GC22" s="1152"/>
      <c r="GD22" s="1152"/>
      <c r="GE22" s="1152"/>
      <c r="GF22" s="1152"/>
      <c r="GG22" s="1152"/>
    </row>
    <row r="23" spans="1:189" s="1149" customFormat="1" ht="15.95" hidden="1" customHeight="1">
      <c r="A23" s="1336" t="str">
        <f>+[4]BPU!A54</f>
        <v>204</v>
      </c>
      <c r="B23" s="1336" t="str">
        <f>+[4]BPU!B54</f>
        <v>Prix 204 - Démolition d'ouvrages ou de parties d'ouvrages</v>
      </c>
      <c r="C23" s="1384"/>
      <c r="D23" s="1348"/>
      <c r="E23" s="1348"/>
      <c r="F23" s="1348"/>
      <c r="H23" s="1150"/>
      <c r="I23" s="1151"/>
      <c r="J23" s="1150"/>
      <c r="K23" s="1152"/>
      <c r="L23" s="1152"/>
      <c r="M23" s="1152"/>
      <c r="N23" s="1152"/>
      <c r="O23" s="1152"/>
      <c r="P23" s="1152"/>
      <c r="Q23" s="1152"/>
      <c r="R23" s="1152"/>
      <c r="S23" s="1152"/>
      <c r="T23" s="1152"/>
      <c r="U23" s="1152"/>
      <c r="V23" s="1152"/>
      <c r="W23" s="1152"/>
      <c r="X23" s="1152"/>
      <c r="Y23" s="1152"/>
      <c r="Z23" s="1152"/>
      <c r="AA23" s="1152"/>
      <c r="AB23" s="1152"/>
      <c r="AC23" s="1152"/>
      <c r="AD23" s="1152"/>
      <c r="AE23" s="1152"/>
      <c r="AF23" s="1152"/>
      <c r="AG23" s="1152"/>
      <c r="AH23" s="1152"/>
      <c r="AI23" s="1152"/>
      <c r="AJ23" s="1152"/>
      <c r="AK23" s="1152"/>
      <c r="AL23" s="1152"/>
      <c r="AM23" s="1152"/>
      <c r="AN23" s="1152"/>
      <c r="AO23" s="1152"/>
      <c r="AP23" s="1152"/>
      <c r="AQ23" s="1152"/>
      <c r="AR23" s="1152"/>
      <c r="AS23" s="1152"/>
      <c r="AT23" s="1152"/>
      <c r="AU23" s="1152"/>
      <c r="AV23" s="1152"/>
      <c r="AW23" s="1152"/>
      <c r="AX23" s="1152"/>
      <c r="AY23" s="1152"/>
      <c r="AZ23" s="1152"/>
      <c r="BA23" s="1152"/>
      <c r="BB23" s="1152"/>
      <c r="BC23" s="1152"/>
      <c r="BD23" s="1152"/>
      <c r="BE23" s="1152"/>
      <c r="BF23" s="1152"/>
      <c r="BG23" s="1152"/>
      <c r="BH23" s="1152"/>
      <c r="BI23" s="1152"/>
      <c r="BJ23" s="1152"/>
      <c r="BK23" s="1152"/>
      <c r="BL23" s="1152"/>
      <c r="BM23" s="1152"/>
      <c r="BN23" s="1152"/>
      <c r="BO23" s="1152"/>
      <c r="BP23" s="1152"/>
      <c r="BQ23" s="1152"/>
      <c r="BR23" s="1152"/>
      <c r="BS23" s="1152"/>
      <c r="BT23" s="1152"/>
      <c r="BU23" s="1152"/>
      <c r="BV23" s="1152"/>
      <c r="BW23" s="1152"/>
      <c r="BX23" s="1152"/>
      <c r="BY23" s="1152"/>
      <c r="BZ23" s="1152"/>
      <c r="CA23" s="1152"/>
      <c r="CB23" s="1152"/>
      <c r="CC23" s="1152"/>
      <c r="CD23" s="1152"/>
      <c r="CE23" s="1152"/>
      <c r="CF23" s="1152"/>
      <c r="CG23" s="1152"/>
      <c r="CH23" s="1152"/>
      <c r="CI23" s="1152"/>
      <c r="CJ23" s="1152"/>
      <c r="CK23" s="1152"/>
      <c r="CL23" s="1152"/>
      <c r="CM23" s="1152"/>
      <c r="CN23" s="1152"/>
      <c r="CO23" s="1152"/>
      <c r="CP23" s="1152"/>
      <c r="CQ23" s="1152"/>
      <c r="CR23" s="1152"/>
      <c r="CS23" s="1152"/>
      <c r="CT23" s="1152"/>
      <c r="CU23" s="1152"/>
      <c r="CV23" s="1152"/>
      <c r="CW23" s="1152"/>
      <c r="CX23" s="1152"/>
      <c r="CY23" s="1152"/>
      <c r="CZ23" s="1152"/>
      <c r="DA23" s="1152"/>
      <c r="DB23" s="1152"/>
      <c r="DC23" s="1152"/>
      <c r="DD23" s="1152"/>
      <c r="DE23" s="1152"/>
      <c r="DF23" s="1152"/>
      <c r="DG23" s="1152"/>
      <c r="DH23" s="1152"/>
      <c r="DI23" s="1152"/>
      <c r="DJ23" s="1152"/>
      <c r="DK23" s="1152"/>
      <c r="DL23" s="1152"/>
      <c r="DM23" s="1152"/>
      <c r="DN23" s="1152"/>
      <c r="DO23" s="1152"/>
      <c r="DP23" s="1152"/>
      <c r="DQ23" s="1152"/>
      <c r="DR23" s="1152"/>
      <c r="DS23" s="1152"/>
      <c r="DT23" s="1152"/>
      <c r="DU23" s="1152"/>
      <c r="DV23" s="1152"/>
      <c r="DW23" s="1152"/>
      <c r="DX23" s="1152"/>
      <c r="DY23" s="1152"/>
      <c r="DZ23" s="1152"/>
      <c r="EA23" s="1152"/>
      <c r="EB23" s="1152"/>
      <c r="EC23" s="1152"/>
      <c r="ED23" s="1152"/>
      <c r="EE23" s="1152"/>
      <c r="EF23" s="1152"/>
      <c r="EG23" s="1152"/>
      <c r="EH23" s="1152"/>
      <c r="EI23" s="1152"/>
      <c r="EJ23" s="1152"/>
      <c r="EK23" s="1152"/>
      <c r="EL23" s="1152"/>
      <c r="EM23" s="1152"/>
      <c r="EN23" s="1152"/>
      <c r="EO23" s="1152"/>
      <c r="EP23" s="1152"/>
      <c r="EQ23" s="1152"/>
      <c r="ER23" s="1152"/>
      <c r="ES23" s="1152"/>
      <c r="ET23" s="1152"/>
      <c r="EU23" s="1152"/>
      <c r="EV23" s="1152"/>
      <c r="EW23" s="1152"/>
      <c r="EX23" s="1152"/>
      <c r="EY23" s="1152"/>
      <c r="EZ23" s="1152"/>
      <c r="FA23" s="1152"/>
      <c r="FB23" s="1152"/>
      <c r="FC23" s="1152"/>
      <c r="FD23" s="1152"/>
      <c r="FE23" s="1152"/>
      <c r="FF23" s="1152"/>
      <c r="FG23" s="1152"/>
      <c r="FH23" s="1152"/>
      <c r="FI23" s="1152"/>
      <c r="FJ23" s="1152"/>
      <c r="FK23" s="1152"/>
      <c r="FL23" s="1152"/>
      <c r="FM23" s="1152"/>
      <c r="FN23" s="1152"/>
      <c r="FO23" s="1152"/>
      <c r="FP23" s="1152"/>
      <c r="FQ23" s="1152"/>
      <c r="FR23" s="1152"/>
      <c r="FS23" s="1152"/>
      <c r="FT23" s="1152"/>
      <c r="FU23" s="1152"/>
      <c r="FV23" s="1152"/>
      <c r="FW23" s="1152"/>
      <c r="FX23" s="1152"/>
      <c r="FY23" s="1152"/>
      <c r="FZ23" s="1152"/>
      <c r="GA23" s="1152"/>
      <c r="GB23" s="1152"/>
      <c r="GC23" s="1152"/>
      <c r="GD23" s="1152"/>
      <c r="GE23" s="1152"/>
      <c r="GF23" s="1152"/>
      <c r="GG23" s="1152"/>
    </row>
    <row r="24" spans="1:189" s="1149" customFormat="1" ht="15.95" hidden="1" customHeight="1">
      <c r="A24" s="1344" t="str">
        <f>+[4]BPU!A55</f>
        <v>204-1</v>
      </c>
      <c r="B24" s="912" t="str">
        <f>+[4]BPU!B55</f>
        <v>ouvrages en béton armé</v>
      </c>
      <c r="C24" s="1360" t="s">
        <v>618</v>
      </c>
      <c r="D24" s="1363"/>
      <c r="E24" s="1361">
        <f>35555625*0.7</f>
        <v>24888937.5</v>
      </c>
      <c r="F24" s="1361">
        <f>+D24*E24</f>
        <v>0</v>
      </c>
      <c r="H24" s="1151" t="e">
        <f>H7/1000</f>
        <v>#REF!</v>
      </c>
      <c r="I24" s="1151">
        <f>1.05</f>
        <v>1.05</v>
      </c>
      <c r="J24" s="1151" t="e">
        <f>H24*I24</f>
        <v>#REF!</v>
      </c>
      <c r="K24" s="1152"/>
      <c r="L24" s="1152"/>
      <c r="M24" s="1152"/>
      <c r="N24" s="1152"/>
      <c r="O24" s="1152"/>
      <c r="P24" s="1152"/>
      <c r="Q24" s="1152"/>
      <c r="R24" s="1152"/>
      <c r="S24" s="1152"/>
      <c r="T24" s="1152"/>
      <c r="U24" s="1152"/>
      <c r="V24" s="1152"/>
      <c r="W24" s="1152"/>
      <c r="X24" s="1152"/>
      <c r="Y24" s="1152"/>
      <c r="Z24" s="1152"/>
      <c r="AA24" s="1152"/>
      <c r="AB24" s="1152"/>
      <c r="AC24" s="1152"/>
      <c r="AD24" s="1152"/>
      <c r="AE24" s="1152"/>
      <c r="AF24" s="1152"/>
      <c r="AG24" s="1152"/>
      <c r="AH24" s="1152"/>
      <c r="AI24" s="1152"/>
      <c r="AJ24" s="1152"/>
      <c r="AK24" s="1152"/>
      <c r="AL24" s="1152"/>
      <c r="AM24" s="1152"/>
      <c r="AN24" s="1152"/>
      <c r="AO24" s="1152"/>
      <c r="AP24" s="1152"/>
      <c r="AQ24" s="1152"/>
      <c r="AR24" s="1152"/>
      <c r="AS24" s="1152"/>
      <c r="AT24" s="1152"/>
      <c r="AU24" s="1152"/>
      <c r="AV24" s="1152"/>
      <c r="AW24" s="1152"/>
      <c r="AX24" s="1152"/>
      <c r="AY24" s="1152"/>
      <c r="AZ24" s="1152"/>
      <c r="BA24" s="1152"/>
      <c r="BB24" s="1152"/>
      <c r="BC24" s="1152"/>
      <c r="BD24" s="1152"/>
      <c r="BE24" s="1152"/>
      <c r="BF24" s="1152"/>
      <c r="BG24" s="1152"/>
      <c r="BH24" s="1152"/>
      <c r="BI24" s="1152"/>
      <c r="BJ24" s="1152"/>
      <c r="BK24" s="1152"/>
      <c r="BL24" s="1152"/>
      <c r="BM24" s="1152"/>
      <c r="BN24" s="1152"/>
      <c r="BO24" s="1152"/>
      <c r="BP24" s="1152"/>
      <c r="BQ24" s="1152"/>
      <c r="BR24" s="1152"/>
      <c r="BS24" s="1152"/>
      <c r="BT24" s="1152"/>
      <c r="BU24" s="1152"/>
      <c r="BV24" s="1152"/>
      <c r="BW24" s="1152"/>
      <c r="BX24" s="1152"/>
      <c r="BY24" s="1152"/>
      <c r="BZ24" s="1152"/>
      <c r="CA24" s="1152"/>
      <c r="CB24" s="1152"/>
      <c r="CC24" s="1152"/>
      <c r="CD24" s="1152"/>
      <c r="CE24" s="1152"/>
      <c r="CF24" s="1152"/>
      <c r="CG24" s="1152"/>
      <c r="CH24" s="1152"/>
      <c r="CI24" s="1152"/>
      <c r="CJ24" s="1152"/>
      <c r="CK24" s="1152"/>
      <c r="CL24" s="1152"/>
      <c r="CM24" s="1152"/>
      <c r="CN24" s="1152"/>
      <c r="CO24" s="1152"/>
      <c r="CP24" s="1152"/>
      <c r="CQ24" s="1152"/>
      <c r="CR24" s="1152"/>
      <c r="CS24" s="1152"/>
      <c r="CT24" s="1152"/>
      <c r="CU24" s="1152"/>
      <c r="CV24" s="1152"/>
      <c r="CW24" s="1152"/>
      <c r="CX24" s="1152"/>
      <c r="CY24" s="1152"/>
      <c r="CZ24" s="1152"/>
      <c r="DA24" s="1152"/>
      <c r="DB24" s="1152"/>
      <c r="DC24" s="1152"/>
      <c r="DD24" s="1152"/>
      <c r="DE24" s="1152"/>
      <c r="DF24" s="1152"/>
      <c r="DG24" s="1152"/>
      <c r="DH24" s="1152"/>
      <c r="DI24" s="1152"/>
      <c r="DJ24" s="1152"/>
      <c r="DK24" s="1152"/>
      <c r="DL24" s="1152"/>
      <c r="DM24" s="1152"/>
      <c r="DN24" s="1152"/>
      <c r="DO24" s="1152"/>
      <c r="DP24" s="1152"/>
      <c r="DQ24" s="1152"/>
      <c r="DR24" s="1152"/>
      <c r="DS24" s="1152"/>
      <c r="DT24" s="1152"/>
      <c r="DU24" s="1152"/>
      <c r="DV24" s="1152"/>
      <c r="DW24" s="1152"/>
      <c r="DX24" s="1152"/>
      <c r="DY24" s="1152"/>
      <c r="DZ24" s="1152"/>
      <c r="EA24" s="1152"/>
      <c r="EB24" s="1152"/>
      <c r="EC24" s="1152"/>
      <c r="ED24" s="1152"/>
      <c r="EE24" s="1152"/>
      <c r="EF24" s="1152"/>
      <c r="EG24" s="1152"/>
      <c r="EH24" s="1152"/>
      <c r="EI24" s="1152"/>
      <c r="EJ24" s="1152"/>
      <c r="EK24" s="1152"/>
      <c r="EL24" s="1152"/>
      <c r="EM24" s="1152"/>
      <c r="EN24" s="1152"/>
      <c r="EO24" s="1152"/>
      <c r="EP24" s="1152"/>
      <c r="EQ24" s="1152"/>
      <c r="ER24" s="1152"/>
      <c r="ES24" s="1152"/>
      <c r="ET24" s="1152"/>
      <c r="EU24" s="1152"/>
      <c r="EV24" s="1152"/>
      <c r="EW24" s="1152"/>
      <c r="EX24" s="1152"/>
      <c r="EY24" s="1152"/>
      <c r="EZ24" s="1152"/>
      <c r="FA24" s="1152"/>
      <c r="FB24" s="1152"/>
      <c r="FC24" s="1152"/>
      <c r="FD24" s="1152"/>
      <c r="FE24" s="1152"/>
      <c r="FF24" s="1152"/>
      <c r="FG24" s="1152"/>
      <c r="FH24" s="1152"/>
      <c r="FI24" s="1152"/>
      <c r="FJ24" s="1152"/>
      <c r="FK24" s="1152"/>
      <c r="FL24" s="1152"/>
      <c r="FM24" s="1152"/>
      <c r="FN24" s="1152"/>
      <c r="FO24" s="1152"/>
      <c r="FP24" s="1152"/>
      <c r="FQ24" s="1152"/>
      <c r="FR24" s="1152"/>
      <c r="FS24" s="1152"/>
      <c r="FT24" s="1152"/>
      <c r="FU24" s="1152"/>
      <c r="FV24" s="1152"/>
      <c r="FW24" s="1152"/>
      <c r="FX24" s="1152"/>
      <c r="FY24" s="1152"/>
      <c r="FZ24" s="1152"/>
      <c r="GA24" s="1152"/>
      <c r="GB24" s="1152"/>
      <c r="GC24" s="1152"/>
      <c r="GD24" s="1152"/>
      <c r="GE24" s="1152"/>
      <c r="GF24" s="1152"/>
      <c r="GG24" s="1152"/>
    </row>
    <row r="25" spans="1:189" s="1149" customFormat="1" ht="15.95" hidden="1" customHeight="1">
      <c r="A25" s="1344" t="str">
        <f>+[4]BPU!A56</f>
        <v>204-2</v>
      </c>
      <c r="B25" s="912" t="str">
        <f>+[4]BPU!B56</f>
        <v>ouvrages en béton non armé</v>
      </c>
      <c r="C25" s="1360" t="s">
        <v>618</v>
      </c>
      <c r="D25" s="1363"/>
      <c r="E25" s="1361">
        <f>28444500*0.7</f>
        <v>19911150</v>
      </c>
      <c r="F25" s="1361">
        <f>+D25*E25</f>
        <v>0</v>
      </c>
      <c r="H25" s="1151" t="e">
        <f>H24</f>
        <v>#REF!</v>
      </c>
      <c r="I25" s="1151">
        <f>1.05</f>
        <v>1.05</v>
      </c>
      <c r="J25" s="1151" t="e">
        <f>H25*I25</f>
        <v>#REF!</v>
      </c>
      <c r="K25" s="1152"/>
      <c r="L25" s="1152"/>
      <c r="M25" s="1152"/>
      <c r="N25" s="1152"/>
      <c r="O25" s="1152"/>
      <c r="P25" s="1152"/>
      <c r="Q25" s="1152"/>
      <c r="R25" s="1152"/>
      <c r="S25" s="1152"/>
      <c r="T25" s="1152"/>
      <c r="U25" s="1152"/>
      <c r="V25" s="1152"/>
      <c r="W25" s="1152"/>
      <c r="X25" s="1152"/>
      <c r="Y25" s="1152"/>
      <c r="Z25" s="1152"/>
      <c r="AA25" s="1152"/>
      <c r="AB25" s="1152"/>
      <c r="AC25" s="1152"/>
      <c r="AD25" s="1152"/>
      <c r="AE25" s="1152"/>
      <c r="AF25" s="1152"/>
      <c r="AG25" s="1152"/>
      <c r="AH25" s="1152"/>
      <c r="AI25" s="1152"/>
      <c r="AJ25" s="1152"/>
      <c r="AK25" s="1152"/>
      <c r="AL25" s="1152"/>
      <c r="AM25" s="1152"/>
      <c r="AN25" s="1152"/>
      <c r="AO25" s="1152"/>
      <c r="AP25" s="1152"/>
      <c r="AQ25" s="1152"/>
      <c r="AR25" s="1152"/>
      <c r="AS25" s="1152"/>
      <c r="AT25" s="1152"/>
      <c r="AU25" s="1152"/>
      <c r="AV25" s="1152"/>
      <c r="AW25" s="1152"/>
      <c r="AX25" s="1152"/>
      <c r="AY25" s="1152"/>
      <c r="AZ25" s="1152"/>
      <c r="BA25" s="1152"/>
      <c r="BB25" s="1152"/>
      <c r="BC25" s="1152"/>
      <c r="BD25" s="1152"/>
      <c r="BE25" s="1152"/>
      <c r="BF25" s="1152"/>
      <c r="BG25" s="1152"/>
      <c r="BH25" s="1152"/>
      <c r="BI25" s="1152"/>
      <c r="BJ25" s="1152"/>
      <c r="BK25" s="1152"/>
      <c r="BL25" s="1152"/>
      <c r="BM25" s="1152"/>
      <c r="BN25" s="1152"/>
      <c r="BO25" s="1152"/>
      <c r="BP25" s="1152"/>
      <c r="BQ25" s="1152"/>
      <c r="BR25" s="1152"/>
      <c r="BS25" s="1152"/>
      <c r="BT25" s="1152"/>
      <c r="BU25" s="1152"/>
      <c r="BV25" s="1152"/>
      <c r="BW25" s="1152"/>
      <c r="BX25" s="1152"/>
      <c r="BY25" s="1152"/>
      <c r="BZ25" s="1152"/>
      <c r="CA25" s="1152"/>
      <c r="CB25" s="1152"/>
      <c r="CC25" s="1152"/>
      <c r="CD25" s="1152"/>
      <c r="CE25" s="1152"/>
      <c r="CF25" s="1152"/>
      <c r="CG25" s="1152"/>
      <c r="CH25" s="1152"/>
      <c r="CI25" s="1152"/>
      <c r="CJ25" s="1152"/>
      <c r="CK25" s="1152"/>
      <c r="CL25" s="1152"/>
      <c r="CM25" s="1152"/>
      <c r="CN25" s="1152"/>
      <c r="CO25" s="1152"/>
      <c r="CP25" s="1152"/>
      <c r="CQ25" s="1152"/>
      <c r="CR25" s="1152"/>
      <c r="CS25" s="1152"/>
      <c r="CT25" s="1152"/>
      <c r="CU25" s="1152"/>
      <c r="CV25" s="1152"/>
      <c r="CW25" s="1152"/>
      <c r="CX25" s="1152"/>
      <c r="CY25" s="1152"/>
      <c r="CZ25" s="1152"/>
      <c r="DA25" s="1152"/>
      <c r="DB25" s="1152"/>
      <c r="DC25" s="1152"/>
      <c r="DD25" s="1152"/>
      <c r="DE25" s="1152"/>
      <c r="DF25" s="1152"/>
      <c r="DG25" s="1152"/>
      <c r="DH25" s="1152"/>
      <c r="DI25" s="1152"/>
      <c r="DJ25" s="1152"/>
      <c r="DK25" s="1152"/>
      <c r="DL25" s="1152"/>
      <c r="DM25" s="1152"/>
      <c r="DN25" s="1152"/>
      <c r="DO25" s="1152"/>
      <c r="DP25" s="1152"/>
      <c r="DQ25" s="1152"/>
      <c r="DR25" s="1152"/>
      <c r="DS25" s="1152"/>
      <c r="DT25" s="1152"/>
      <c r="DU25" s="1152"/>
      <c r="DV25" s="1152"/>
      <c r="DW25" s="1152"/>
      <c r="DX25" s="1152"/>
      <c r="DY25" s="1152"/>
      <c r="DZ25" s="1152"/>
      <c r="EA25" s="1152"/>
      <c r="EB25" s="1152"/>
      <c r="EC25" s="1152"/>
      <c r="ED25" s="1152"/>
      <c r="EE25" s="1152"/>
      <c r="EF25" s="1152"/>
      <c r="EG25" s="1152"/>
      <c r="EH25" s="1152"/>
      <c r="EI25" s="1152"/>
      <c r="EJ25" s="1152"/>
      <c r="EK25" s="1152"/>
      <c r="EL25" s="1152"/>
      <c r="EM25" s="1152"/>
      <c r="EN25" s="1152"/>
      <c r="EO25" s="1152"/>
      <c r="EP25" s="1152"/>
      <c r="EQ25" s="1152"/>
      <c r="ER25" s="1152"/>
      <c r="ES25" s="1152"/>
      <c r="ET25" s="1152"/>
      <c r="EU25" s="1152"/>
      <c r="EV25" s="1152"/>
      <c r="EW25" s="1152"/>
      <c r="EX25" s="1152"/>
      <c r="EY25" s="1152"/>
      <c r="EZ25" s="1152"/>
      <c r="FA25" s="1152"/>
      <c r="FB25" s="1152"/>
      <c r="FC25" s="1152"/>
      <c r="FD25" s="1152"/>
      <c r="FE25" s="1152"/>
      <c r="FF25" s="1152"/>
      <c r="FG25" s="1152"/>
      <c r="FH25" s="1152"/>
      <c r="FI25" s="1152"/>
      <c r="FJ25" s="1152"/>
      <c r="FK25" s="1152"/>
      <c r="FL25" s="1152"/>
      <c r="FM25" s="1152"/>
      <c r="FN25" s="1152"/>
      <c r="FO25" s="1152"/>
      <c r="FP25" s="1152"/>
      <c r="FQ25" s="1152"/>
      <c r="FR25" s="1152"/>
      <c r="FS25" s="1152"/>
      <c r="FT25" s="1152"/>
      <c r="FU25" s="1152"/>
      <c r="FV25" s="1152"/>
      <c r="FW25" s="1152"/>
      <c r="FX25" s="1152"/>
      <c r="FY25" s="1152"/>
      <c r="FZ25" s="1152"/>
      <c r="GA25" s="1152"/>
      <c r="GB25" s="1152"/>
      <c r="GC25" s="1152"/>
      <c r="GD25" s="1152"/>
      <c r="GE25" s="1152"/>
      <c r="GF25" s="1152"/>
      <c r="GG25" s="1152"/>
    </row>
    <row r="26" spans="1:189" s="1149" customFormat="1" ht="15.95" hidden="1" customHeight="1">
      <c r="A26" s="1344" t="str">
        <f>+[4]BPU!A57</f>
        <v>204-3</v>
      </c>
      <c r="B26" s="912" t="str">
        <f>+[4]BPU!B57</f>
        <v>ouvrages d'assainissement</v>
      </c>
      <c r="C26" s="1360" t="s">
        <v>205</v>
      </c>
      <c r="D26" s="1361"/>
      <c r="E26" s="1361">
        <f>[4]BPU!D57</f>
        <v>17514</v>
      </c>
      <c r="F26" s="1361">
        <f>+D26*E26</f>
        <v>0</v>
      </c>
      <c r="H26" s="1151" t="e">
        <f>+#REF!</f>
        <v>#REF!</v>
      </c>
      <c r="I26" s="1151">
        <v>1.4</v>
      </c>
      <c r="J26" s="1151" t="e">
        <f>ROUND(H26*I26,0)</f>
        <v>#REF!</v>
      </c>
      <c r="K26" s="1152"/>
      <c r="L26" s="1152"/>
      <c r="M26" s="1152"/>
      <c r="N26" s="1152"/>
      <c r="O26" s="1152"/>
      <c r="P26" s="1152"/>
      <c r="Q26" s="1152"/>
      <c r="R26" s="1152"/>
      <c r="S26" s="1152"/>
      <c r="T26" s="1152"/>
      <c r="U26" s="1152"/>
      <c r="V26" s="1152"/>
      <c r="W26" s="1152"/>
      <c r="X26" s="1152"/>
      <c r="Y26" s="1152"/>
      <c r="Z26" s="1152"/>
      <c r="AA26" s="1152"/>
      <c r="AB26" s="1152"/>
      <c r="AC26" s="1152"/>
      <c r="AD26" s="1152"/>
      <c r="AE26" s="1152"/>
      <c r="AF26" s="1152"/>
      <c r="AG26" s="1152"/>
      <c r="AH26" s="1152"/>
      <c r="AI26" s="1152"/>
      <c r="AJ26" s="1152"/>
      <c r="AK26" s="1152"/>
      <c r="AL26" s="1152"/>
      <c r="AM26" s="1152"/>
      <c r="AN26" s="1152"/>
      <c r="AO26" s="1152"/>
      <c r="AP26" s="1152"/>
      <c r="AQ26" s="1152"/>
      <c r="AR26" s="1152"/>
      <c r="AS26" s="1152"/>
      <c r="AT26" s="1152"/>
      <c r="AU26" s="1152"/>
      <c r="AV26" s="1152"/>
      <c r="AW26" s="1152"/>
      <c r="AX26" s="1152"/>
      <c r="AY26" s="1152"/>
      <c r="AZ26" s="1152"/>
      <c r="BA26" s="1152"/>
      <c r="BB26" s="1152"/>
      <c r="BC26" s="1152"/>
      <c r="BD26" s="1152"/>
      <c r="BE26" s="1152"/>
      <c r="BF26" s="1152"/>
      <c r="BG26" s="1152"/>
      <c r="BH26" s="1152"/>
      <c r="BI26" s="1152"/>
      <c r="BJ26" s="1152"/>
      <c r="BK26" s="1152"/>
      <c r="BL26" s="1152"/>
      <c r="BM26" s="1152"/>
      <c r="BN26" s="1152"/>
      <c r="BO26" s="1152"/>
      <c r="BP26" s="1152"/>
      <c r="BQ26" s="1152"/>
      <c r="BR26" s="1152"/>
      <c r="BS26" s="1152"/>
      <c r="BT26" s="1152"/>
      <c r="BU26" s="1152"/>
      <c r="BV26" s="1152"/>
      <c r="BW26" s="1152"/>
      <c r="BX26" s="1152"/>
      <c r="BY26" s="1152"/>
      <c r="BZ26" s="1152"/>
      <c r="CA26" s="1152"/>
      <c r="CB26" s="1152"/>
      <c r="CC26" s="1152"/>
      <c r="CD26" s="1152"/>
      <c r="CE26" s="1152"/>
      <c r="CF26" s="1152"/>
      <c r="CG26" s="1152"/>
      <c r="CH26" s="1152"/>
      <c r="CI26" s="1152"/>
      <c r="CJ26" s="1152"/>
      <c r="CK26" s="1152"/>
      <c r="CL26" s="1152"/>
      <c r="CM26" s="1152"/>
      <c r="CN26" s="1152"/>
      <c r="CO26" s="1152"/>
      <c r="CP26" s="1152"/>
      <c r="CQ26" s="1152"/>
      <c r="CR26" s="1152"/>
      <c r="CS26" s="1152"/>
      <c r="CT26" s="1152"/>
      <c r="CU26" s="1152"/>
      <c r="CV26" s="1152"/>
      <c r="CW26" s="1152"/>
      <c r="CX26" s="1152"/>
      <c r="CY26" s="1152"/>
      <c r="CZ26" s="1152"/>
      <c r="DA26" s="1152"/>
      <c r="DB26" s="1152"/>
      <c r="DC26" s="1152"/>
      <c r="DD26" s="1152"/>
      <c r="DE26" s="1152"/>
      <c r="DF26" s="1152"/>
      <c r="DG26" s="1152"/>
      <c r="DH26" s="1152"/>
      <c r="DI26" s="1152"/>
      <c r="DJ26" s="1152"/>
      <c r="DK26" s="1152"/>
      <c r="DL26" s="1152"/>
      <c r="DM26" s="1152"/>
      <c r="DN26" s="1152"/>
      <c r="DO26" s="1152"/>
      <c r="DP26" s="1152"/>
      <c r="DQ26" s="1152"/>
      <c r="DR26" s="1152"/>
      <c r="DS26" s="1152"/>
      <c r="DT26" s="1152"/>
      <c r="DU26" s="1152"/>
      <c r="DV26" s="1152"/>
      <c r="DW26" s="1152"/>
      <c r="DX26" s="1152"/>
      <c r="DY26" s="1152"/>
      <c r="DZ26" s="1152"/>
      <c r="EA26" s="1152"/>
      <c r="EB26" s="1152"/>
      <c r="EC26" s="1152"/>
      <c r="ED26" s="1152"/>
      <c r="EE26" s="1152"/>
      <c r="EF26" s="1152"/>
      <c r="EG26" s="1152"/>
      <c r="EH26" s="1152"/>
      <c r="EI26" s="1152"/>
      <c r="EJ26" s="1152"/>
      <c r="EK26" s="1152"/>
      <c r="EL26" s="1152"/>
      <c r="EM26" s="1152"/>
      <c r="EN26" s="1152"/>
      <c r="EO26" s="1152"/>
      <c r="EP26" s="1152"/>
      <c r="EQ26" s="1152"/>
      <c r="ER26" s="1152"/>
      <c r="ES26" s="1152"/>
      <c r="ET26" s="1152"/>
      <c r="EU26" s="1152"/>
      <c r="EV26" s="1152"/>
      <c r="EW26" s="1152"/>
      <c r="EX26" s="1152"/>
      <c r="EY26" s="1152"/>
      <c r="EZ26" s="1152"/>
      <c r="FA26" s="1152"/>
      <c r="FB26" s="1152"/>
      <c r="FC26" s="1152"/>
      <c r="FD26" s="1152"/>
      <c r="FE26" s="1152"/>
      <c r="FF26" s="1152"/>
      <c r="FG26" s="1152"/>
      <c r="FH26" s="1152"/>
      <c r="FI26" s="1152"/>
      <c r="FJ26" s="1152"/>
      <c r="FK26" s="1152"/>
      <c r="FL26" s="1152"/>
      <c r="FM26" s="1152"/>
      <c r="FN26" s="1152"/>
      <c r="FO26" s="1152"/>
      <c r="FP26" s="1152"/>
      <c r="FQ26" s="1152"/>
      <c r="FR26" s="1152"/>
      <c r="FS26" s="1152"/>
      <c r="FT26" s="1152"/>
      <c r="FU26" s="1152"/>
      <c r="FV26" s="1152"/>
      <c r="FW26" s="1152"/>
      <c r="FX26" s="1152"/>
      <c r="FY26" s="1152"/>
      <c r="FZ26" s="1152"/>
      <c r="GA26" s="1152"/>
      <c r="GB26" s="1152"/>
      <c r="GC26" s="1152"/>
      <c r="GD26" s="1152"/>
      <c r="GE26" s="1152"/>
      <c r="GF26" s="1152"/>
      <c r="GG26" s="1152"/>
    </row>
    <row r="27" spans="1:189" s="1149" customFormat="1" ht="15.95" hidden="1" customHeight="1">
      <c r="A27" s="1344" t="str">
        <f>+[4]BPU!A58</f>
        <v>204-4</v>
      </c>
      <c r="B27" s="912" t="str">
        <f>+[4]BPU!B58</f>
        <v>ouvrages en maçonnerie</v>
      </c>
      <c r="C27" s="1360" t="s">
        <v>618</v>
      </c>
      <c r="D27" s="1363"/>
      <c r="E27" s="1361">
        <v>5835882.2130000005</v>
      </c>
      <c r="F27" s="1361">
        <f>+D27*E27</f>
        <v>0</v>
      </c>
      <c r="H27" s="1151" t="e">
        <f>H25</f>
        <v>#REF!</v>
      </c>
      <c r="I27" s="1151">
        <f>1.05</f>
        <v>1.05</v>
      </c>
      <c r="J27" s="1151" t="e">
        <f>H27*I27</f>
        <v>#REF!</v>
      </c>
      <c r="K27" s="1152"/>
      <c r="L27" s="1152"/>
      <c r="M27" s="1152"/>
      <c r="N27" s="1152"/>
      <c r="O27" s="1152"/>
      <c r="P27" s="1152"/>
      <c r="Q27" s="1152"/>
      <c r="R27" s="1152"/>
      <c r="S27" s="1152"/>
      <c r="T27" s="1152"/>
      <c r="U27" s="1152"/>
      <c r="V27" s="1152"/>
      <c r="W27" s="1152"/>
      <c r="X27" s="1152"/>
      <c r="Y27" s="1152"/>
      <c r="Z27" s="1152"/>
      <c r="AA27" s="1152"/>
      <c r="AB27" s="1152"/>
      <c r="AC27" s="1152"/>
      <c r="AD27" s="1152"/>
      <c r="AE27" s="1152"/>
      <c r="AF27" s="1152"/>
      <c r="AG27" s="1152"/>
      <c r="AH27" s="1152"/>
      <c r="AI27" s="1152"/>
      <c r="AJ27" s="1152"/>
      <c r="AK27" s="1152"/>
      <c r="AL27" s="1152"/>
      <c r="AM27" s="1152"/>
      <c r="AN27" s="1152"/>
      <c r="AO27" s="1152"/>
      <c r="AP27" s="1152"/>
      <c r="AQ27" s="1152"/>
      <c r="AR27" s="1152"/>
      <c r="AS27" s="1152"/>
      <c r="AT27" s="1152"/>
      <c r="AU27" s="1152"/>
      <c r="AV27" s="1152"/>
      <c r="AW27" s="1152"/>
      <c r="AX27" s="1152"/>
      <c r="AY27" s="1152"/>
      <c r="AZ27" s="1152"/>
      <c r="BA27" s="1152"/>
      <c r="BB27" s="1152"/>
      <c r="BC27" s="1152"/>
      <c r="BD27" s="1152"/>
      <c r="BE27" s="1152"/>
      <c r="BF27" s="1152"/>
      <c r="BG27" s="1152"/>
      <c r="BH27" s="1152"/>
      <c r="BI27" s="1152"/>
      <c r="BJ27" s="1152"/>
      <c r="BK27" s="1152"/>
      <c r="BL27" s="1152"/>
      <c r="BM27" s="1152"/>
      <c r="BN27" s="1152"/>
      <c r="BO27" s="1152"/>
      <c r="BP27" s="1152"/>
      <c r="BQ27" s="1152"/>
      <c r="BR27" s="1152"/>
      <c r="BS27" s="1152"/>
      <c r="BT27" s="1152"/>
      <c r="BU27" s="1152"/>
      <c r="BV27" s="1152"/>
      <c r="BW27" s="1152"/>
      <c r="BX27" s="1152"/>
      <c r="BY27" s="1152"/>
      <c r="BZ27" s="1152"/>
      <c r="CA27" s="1152"/>
      <c r="CB27" s="1152"/>
      <c r="CC27" s="1152"/>
      <c r="CD27" s="1152"/>
      <c r="CE27" s="1152"/>
      <c r="CF27" s="1152"/>
      <c r="CG27" s="1152"/>
      <c r="CH27" s="1152"/>
      <c r="CI27" s="1152"/>
      <c r="CJ27" s="1152"/>
      <c r="CK27" s="1152"/>
      <c r="CL27" s="1152"/>
      <c r="CM27" s="1152"/>
      <c r="CN27" s="1152"/>
      <c r="CO27" s="1152"/>
      <c r="CP27" s="1152"/>
      <c r="CQ27" s="1152"/>
      <c r="CR27" s="1152"/>
      <c r="CS27" s="1152"/>
      <c r="CT27" s="1152"/>
      <c r="CU27" s="1152"/>
      <c r="CV27" s="1152"/>
      <c r="CW27" s="1152"/>
      <c r="CX27" s="1152"/>
      <c r="CY27" s="1152"/>
      <c r="CZ27" s="1152"/>
      <c r="DA27" s="1152"/>
      <c r="DB27" s="1152"/>
      <c r="DC27" s="1152"/>
      <c r="DD27" s="1152"/>
      <c r="DE27" s="1152"/>
      <c r="DF27" s="1152"/>
      <c r="DG27" s="1152"/>
      <c r="DH27" s="1152"/>
      <c r="DI27" s="1152"/>
      <c r="DJ27" s="1152"/>
      <c r="DK27" s="1152"/>
      <c r="DL27" s="1152"/>
      <c r="DM27" s="1152"/>
      <c r="DN27" s="1152"/>
      <c r="DO27" s="1152"/>
      <c r="DP27" s="1152"/>
      <c r="DQ27" s="1152"/>
      <c r="DR27" s="1152"/>
      <c r="DS27" s="1152"/>
      <c r="DT27" s="1152"/>
      <c r="DU27" s="1152"/>
      <c r="DV27" s="1152"/>
      <c r="DW27" s="1152"/>
      <c r="DX27" s="1152"/>
      <c r="DY27" s="1152"/>
      <c r="DZ27" s="1152"/>
      <c r="EA27" s="1152"/>
      <c r="EB27" s="1152"/>
      <c r="EC27" s="1152"/>
      <c r="ED27" s="1152"/>
      <c r="EE27" s="1152"/>
      <c r="EF27" s="1152"/>
      <c r="EG27" s="1152"/>
      <c r="EH27" s="1152"/>
      <c r="EI27" s="1152"/>
      <c r="EJ27" s="1152"/>
      <c r="EK27" s="1152"/>
      <c r="EL27" s="1152"/>
      <c r="EM27" s="1152"/>
      <c r="EN27" s="1152"/>
      <c r="EO27" s="1152"/>
      <c r="EP27" s="1152"/>
      <c r="EQ27" s="1152"/>
      <c r="ER27" s="1152"/>
      <c r="ES27" s="1152"/>
      <c r="ET27" s="1152"/>
      <c r="EU27" s="1152"/>
      <c r="EV27" s="1152"/>
      <c r="EW27" s="1152"/>
      <c r="EX27" s="1152"/>
      <c r="EY27" s="1152"/>
      <c r="EZ27" s="1152"/>
      <c r="FA27" s="1152"/>
      <c r="FB27" s="1152"/>
      <c r="FC27" s="1152"/>
      <c r="FD27" s="1152"/>
      <c r="FE27" s="1152"/>
      <c r="FF27" s="1152"/>
      <c r="FG27" s="1152"/>
      <c r="FH27" s="1152"/>
      <c r="FI27" s="1152"/>
      <c r="FJ27" s="1152"/>
      <c r="FK27" s="1152"/>
      <c r="FL27" s="1152"/>
      <c r="FM27" s="1152"/>
      <c r="FN27" s="1152"/>
      <c r="FO27" s="1152"/>
      <c r="FP27" s="1152"/>
      <c r="FQ27" s="1152"/>
      <c r="FR27" s="1152"/>
      <c r="FS27" s="1152"/>
      <c r="FT27" s="1152"/>
      <c r="FU27" s="1152"/>
      <c r="FV27" s="1152"/>
      <c r="FW27" s="1152"/>
      <c r="FX27" s="1152"/>
      <c r="FY27" s="1152"/>
      <c r="FZ27" s="1152"/>
      <c r="GA27" s="1152"/>
      <c r="GB27" s="1152"/>
      <c r="GC27" s="1152"/>
      <c r="GD27" s="1152"/>
      <c r="GE27" s="1152"/>
      <c r="GF27" s="1152"/>
      <c r="GG27" s="1152"/>
    </row>
    <row r="28" spans="1:189" s="1152" customFormat="1" ht="15.95" hidden="1" customHeight="1">
      <c r="A28" s="1336">
        <f>+[4]BPU!A61</f>
        <v>206</v>
      </c>
      <c r="B28" s="1336" t="str">
        <f>+[4]BPU!B61</f>
        <v>Prix 206 - Dépose et enlèvement de pavés</v>
      </c>
      <c r="C28" s="1384"/>
      <c r="D28" s="1348"/>
      <c r="E28" s="825"/>
      <c r="F28" s="825"/>
      <c r="G28" s="1149"/>
      <c r="H28" s="1150"/>
      <c r="I28" s="1151"/>
      <c r="J28" s="1150"/>
    </row>
    <row r="29" spans="1:189" s="1152" customFormat="1" ht="15.95" hidden="1" customHeight="1">
      <c r="A29" s="1344"/>
      <c r="B29" s="1385"/>
      <c r="C29" s="1360" t="s">
        <v>94</v>
      </c>
      <c r="D29" s="1361"/>
      <c r="E29" s="825">
        <f>[4]BPU!D62</f>
        <v>1380</v>
      </c>
      <c r="F29" s="825">
        <f>+D29*E29</f>
        <v>0</v>
      </c>
      <c r="G29" s="1149"/>
      <c r="H29" s="1150" t="e">
        <f>+(#REF!/2+#REF!)*10</f>
        <v>#REF!</v>
      </c>
      <c r="I29" s="1151">
        <f>1.1</f>
        <v>1.1000000000000001</v>
      </c>
      <c r="J29" s="1150" t="e">
        <f>H29*I29</f>
        <v>#REF!</v>
      </c>
    </row>
    <row r="30" spans="1:189" s="1152" customFormat="1" ht="15.95" hidden="1" customHeight="1">
      <c r="A30" s="1336" t="str">
        <f>+[4]BPU!A63</f>
        <v>207</v>
      </c>
      <c r="B30" s="1336" t="str">
        <f>+[4]BPU!B63</f>
        <v>Prix 207 - Dépose et enlèvement de bordures</v>
      </c>
      <c r="C30" s="1384"/>
      <c r="D30" s="1348"/>
      <c r="E30" s="825"/>
      <c r="F30" s="825"/>
      <c r="G30" s="1149"/>
      <c r="H30" s="1150">
        <f>370+163*2</f>
        <v>696</v>
      </c>
      <c r="I30" s="1151"/>
      <c r="J30" s="1150"/>
    </row>
    <row r="31" spans="1:189" s="1152" customFormat="1" ht="15.95" hidden="1" customHeight="1">
      <c r="A31" s="1344"/>
      <c r="B31" s="1385"/>
      <c r="C31" s="1360" t="s">
        <v>1</v>
      </c>
      <c r="D31" s="1361"/>
      <c r="E31" s="825">
        <f>[4]BPU!D64</f>
        <v>3450</v>
      </c>
      <c r="F31" s="825">
        <f>+D31*E31</f>
        <v>0</v>
      </c>
      <c r="G31" s="1149"/>
      <c r="H31" s="1150" t="e">
        <f>+(#REF!/2+#REF!)*2</f>
        <v>#REF!</v>
      </c>
      <c r="I31" s="1151">
        <f>1.1</f>
        <v>1.1000000000000001</v>
      </c>
      <c r="J31" s="1150" t="e">
        <f>H31*I31</f>
        <v>#REF!</v>
      </c>
    </row>
    <row r="32" spans="1:189" s="1152" customFormat="1" ht="15.95" hidden="1" customHeight="1">
      <c r="A32" s="1336" t="str">
        <f>+[4]BPU!A65</f>
        <v>208</v>
      </c>
      <c r="B32" s="1336" t="str">
        <f>+[4]BPU!B65</f>
        <v>Prix 208 - Curage d'ouvrages de drainage existant</v>
      </c>
      <c r="C32" s="1384"/>
      <c r="D32" s="1348"/>
      <c r="E32" s="825"/>
      <c r="F32" s="825"/>
      <c r="G32" s="1149"/>
      <c r="H32" s="1150"/>
      <c r="I32" s="1151"/>
      <c r="J32" s="1150"/>
    </row>
    <row r="33" spans="1:12" s="1152" customFormat="1" ht="15.95" hidden="1" customHeight="1">
      <c r="A33" s="912" t="str">
        <f>+[4]BPU!A66</f>
        <v>208-1</v>
      </c>
      <c r="B33" s="912" t="str">
        <f>+[4]BPU!B66</f>
        <v>caniveau en béton armé</v>
      </c>
      <c r="C33" s="1362" t="s">
        <v>1</v>
      </c>
      <c r="D33" s="1348"/>
      <c r="E33" s="825">
        <f>[4]BPU!D66</f>
        <v>4493</v>
      </c>
      <c r="F33" s="825">
        <f>+D33*E33</f>
        <v>0</v>
      </c>
      <c r="G33" s="1149"/>
      <c r="H33" s="1151">
        <f>120+1470+401+310+260+130+320+350+250+355+350+550+255+2160+1140+175+175+130+130+745+372+245+740+1060+345+550+263+475+300+913+790+777+395+320+123+120+396+322+200+206+506+180+270+95+95+240+255+230+200+204+110</f>
        <v>21073</v>
      </c>
      <c r="I33" s="1151">
        <f>0.5*0.1</f>
        <v>0.05</v>
      </c>
      <c r="J33" s="1150">
        <f>H33*I33</f>
        <v>1053.6500000000001</v>
      </c>
    </row>
    <row r="34" spans="1:12" s="1152" customFormat="1" ht="15.95" hidden="1" customHeight="1">
      <c r="A34" s="1336">
        <f>+[4]BPU!A75</f>
        <v>211</v>
      </c>
      <c r="B34" s="1336" t="str">
        <f>+[4]BPU!B75</f>
        <v>Prix 211 - Réfection de route bitumée</v>
      </c>
      <c r="C34" s="1384"/>
      <c r="D34" s="1348"/>
      <c r="E34" s="825"/>
      <c r="F34" s="825"/>
      <c r="G34" s="1149"/>
      <c r="H34" s="1150"/>
      <c r="I34" s="1151"/>
      <c r="J34" s="1150"/>
    </row>
    <row r="35" spans="1:12" s="1152" customFormat="1" ht="15.95" hidden="1" customHeight="1">
      <c r="A35" s="1344"/>
      <c r="B35" s="1385"/>
      <c r="C35" s="1360" t="s">
        <v>94</v>
      </c>
      <c r="D35" s="1361"/>
      <c r="E35" s="825">
        <f>[4]BPU!D76</f>
        <v>121505</v>
      </c>
      <c r="F35" s="825">
        <f>+D35*E35</f>
        <v>0</v>
      </c>
      <c r="G35" s="1149"/>
      <c r="H35" s="1150">
        <f>11*(14*0+15)</f>
        <v>165</v>
      </c>
      <c r="I35" s="1151">
        <v>1</v>
      </c>
      <c r="J35" s="1150">
        <f>H35*I35</f>
        <v>165</v>
      </c>
      <c r="K35" s="1152" t="s">
        <v>353</v>
      </c>
    </row>
    <row r="36" spans="1:12" s="1160" customFormat="1" ht="15.95" hidden="1" customHeight="1">
      <c r="A36" s="1336">
        <f>+[4]BPU!A79</f>
        <v>215</v>
      </c>
      <c r="B36" s="1336" t="str">
        <f>+[4]BPU!B79</f>
        <v>Prix 215 - Dépose de buses</v>
      </c>
      <c r="C36" s="1384"/>
      <c r="D36" s="1348"/>
      <c r="E36" s="825"/>
      <c r="F36" s="825"/>
      <c r="H36" s="1161"/>
      <c r="I36" s="1162"/>
      <c r="J36" s="1161"/>
    </row>
    <row r="37" spans="1:12" s="1160" customFormat="1" ht="15.95" hidden="1" customHeight="1">
      <c r="A37" s="1344"/>
      <c r="B37" s="1385"/>
      <c r="C37" s="1360" t="s">
        <v>1</v>
      </c>
      <c r="D37" s="1361">
        <f>J37</f>
        <v>0</v>
      </c>
      <c r="E37" s="825">
        <f>[4]BPU!D80</f>
        <v>97750</v>
      </c>
      <c r="F37" s="825">
        <f>+D37*E37</f>
        <v>0</v>
      </c>
      <c r="H37" s="1161">
        <f>162*0</f>
        <v>0</v>
      </c>
      <c r="I37" s="1162">
        <v>1.1000000000000001</v>
      </c>
      <c r="J37" s="1161">
        <f>H37*I37</f>
        <v>0</v>
      </c>
    </row>
    <row r="38" spans="1:12" s="1152" customFormat="1" ht="15" hidden="1">
      <c r="A38" s="1344"/>
      <c r="B38" s="1385"/>
      <c r="C38" s="1381"/>
      <c r="D38" s="1381"/>
      <c r="E38" s="1382" t="s">
        <v>111</v>
      </c>
      <c r="F38" s="1383">
        <f>SUM(F17:F37)</f>
        <v>0</v>
      </c>
      <c r="G38" s="1149"/>
      <c r="H38" s="1150"/>
      <c r="I38" s="1151"/>
      <c r="J38" s="1150"/>
    </row>
    <row r="39" spans="1:12" s="1146" customFormat="1" ht="15" hidden="1" customHeight="1">
      <c r="A39" s="1088"/>
      <c r="B39" s="1089"/>
      <c r="C39" s="1368"/>
      <c r="D39" s="1369"/>
      <c r="E39" s="1386"/>
      <c r="F39" s="1386"/>
      <c r="G39" s="44"/>
      <c r="H39" s="1144"/>
      <c r="I39" s="1145"/>
      <c r="J39" s="1144"/>
    </row>
    <row r="40" spans="1:12" s="1146" customFormat="1" ht="24.95" hidden="1" customHeight="1">
      <c r="A40" s="1334" t="str">
        <f>+[4]BPU!A84</f>
        <v xml:space="preserve">PRIX 300 - TERRASSEMENTS </v>
      </c>
      <c r="B40" s="1334"/>
      <c r="C40" s="1332" t="s">
        <v>98</v>
      </c>
      <c r="D40" s="1332" t="s">
        <v>99</v>
      </c>
      <c r="E40" s="1333" t="s">
        <v>100</v>
      </c>
      <c r="F40" s="1333" t="s">
        <v>114</v>
      </c>
      <c r="G40" s="44"/>
      <c r="H40" s="1144"/>
      <c r="I40" s="1145"/>
      <c r="J40" s="1144"/>
    </row>
    <row r="41" spans="1:12" s="1152" customFormat="1" hidden="1">
      <c r="A41" s="1336" t="str">
        <f>+[4]BPU!A85</f>
        <v>301</v>
      </c>
      <c r="B41" s="1336" t="str">
        <f>+[4]BPU!B85</f>
        <v>Prix 301 - Déblais en grande masse, mise en dépôt</v>
      </c>
      <c r="C41" s="1359"/>
      <c r="D41" s="1348"/>
      <c r="E41" s="825"/>
      <c r="F41" s="825"/>
      <c r="G41" s="1149"/>
      <c r="H41" s="1150"/>
      <c r="I41" s="1151"/>
      <c r="J41" s="1150"/>
    </row>
    <row r="42" spans="1:12" s="1152" customFormat="1" hidden="1">
      <c r="A42" s="912" t="str">
        <f>+[4]BPU!A86</f>
        <v>301-1</v>
      </c>
      <c r="B42" s="912" t="str">
        <f>+[4]BPU!B86</f>
        <v>en terrain meuble</v>
      </c>
      <c r="C42" s="1360" t="s">
        <v>95</v>
      </c>
      <c r="D42" s="1361"/>
      <c r="E42" s="825">
        <f>[4]BPU!D86</f>
        <v>4901</v>
      </c>
      <c r="F42" s="825">
        <f>+D42*E42</f>
        <v>0</v>
      </c>
      <c r="G42" s="1149"/>
      <c r="H42" s="1163" t="e">
        <f>+#REF!*0.7*10</f>
        <v>#REF!</v>
      </c>
      <c r="I42" s="1151">
        <v>1.1000000000000001</v>
      </c>
      <c r="J42" s="1150" t="e">
        <f>H42*I42</f>
        <v>#REF!</v>
      </c>
      <c r="L42" s="1152" t="s">
        <v>354</v>
      </c>
    </row>
    <row r="43" spans="1:12" s="1152" customFormat="1" hidden="1">
      <c r="A43" s="1336" t="str">
        <f>+[4]BPU!A90</f>
        <v>302</v>
      </c>
      <c r="B43" s="1336" t="str">
        <f>+[4]BPU!B90</f>
        <v>Prix 302 - Remblais provenant de déblais en terrain meuble</v>
      </c>
      <c r="C43" s="1359"/>
      <c r="D43" s="1348"/>
      <c r="E43" s="825"/>
      <c r="F43" s="825"/>
      <c r="G43" s="1149"/>
      <c r="H43" s="1150"/>
      <c r="I43" s="1151"/>
      <c r="J43" s="1150" t="e">
        <f>J42*0</f>
        <v>#REF!</v>
      </c>
    </row>
    <row r="44" spans="1:12" s="1152" customFormat="1" hidden="1">
      <c r="A44" s="912"/>
      <c r="B44" s="912"/>
      <c r="C44" s="1360" t="s">
        <v>95</v>
      </c>
      <c r="D44" s="1361"/>
      <c r="E44" s="825">
        <f>[4]BPU!D91</f>
        <v>3970</v>
      </c>
      <c r="F44" s="825">
        <f>+D44*E44</f>
        <v>0</v>
      </c>
      <c r="G44" s="1149"/>
      <c r="H44" s="1150"/>
      <c r="I44" s="1151"/>
      <c r="J44" s="1150"/>
    </row>
    <row r="45" spans="1:12" s="1152" customFormat="1" hidden="1">
      <c r="A45" s="1336" t="str">
        <f>+[4]BPU!A92</f>
        <v>303</v>
      </c>
      <c r="B45" s="1336" t="str">
        <f>+[4]BPU!B92</f>
        <v>Prix 303 - Fourniture et mise en œuvre de remblais en terre d'apport</v>
      </c>
      <c r="C45" s="1359"/>
      <c r="D45" s="1348"/>
      <c r="E45" s="825"/>
      <c r="F45" s="825"/>
      <c r="G45" s="1149"/>
      <c r="H45" s="1150"/>
      <c r="I45" s="1151"/>
      <c r="J45" s="1150"/>
    </row>
    <row r="46" spans="1:12" s="1152" customFormat="1" hidden="1">
      <c r="A46" s="912"/>
      <c r="B46" s="912"/>
      <c r="C46" s="1360" t="s">
        <v>95</v>
      </c>
      <c r="D46" s="1361"/>
      <c r="E46" s="825">
        <f>[4]BPU!D93</f>
        <v>14000</v>
      </c>
      <c r="F46" s="825">
        <f>+D46*E46</f>
        <v>0</v>
      </c>
      <c r="G46" s="1149"/>
      <c r="H46" s="1150" t="e">
        <f>+H42*0.3</f>
        <v>#REF!</v>
      </c>
      <c r="I46" s="1151">
        <v>1.1000000000000001</v>
      </c>
      <c r="J46" s="1150" t="e">
        <f>H46*I46</f>
        <v>#REF!</v>
      </c>
      <c r="K46" s="1152" t="e">
        <f>J46-J43</f>
        <v>#REF!</v>
      </c>
    </row>
    <row r="47" spans="1:12" s="1164" customFormat="1" hidden="1">
      <c r="A47" s="1336">
        <f>+[4]BPU!A111</f>
        <v>312</v>
      </c>
      <c r="B47" s="1336" t="str">
        <f>+[4]BPU!B111</f>
        <v>Prix 312 - Géotextile anti-contaminant</v>
      </c>
      <c r="C47" s="1359"/>
      <c r="D47" s="1348"/>
      <c r="E47" s="825"/>
      <c r="F47" s="825"/>
      <c r="H47" s="1165"/>
      <c r="I47" s="1166"/>
      <c r="J47" s="1165"/>
    </row>
    <row r="48" spans="1:12" s="1164" customFormat="1" hidden="1">
      <c r="A48" s="912"/>
      <c r="B48" s="912"/>
      <c r="C48" s="1360" t="s">
        <v>94</v>
      </c>
      <c r="D48" s="1361"/>
      <c r="E48" s="825">
        <f>+[4]BPU!D78</f>
        <v>22770</v>
      </c>
      <c r="F48" s="825">
        <f>+D48*E48</f>
        <v>0</v>
      </c>
      <c r="H48" s="1165">
        <f>+H134/0.2</f>
        <v>2280</v>
      </c>
      <c r="I48" s="1166">
        <v>1.1000000000000001</v>
      </c>
      <c r="J48" s="1165">
        <f>+H48*I48</f>
        <v>2508</v>
      </c>
    </row>
    <row r="49" spans="1:11" s="1152" customFormat="1" ht="15" hidden="1">
      <c r="A49" s="1353"/>
      <c r="B49" s="1380"/>
      <c r="C49" s="1381"/>
      <c r="D49" s="1381"/>
      <c r="E49" s="1382" t="s">
        <v>110</v>
      </c>
      <c r="F49" s="1383">
        <f>SUM(F41:F48)</f>
        <v>0</v>
      </c>
      <c r="G49" s="1149"/>
      <c r="H49" s="1150"/>
      <c r="I49" s="1151"/>
      <c r="J49" s="1150"/>
    </row>
    <row r="50" spans="1:11" s="1146" customFormat="1" ht="15.95" hidden="1" customHeight="1">
      <c r="A50" s="1084"/>
      <c r="B50" s="1091"/>
      <c r="C50" s="1080"/>
      <c r="D50" s="1021"/>
      <c r="E50" s="1080"/>
      <c r="F50" s="1082"/>
      <c r="G50" s="44"/>
      <c r="H50" s="1144"/>
      <c r="I50" s="1145"/>
      <c r="J50" s="1144"/>
    </row>
    <row r="51" spans="1:11" s="1146" customFormat="1" ht="24.95" hidden="1" customHeight="1">
      <c r="A51" s="1334" t="str">
        <f>+[4]BPU!A120</f>
        <v>PRIX 400 - CHAUSSEES ET TROTTOIRS</v>
      </c>
      <c r="B51" s="1334"/>
      <c r="C51" s="1332" t="s">
        <v>98</v>
      </c>
      <c r="D51" s="1332" t="s">
        <v>99</v>
      </c>
      <c r="E51" s="1333" t="s">
        <v>100</v>
      </c>
      <c r="F51" s="1333" t="s">
        <v>114</v>
      </c>
      <c r="G51" s="44"/>
      <c r="H51" s="145">
        <f>+J58*0.15</f>
        <v>0</v>
      </c>
      <c r="I51" s="1145">
        <v>1.05</v>
      </c>
      <c r="J51" s="1144">
        <f>H51*I51</f>
        <v>0</v>
      </c>
    </row>
    <row r="52" spans="1:11" s="1152" customFormat="1" ht="30" hidden="1" customHeight="1">
      <c r="A52" s="1336" t="str">
        <f>+[4]BPU!A121</f>
        <v>401</v>
      </c>
      <c r="B52" s="1372" t="str">
        <f>+[4]BPU!B121</f>
        <v>Prix 401 - Fourniture, transport et mise en œuvre  de matériaux pour couches de chaussée</v>
      </c>
      <c r="C52" s="1359"/>
      <c r="D52" s="1342"/>
      <c r="E52" s="825"/>
      <c r="F52" s="825"/>
      <c r="G52" s="1149"/>
      <c r="H52" s="1150"/>
      <c r="I52" s="1151"/>
      <c r="J52" s="1150"/>
      <c r="K52" s="1152" t="s">
        <v>273</v>
      </c>
    </row>
    <row r="53" spans="1:11" s="1152" customFormat="1" hidden="1">
      <c r="A53" s="912" t="str">
        <f>+[4]BPU!A123</f>
        <v>401-2</v>
      </c>
      <c r="B53" s="912" t="str">
        <f>+[4]BPU!B123</f>
        <v>sable silteux</v>
      </c>
      <c r="C53" s="1360" t="s">
        <v>95</v>
      </c>
      <c r="D53" s="1361"/>
      <c r="E53" s="825">
        <f>[4]BPU!D123</f>
        <v>14000</v>
      </c>
      <c r="F53" s="825">
        <f>+D53*E53</f>
        <v>0</v>
      </c>
      <c r="G53" s="1149"/>
      <c r="H53" s="781">
        <f>+J58*0.35+J59*0.2</f>
        <v>0</v>
      </c>
      <c r="I53" s="1151">
        <v>1.05</v>
      </c>
      <c r="J53" s="1150">
        <f>H53*I53</f>
        <v>0</v>
      </c>
    </row>
    <row r="54" spans="1:11" s="1152" customFormat="1" hidden="1">
      <c r="A54" s="1336">
        <f>+[4]BPU!A130</f>
        <v>405</v>
      </c>
      <c r="B54" s="1336" t="str">
        <f>+[4]BPU!B130</f>
        <v>Prix 405 - Traitement de la couche de base au ciment</v>
      </c>
      <c r="C54" s="1359"/>
      <c r="D54" s="1342"/>
      <c r="E54" s="825"/>
      <c r="F54" s="825"/>
      <c r="G54" s="1149"/>
      <c r="H54" s="1150"/>
      <c r="I54" s="1151"/>
      <c r="J54" s="1150"/>
    </row>
    <row r="55" spans="1:11" s="1152" customFormat="1" hidden="1">
      <c r="A55" s="912"/>
      <c r="B55" s="912"/>
      <c r="C55" s="1360" t="s">
        <v>14</v>
      </c>
      <c r="D55" s="1361"/>
      <c r="E55" s="825">
        <f>[4]BPU!D131</f>
        <v>748</v>
      </c>
      <c r="F55" s="825">
        <f>+D55*E55</f>
        <v>0</v>
      </c>
      <c r="G55" s="1149"/>
      <c r="H55" s="1150">
        <f>H51*1950*5%</f>
        <v>0</v>
      </c>
      <c r="I55" s="1151">
        <v>1.05</v>
      </c>
      <c r="J55" s="1150">
        <f>H55*I55</f>
        <v>0</v>
      </c>
    </row>
    <row r="56" spans="1:11" s="1152" customFormat="1" hidden="1">
      <c r="A56" s="1336">
        <f>+[4]BPU!A135</f>
        <v>407</v>
      </c>
      <c r="B56" s="1336" t="str">
        <f>+[4]BPU!B135</f>
        <v>Prix 407 - Préfabrication et mise en œuvre du revêtement en pavés</v>
      </c>
      <c r="C56" s="1360"/>
      <c r="D56" s="825"/>
      <c r="E56" s="825"/>
      <c r="F56" s="825"/>
      <c r="G56" s="1149"/>
      <c r="H56" s="1150"/>
      <c r="I56" s="1151"/>
      <c r="J56" s="1150"/>
    </row>
    <row r="57" spans="1:11" s="1152" customFormat="1" hidden="1">
      <c r="A57" s="1336" t="str">
        <f>+[4]BPU!A136</f>
        <v>407A</v>
      </c>
      <c r="B57" s="1336" t="str">
        <f>+[4]BPU!B136</f>
        <v>Prix 407A – Préfabrication du revêtement en pavés</v>
      </c>
      <c r="C57" s="1360"/>
      <c r="D57" s="825"/>
      <c r="E57" s="825"/>
      <c r="F57" s="825"/>
      <c r="G57" s="1149"/>
      <c r="H57" s="1150"/>
      <c r="I57" s="1151"/>
      <c r="J57" s="1150"/>
    </row>
    <row r="58" spans="1:11" s="1152" customFormat="1" hidden="1">
      <c r="A58" s="912" t="str">
        <f>+[4]BPU!A138</f>
        <v>407A-1</v>
      </c>
      <c r="B58" s="912" t="str">
        <f>+[4]BPU!B138</f>
        <v xml:space="preserve">pavés de 11 cm </v>
      </c>
      <c r="C58" s="1360" t="s">
        <v>94</v>
      </c>
      <c r="D58" s="825"/>
      <c r="E58" s="825">
        <f>+[4]BPU!D138</f>
        <v>11000</v>
      </c>
      <c r="F58" s="825">
        <f>+D58*E58</f>
        <v>0</v>
      </c>
      <c r="G58" s="1149"/>
      <c r="H58" s="698"/>
      <c r="I58" s="1151">
        <v>1.05</v>
      </c>
      <c r="J58" s="1150">
        <f>+H58*I58</f>
        <v>0</v>
      </c>
    </row>
    <row r="59" spans="1:11" s="1152" customFormat="1" hidden="1">
      <c r="A59" s="912" t="str">
        <f>+[4]BPU!A139</f>
        <v>407A-2</v>
      </c>
      <c r="B59" s="912" t="str">
        <f>+[4]BPU!B139</f>
        <v xml:space="preserve">pavés de 8 cm </v>
      </c>
      <c r="C59" s="1360" t="s">
        <v>94</v>
      </c>
      <c r="D59" s="825"/>
      <c r="E59" s="825">
        <f>+[4]BPU!D139</f>
        <v>9300</v>
      </c>
      <c r="F59" s="825">
        <f t="shared" ref="F59:F78" si="0">+D59*E59</f>
        <v>0</v>
      </c>
      <c r="G59" s="1149"/>
      <c r="H59" s="1150"/>
      <c r="I59" s="1151">
        <v>1.05</v>
      </c>
      <c r="J59" s="1150">
        <f>+H59*I59</f>
        <v>0</v>
      </c>
    </row>
    <row r="60" spans="1:11" s="1152" customFormat="1" hidden="1">
      <c r="A60" s="1336" t="str">
        <f>+[4]BPU!A140</f>
        <v>407B</v>
      </c>
      <c r="B60" s="1336" t="str">
        <f>+[4]BPU!B140</f>
        <v>Prix 407B - Mise en œuvre du revêtement en pavés</v>
      </c>
      <c r="C60" s="1360"/>
      <c r="D60" s="1361"/>
      <c r="E60" s="825"/>
      <c r="F60" s="825"/>
      <c r="G60" s="1149"/>
      <c r="H60" s="1150"/>
      <c r="I60" s="1151">
        <v>1.05</v>
      </c>
      <c r="J60" s="1150">
        <f t="shared" ref="J60:J67" si="1">+H60*I60</f>
        <v>0</v>
      </c>
    </row>
    <row r="61" spans="1:11" s="1152" customFormat="1" hidden="1">
      <c r="A61" s="912" t="str">
        <f>+[4]BPU!A142</f>
        <v>407B-1</v>
      </c>
      <c r="B61" s="912" t="str">
        <f>+[4]BPU!B142</f>
        <v>Pavés de 11 cm</v>
      </c>
      <c r="C61" s="1360" t="s">
        <v>94</v>
      </c>
      <c r="D61" s="1361"/>
      <c r="E61" s="825">
        <f>+[4]BPU!D142</f>
        <v>3500</v>
      </c>
      <c r="F61" s="825">
        <f t="shared" si="0"/>
        <v>0</v>
      </c>
      <c r="G61" s="1149"/>
      <c r="H61" s="1150"/>
      <c r="I61" s="1151">
        <v>1.05</v>
      </c>
      <c r="J61" s="1150">
        <f t="shared" si="1"/>
        <v>0</v>
      </c>
    </row>
    <row r="62" spans="1:11" s="1152" customFormat="1" hidden="1">
      <c r="A62" s="912" t="str">
        <f>+[4]BPU!A143</f>
        <v>407B-2</v>
      </c>
      <c r="B62" s="912" t="str">
        <f>+[4]BPU!B143</f>
        <v>Pavés de 8 cm</v>
      </c>
      <c r="C62" s="1360" t="s">
        <v>94</v>
      </c>
      <c r="D62" s="1361"/>
      <c r="E62" s="825">
        <f>+[4]BPU!D143</f>
        <v>3000</v>
      </c>
      <c r="F62" s="825">
        <f t="shared" si="0"/>
        <v>0</v>
      </c>
      <c r="G62" s="1149"/>
      <c r="H62" s="1150"/>
      <c r="I62" s="1151">
        <v>1.05</v>
      </c>
      <c r="J62" s="1150">
        <f t="shared" si="1"/>
        <v>0</v>
      </c>
    </row>
    <row r="63" spans="1:11" s="1152" customFormat="1" hidden="1">
      <c r="A63" s="1336">
        <f>+[4]BPU!A144</f>
        <v>408</v>
      </c>
      <c r="B63" s="1336" t="str">
        <f>+[4]BPU!B144</f>
        <v>Prix 408 - Préfabrication et mise en œuvre de bordures Préfabriqués</v>
      </c>
      <c r="C63" s="1360"/>
      <c r="D63" s="1361"/>
      <c r="E63" s="825"/>
      <c r="F63" s="825"/>
      <c r="G63" s="1149"/>
      <c r="H63" s="1150"/>
      <c r="I63" s="1151">
        <v>1.05</v>
      </c>
      <c r="J63" s="1150">
        <f t="shared" si="1"/>
        <v>0</v>
      </c>
    </row>
    <row r="64" spans="1:11" s="1152" customFormat="1" hidden="1">
      <c r="A64" s="1336" t="str">
        <f>+[4]BPU!A145</f>
        <v>408A</v>
      </c>
      <c r="B64" s="1336" t="str">
        <f>+[4]BPU!B145</f>
        <v>Prix 408A – Préfabrication de bordures</v>
      </c>
      <c r="C64" s="1360" t="s">
        <v>205</v>
      </c>
      <c r="D64" s="1361"/>
      <c r="E64" s="825"/>
      <c r="F64" s="825"/>
      <c r="G64" s="1149"/>
      <c r="H64" s="1150"/>
      <c r="I64" s="1151">
        <v>1.05</v>
      </c>
      <c r="J64" s="1150">
        <f t="shared" si="1"/>
        <v>0</v>
      </c>
    </row>
    <row r="65" spans="1:12" s="1152" customFormat="1" hidden="1">
      <c r="A65" s="912" t="str">
        <f>+[4]BPU!A146</f>
        <v>408A-1</v>
      </c>
      <c r="B65" s="912" t="str">
        <f>+[4]BPU!B146</f>
        <v>bordures lourdes 15 x 30 cm (T2)</v>
      </c>
      <c r="C65" s="1360" t="s">
        <v>205</v>
      </c>
      <c r="D65" s="1361"/>
      <c r="E65" s="825">
        <f>+[4]BPU!D146</f>
        <v>7514</v>
      </c>
      <c r="F65" s="825">
        <f t="shared" si="0"/>
        <v>0</v>
      </c>
      <c r="G65" s="1149"/>
      <c r="H65" s="1150"/>
      <c r="I65" s="1151">
        <v>1.05</v>
      </c>
      <c r="J65" s="1150">
        <f t="shared" si="1"/>
        <v>0</v>
      </c>
    </row>
    <row r="66" spans="1:12" s="1152" customFormat="1" hidden="1">
      <c r="A66" s="912" t="str">
        <f>+[4]BPU!A147</f>
        <v>408A-2</v>
      </c>
      <c r="B66" s="912" t="str">
        <f>+[4]BPU!B147</f>
        <v>bordures lègères 10 x 20 cm (T1)</v>
      </c>
      <c r="C66" s="1360" t="s">
        <v>205</v>
      </c>
      <c r="D66" s="1361"/>
      <c r="E66" s="825">
        <f>+[4]BPU!D147</f>
        <v>5700</v>
      </c>
      <c r="F66" s="825">
        <f t="shared" si="0"/>
        <v>0</v>
      </c>
      <c r="G66" s="1149"/>
      <c r="H66" s="1150"/>
      <c r="I66" s="1151">
        <v>1.05</v>
      </c>
      <c r="J66" s="1150">
        <f t="shared" si="1"/>
        <v>0</v>
      </c>
    </row>
    <row r="67" spans="1:12" s="1152" customFormat="1" hidden="1">
      <c r="A67" s="912" t="str">
        <f>+[4]BPU!A149</f>
        <v>408A-4</v>
      </c>
      <c r="B67" s="912" t="str">
        <f>+[4]BPU!B149</f>
        <v>bordures type T2- CS2</v>
      </c>
      <c r="C67" s="1360" t="s">
        <v>205</v>
      </c>
      <c r="D67" s="1361"/>
      <c r="E67" s="825">
        <f>+[4]BPU!D149</f>
        <v>13829</v>
      </c>
      <c r="F67" s="825">
        <f t="shared" si="0"/>
        <v>0</v>
      </c>
      <c r="G67" s="1149"/>
      <c r="H67" s="1150"/>
      <c r="I67" s="1151">
        <v>1.05</v>
      </c>
      <c r="J67" s="1150">
        <f t="shared" si="1"/>
        <v>0</v>
      </c>
    </row>
    <row r="68" spans="1:12" s="1152" customFormat="1" hidden="1">
      <c r="A68" s="1336" t="str">
        <f>+[4]BPU!A150</f>
        <v>408B</v>
      </c>
      <c r="B68" s="1336" t="str">
        <f>+[4]BPU!B150</f>
        <v>Prix 408B - Mise en œuvre de bordures préfabriquées</v>
      </c>
      <c r="C68" s="1360"/>
      <c r="D68" s="1361"/>
      <c r="E68" s="825"/>
      <c r="F68" s="825"/>
      <c r="G68" s="1149"/>
      <c r="H68" s="1150"/>
      <c r="I68" s="1151"/>
      <c r="J68" s="1150"/>
    </row>
    <row r="69" spans="1:12" s="1152" customFormat="1" hidden="1">
      <c r="A69" s="912" t="str">
        <f>+[4]BPU!A151</f>
        <v>408B-1</v>
      </c>
      <c r="B69" s="912" t="str">
        <f>+[4]BPU!B151</f>
        <v>Bordures   de dimensions 15 x 30 cm ou bordures T2</v>
      </c>
      <c r="C69" s="1360" t="s">
        <v>205</v>
      </c>
      <c r="D69" s="1361"/>
      <c r="E69" s="825">
        <f>+[4]BPU!D151</f>
        <v>5466</v>
      </c>
      <c r="F69" s="825">
        <f t="shared" si="0"/>
        <v>0</v>
      </c>
      <c r="G69" s="1149"/>
      <c r="H69" s="1150"/>
      <c r="I69" s="1151"/>
      <c r="J69" s="1150"/>
    </row>
    <row r="70" spans="1:12" s="1152" customFormat="1" hidden="1">
      <c r="A70" s="912" t="str">
        <f>+[4]BPU!A152</f>
        <v>408B-2</v>
      </c>
      <c r="B70" s="912" t="str">
        <f>+[4]BPU!B152</f>
        <v>Bordures de dimensions 10 x 20 cm ou bordures T1</v>
      </c>
      <c r="C70" s="1360" t="s">
        <v>205</v>
      </c>
      <c r="D70" s="1361"/>
      <c r="E70" s="825">
        <f>+[4]BPU!D152</f>
        <v>4800</v>
      </c>
      <c r="F70" s="825">
        <f t="shared" si="0"/>
        <v>0</v>
      </c>
      <c r="G70" s="1149"/>
      <c r="H70" s="1150"/>
      <c r="I70" s="1151"/>
      <c r="J70" s="1150"/>
    </row>
    <row r="71" spans="1:12" s="1152" customFormat="1" hidden="1">
      <c r="A71" s="912" t="str">
        <f>+[4]BPU!A154</f>
        <v>408B-4</v>
      </c>
      <c r="B71" s="912" t="str">
        <f>+[4]BPU!B154</f>
        <v>Bordures T2- CS2</v>
      </c>
      <c r="C71" s="1360" t="s">
        <v>205</v>
      </c>
      <c r="D71" s="1361"/>
      <c r="E71" s="825">
        <f>+[4]BPU!D154</f>
        <v>11315</v>
      </c>
      <c r="F71" s="825">
        <f t="shared" si="0"/>
        <v>0</v>
      </c>
      <c r="G71" s="1149"/>
      <c r="H71" s="1150"/>
      <c r="I71" s="1151"/>
      <c r="J71" s="1150"/>
    </row>
    <row r="72" spans="1:12" s="1152" customFormat="1" ht="30" hidden="1" customHeight="1">
      <c r="A72" s="1336">
        <f>+[4]BPU!A155</f>
        <v>409</v>
      </c>
      <c r="B72" s="1372" t="str">
        <f>+[4]BPU!B155</f>
        <v>Prix 409 - Préfabrication et mise en œuvre  de Pavé Pré peint et pavé décoratif d'embellissement du cadre de vie</v>
      </c>
      <c r="C72" s="1360"/>
      <c r="D72" s="1361"/>
      <c r="E72" s="825"/>
      <c r="F72" s="825"/>
      <c r="G72" s="1149"/>
      <c r="H72" s="1150"/>
      <c r="I72" s="1151"/>
      <c r="J72" s="1150"/>
    </row>
    <row r="73" spans="1:12" s="1152" customFormat="1" ht="30" hidden="1" customHeight="1">
      <c r="A73" s="1336" t="str">
        <f>+[4]BPU!A156</f>
        <v>409A</v>
      </c>
      <c r="B73" s="1372" t="str">
        <f>+[4]BPU!B156</f>
        <v>Prix 409A - Préfabrication de Pavé Pré peint et pavé décoratif d'embellissemnt du cadre de vie</v>
      </c>
      <c r="C73" s="1360"/>
      <c r="D73" s="1361"/>
      <c r="E73" s="825"/>
      <c r="F73" s="825"/>
      <c r="G73" s="1149"/>
      <c r="H73" s="1150"/>
      <c r="I73" s="1151"/>
      <c r="J73" s="1150"/>
    </row>
    <row r="74" spans="1:12" s="1152" customFormat="1" hidden="1">
      <c r="A74" s="912" t="str">
        <f>+[4]BPU!A157</f>
        <v>409A-1</v>
      </c>
      <c r="B74" s="912" t="str">
        <f>+[4]BPU!B157</f>
        <v>Préfabrication de Pavé pré peint de 11 cm pour la signalisation routière</v>
      </c>
      <c r="C74" s="1360" t="s">
        <v>94</v>
      </c>
      <c r="D74" s="1361"/>
      <c r="E74" s="825">
        <f>+[4]BPU!D157</f>
        <v>14300</v>
      </c>
      <c r="F74" s="825">
        <f t="shared" si="0"/>
        <v>0</v>
      </c>
      <c r="G74" s="1149"/>
      <c r="H74" s="1150"/>
      <c r="I74" s="1151"/>
      <c r="J74" s="1150"/>
    </row>
    <row r="75" spans="1:12" s="1152" customFormat="1" hidden="1">
      <c r="A75" s="912" t="str">
        <f>+[4]BPU!A158</f>
        <v>409A-2</v>
      </c>
      <c r="B75" s="912" t="str">
        <f>+[4]BPU!B158</f>
        <v>Préfabrication de pavé de 8 cm décoratif d'embellissement du cadre de Vie</v>
      </c>
      <c r="C75" s="1360" t="s">
        <v>94</v>
      </c>
      <c r="D75" s="1361"/>
      <c r="E75" s="825">
        <f>+[4]BPU!D158</f>
        <v>12090</v>
      </c>
      <c r="F75" s="825">
        <f t="shared" si="0"/>
        <v>0</v>
      </c>
      <c r="G75" s="1149"/>
      <c r="H75" s="1150"/>
      <c r="I75" s="1151"/>
      <c r="J75" s="1150"/>
    </row>
    <row r="76" spans="1:12" s="1152" customFormat="1" ht="30" hidden="1" customHeight="1">
      <c r="A76" s="1336" t="str">
        <f>+[4]BPU!A159</f>
        <v>409B</v>
      </c>
      <c r="B76" s="1372" t="str">
        <f>+[4]BPU!B159</f>
        <v>Prix 409B - Mise en oeurve  de Pavé Pré peint et Pavé décoratif d'embellissement du cadre de vie</v>
      </c>
      <c r="C76" s="1360"/>
      <c r="D76" s="1361"/>
      <c r="E76" s="825"/>
      <c r="F76" s="825"/>
      <c r="G76" s="1149"/>
      <c r="H76" s="1150"/>
      <c r="I76" s="1151"/>
      <c r="J76" s="1150"/>
    </row>
    <row r="77" spans="1:12" s="1152" customFormat="1" hidden="1">
      <c r="A77" s="912" t="str">
        <f>+[4]BPU!A160</f>
        <v>409B-1</v>
      </c>
      <c r="B77" s="912" t="str">
        <f>+[4]BPU!B160</f>
        <v>Mise en œuvre  de Pavé pré peint de 11 cm pour la signalisation routière</v>
      </c>
      <c r="C77" s="1360" t="s">
        <v>94</v>
      </c>
      <c r="D77" s="1361"/>
      <c r="E77" s="825">
        <f>+[4]BPU!D160</f>
        <v>4900</v>
      </c>
      <c r="F77" s="825">
        <f t="shared" si="0"/>
        <v>0</v>
      </c>
      <c r="G77" s="1149"/>
      <c r="H77" s="1150"/>
      <c r="I77" s="1151"/>
      <c r="J77" s="1150"/>
    </row>
    <row r="78" spans="1:12" s="1152" customFormat="1" hidden="1">
      <c r="A78" s="912" t="str">
        <f>+[4]BPU!A161</f>
        <v>409B-2</v>
      </c>
      <c r="B78" s="912" t="str">
        <f>+[4]BPU!B161</f>
        <v>Mise en œuvre  de pavé de 8 cm  décoratif d'embellissement du cadre de Vie</v>
      </c>
      <c r="C78" s="1360" t="s">
        <v>94</v>
      </c>
      <c r="D78" s="1361"/>
      <c r="E78" s="825">
        <f>+[4]BPU!D161</f>
        <v>3900</v>
      </c>
      <c r="F78" s="825">
        <f t="shared" si="0"/>
        <v>0</v>
      </c>
      <c r="G78" s="1149"/>
      <c r="H78" s="1150"/>
      <c r="I78" s="1151"/>
      <c r="J78" s="1150"/>
    </row>
    <row r="79" spans="1:12" s="1152" customFormat="1" ht="15" hidden="1">
      <c r="A79" s="1344"/>
      <c r="B79" s="912"/>
      <c r="C79" s="1381"/>
      <c r="D79" s="1381"/>
      <c r="E79" s="1382" t="s">
        <v>109</v>
      </c>
      <c r="F79" s="1383">
        <f>SUM(F52:F78)</f>
        <v>0</v>
      </c>
      <c r="G79" s="1149"/>
      <c r="H79" s="1150"/>
      <c r="I79" s="1151"/>
      <c r="J79" s="1150"/>
    </row>
    <row r="80" spans="1:12" s="1146" customFormat="1" ht="15.95" customHeight="1">
      <c r="A80" s="1088"/>
      <c r="B80" s="1387"/>
      <c r="C80" s="1368"/>
      <c r="D80" s="1369"/>
      <c r="E80" s="1388"/>
      <c r="F80" s="1388"/>
      <c r="G80" s="44"/>
      <c r="H80" s="1144"/>
      <c r="I80" s="1145"/>
      <c r="J80" s="1144"/>
      <c r="L80" s="1146">
        <f>5.9/2</f>
        <v>2.95</v>
      </c>
    </row>
    <row r="81" spans="1:14" s="1146" customFormat="1" ht="24.95" customHeight="1">
      <c r="A81" s="1334" t="str">
        <f>+[4]BPU!A166</f>
        <v>PRIX 500 - ASSAINISSEMENT ET DRAINAGE</v>
      </c>
      <c r="B81" s="1334"/>
      <c r="C81" s="1332"/>
      <c r="D81" s="1332"/>
      <c r="E81" s="1333"/>
      <c r="F81" s="1333"/>
      <c r="G81" s="44"/>
      <c r="H81" s="1144"/>
      <c r="I81" s="1145"/>
      <c r="J81" s="1144"/>
      <c r="L81" s="1146">
        <f>2.95*2</f>
        <v>5.9</v>
      </c>
    </row>
    <row r="82" spans="1:14" s="176" customFormat="1">
      <c r="A82" s="1372">
        <f>+[4]BPU!A167</f>
        <v>501</v>
      </c>
      <c r="B82" s="1372" t="str">
        <f>+[4]BPU!B167</f>
        <v xml:space="preserve">Prix 501 - Fouilles en terrain meuble pour ouvrages de drainage </v>
      </c>
      <c r="C82" s="1359"/>
      <c r="D82" s="1342"/>
      <c r="E82" s="825"/>
      <c r="F82" s="1389"/>
      <c r="H82" s="1189"/>
      <c r="I82" s="1190"/>
      <c r="J82" s="1189"/>
      <c r="L82" s="176">
        <v>6.1</v>
      </c>
    </row>
    <row r="83" spans="1:14" s="176" customFormat="1">
      <c r="A83" s="1385"/>
      <c r="B83" s="1385"/>
      <c r="C83" s="1360" t="s">
        <v>95</v>
      </c>
      <c r="D83" s="1361">
        <f>J83</f>
        <v>3753.7500000000005</v>
      </c>
      <c r="E83" s="825" t="e">
        <f>#REF!*1.5</f>
        <v>#REF!</v>
      </c>
      <c r="F83" s="825" t="e">
        <f>+D83*E83</f>
        <v>#REF!</v>
      </c>
      <c r="H83" s="1390">
        <f>+F3*15*3.5</f>
        <v>3412.5</v>
      </c>
      <c r="I83" s="1190">
        <v>1.1000000000000001</v>
      </c>
      <c r="J83" s="1189">
        <f>H83*I83</f>
        <v>3753.7500000000005</v>
      </c>
      <c r="L83" s="176">
        <f>2*9</f>
        <v>18</v>
      </c>
    </row>
    <row r="84" spans="1:14" s="176" customFormat="1">
      <c r="A84" s="1372">
        <f>+[4]BPU!A171</f>
        <v>502</v>
      </c>
      <c r="B84" s="1372" t="str">
        <f>+[4]BPU!B171</f>
        <v>Prix 502 - Remblais de fouilles</v>
      </c>
      <c r="C84" s="1359"/>
      <c r="D84" s="1342"/>
      <c r="E84" s="825"/>
      <c r="F84" s="1389"/>
      <c r="H84" s="1189"/>
      <c r="I84" s="1190"/>
      <c r="J84" s="1189"/>
      <c r="L84" s="176">
        <f>2*2</f>
        <v>4</v>
      </c>
    </row>
    <row r="85" spans="1:14" s="176" customFormat="1">
      <c r="A85" s="1385"/>
      <c r="B85" s="1385"/>
      <c r="C85" s="1360" t="s">
        <v>95</v>
      </c>
      <c r="D85" s="1361">
        <f>J85</f>
        <v>2495.3500000000004</v>
      </c>
      <c r="E85" s="825" t="e">
        <f>+#REF!*1.5</f>
        <v>#REF!</v>
      </c>
      <c r="F85" s="825" t="e">
        <f>+D85*E85</f>
        <v>#REF!</v>
      </c>
      <c r="H85" s="1390">
        <f>+H83-8*F3*(1.6+0.3*2)</f>
        <v>2268.5</v>
      </c>
      <c r="I85" s="1190">
        <v>1.1000000000000001</v>
      </c>
      <c r="J85" s="1189">
        <f>H85*I85</f>
        <v>2495.3500000000004</v>
      </c>
      <c r="L85" s="176">
        <f>2*3</f>
        <v>6</v>
      </c>
    </row>
    <row r="86" spans="1:14" s="1146" customFormat="1" hidden="1">
      <c r="A86" s="1372" t="str">
        <f>+[4]BPU!A173</f>
        <v>503</v>
      </c>
      <c r="B86" s="1372" t="str">
        <f>+[4]BPU!B173</f>
        <v xml:space="preserve">Prix 503 - Béton de propreté C 150 </v>
      </c>
      <c r="C86" s="1359"/>
      <c r="D86" s="1342"/>
      <c r="E86" s="825"/>
      <c r="F86" s="1389"/>
      <c r="G86" s="44"/>
      <c r="H86" s="1144"/>
      <c r="I86" s="1145"/>
      <c r="J86" s="1144"/>
    </row>
    <row r="87" spans="1:14" s="1146" customFormat="1" hidden="1">
      <c r="A87" s="1385"/>
      <c r="B87" s="1385"/>
      <c r="C87" s="1360" t="s">
        <v>95</v>
      </c>
      <c r="D87" s="1361">
        <v>0</v>
      </c>
      <c r="E87" s="825">
        <f>[4]BPU!D174</f>
        <v>98394</v>
      </c>
      <c r="F87" s="825">
        <f>+D87*E87</f>
        <v>0</v>
      </c>
      <c r="G87" s="44"/>
      <c r="H87" s="1144"/>
      <c r="I87" s="1145"/>
      <c r="J87" s="1144"/>
    </row>
    <row r="88" spans="1:14" s="1146" customFormat="1">
      <c r="A88" s="1372" t="str">
        <f>+[4]BPU!A175</f>
        <v>504</v>
      </c>
      <c r="B88" s="1372" t="str">
        <f>+[4]BPU!B175</f>
        <v>Prix 504 - Coffrages</v>
      </c>
      <c r="C88" s="1359"/>
      <c r="D88" s="1342"/>
      <c r="E88" s="825"/>
      <c r="F88" s="1389"/>
      <c r="G88" s="44"/>
      <c r="H88" s="1144"/>
      <c r="I88" s="1145"/>
      <c r="J88" s="1144"/>
    </row>
    <row r="89" spans="1:14" s="1146" customFormat="1">
      <c r="A89" s="1385"/>
      <c r="B89" s="1385"/>
      <c r="C89" s="1360" t="s">
        <v>94</v>
      </c>
      <c r="D89" s="1361">
        <v>104</v>
      </c>
      <c r="E89" s="825" t="e">
        <f>+#REF!*1.5</f>
        <v>#REF!</v>
      </c>
      <c r="F89" s="825" t="e">
        <f>+D89*E89</f>
        <v>#REF!</v>
      </c>
      <c r="G89" s="44"/>
      <c r="H89" s="1144"/>
      <c r="I89" s="1145"/>
      <c r="J89" s="1144">
        <f>6.2+2</f>
        <v>8.1999999999999993</v>
      </c>
      <c r="K89" s="1146">
        <f>2</f>
        <v>2</v>
      </c>
    </row>
    <row r="90" spans="1:14" s="1146" customFormat="1">
      <c r="A90" s="1372">
        <f>+[4]BPU!A177</f>
        <v>505</v>
      </c>
      <c r="B90" s="1372" t="str">
        <f>+[4]BPU!B177</f>
        <v>Prix 505 - Aciers pour les bétons armés des ouvrages</v>
      </c>
      <c r="C90" s="1359"/>
      <c r="D90" s="1342"/>
      <c r="E90" s="825"/>
      <c r="F90" s="1389"/>
      <c r="G90" s="44"/>
      <c r="H90" s="1144"/>
      <c r="I90" s="1145"/>
      <c r="J90" s="1144"/>
      <c r="K90" s="1146">
        <f>J89*K89/2</f>
        <v>8.1999999999999993</v>
      </c>
    </row>
    <row r="91" spans="1:14" s="1146" customFormat="1">
      <c r="A91" s="1385" t="str">
        <f>+[4]BPU!A178</f>
        <v>505-1</v>
      </c>
      <c r="B91" s="1385" t="str">
        <f>+[4]BPU!B178</f>
        <v>le kilogramme d'acier à haute adhérence</v>
      </c>
      <c r="C91" s="1360" t="s">
        <v>14</v>
      </c>
      <c r="D91" s="1361">
        <f>+D95*120</f>
        <v>1920</v>
      </c>
      <c r="E91" s="825" t="e">
        <f>+#REF!*1.5</f>
        <v>#REF!</v>
      </c>
      <c r="F91" s="825" t="e">
        <f>+D91*E91</f>
        <v>#REF!</v>
      </c>
      <c r="G91" s="44"/>
      <c r="H91" s="1144"/>
      <c r="I91" s="1145"/>
      <c r="J91" s="1144"/>
    </row>
    <row r="92" spans="1:14" s="1146" customFormat="1" hidden="1">
      <c r="A92" s="1372">
        <f>+[4]BPU!A180</f>
        <v>506</v>
      </c>
      <c r="B92" s="1372" t="str">
        <f>+[4]BPU!B180</f>
        <v>Prix 506 - Béton de classe B 250</v>
      </c>
      <c r="C92" s="1359"/>
      <c r="D92" s="1342"/>
      <c r="E92" s="825"/>
      <c r="F92" s="1389"/>
      <c r="G92" s="44"/>
      <c r="H92" s="1144"/>
      <c r="I92" s="1145"/>
      <c r="J92" s="1144"/>
      <c r="L92" s="1146">
        <f>0.1+0.25+0.25+0.25+0.1</f>
        <v>0.95</v>
      </c>
    </row>
    <row r="93" spans="1:14" s="1146" customFormat="1" hidden="1">
      <c r="A93" s="1385"/>
      <c r="B93" s="1385"/>
      <c r="C93" s="1360" t="s">
        <v>95</v>
      </c>
      <c r="D93" s="1361">
        <v>0</v>
      </c>
      <c r="E93" s="825">
        <f>[4]BPU!D181</f>
        <v>109505</v>
      </c>
      <c r="F93" s="825">
        <f>+D93*E93</f>
        <v>0</v>
      </c>
      <c r="G93" s="44"/>
      <c r="H93" s="1144"/>
      <c r="I93" s="1145"/>
      <c r="J93" s="1144"/>
      <c r="L93" s="1146">
        <f>1*2+L92</f>
        <v>2.95</v>
      </c>
      <c r="N93" s="1146">
        <f>0.1+0.25+1.8+0.25</f>
        <v>2.4</v>
      </c>
    </row>
    <row r="94" spans="1:14" s="1146" customFormat="1">
      <c r="A94" s="1372">
        <f>+[4]BPU!A182</f>
        <v>507</v>
      </c>
      <c r="B94" s="1372" t="str">
        <f>+[4]BPU!B182</f>
        <v xml:space="preserve">Prix 507 - Béton de classe A 350  pour ouvrages </v>
      </c>
      <c r="C94" s="1359"/>
      <c r="D94" s="1342"/>
      <c r="E94" s="825"/>
      <c r="F94" s="1389"/>
      <c r="G94" s="44"/>
      <c r="H94" s="1144"/>
      <c r="I94" s="1145"/>
      <c r="J94" s="1144"/>
    </row>
    <row r="95" spans="1:14" s="1146" customFormat="1">
      <c r="A95" s="1385"/>
      <c r="B95" s="1385"/>
      <c r="C95" s="1360" t="s">
        <v>95</v>
      </c>
      <c r="D95" s="1361">
        <v>16</v>
      </c>
      <c r="E95" s="825" t="e">
        <f>+#REF!*1.5</f>
        <v>#REF!</v>
      </c>
      <c r="F95" s="825" t="e">
        <f>+D95*E95</f>
        <v>#REF!</v>
      </c>
      <c r="G95" s="44"/>
      <c r="H95" s="1144"/>
      <c r="I95" s="1145"/>
      <c r="J95" s="1144"/>
    </row>
    <row r="96" spans="1:14" s="1146" customFormat="1" ht="25.5" hidden="1">
      <c r="A96" s="1372">
        <f>+[4]BPU!A186</f>
        <v>509</v>
      </c>
      <c r="B96" s="1372" t="str">
        <f>+[4]BPU!B186</f>
        <v>Prix 509 - Dalles de couverture de caniveaux, préfabriqués ou coulés sur place (Portée inférieure ou égale à 1,50 m)</v>
      </c>
      <c r="C96" s="1384"/>
      <c r="D96" s="1348"/>
      <c r="E96" s="825"/>
      <c r="F96" s="825"/>
      <c r="G96" s="44"/>
      <c r="H96" s="1144"/>
      <c r="I96" s="1145"/>
      <c r="J96" s="1144"/>
    </row>
    <row r="97" spans="1:189" s="1146" customFormat="1" hidden="1">
      <c r="A97" s="912" t="str">
        <f>+[4]BPU!A187</f>
        <v>509-1</v>
      </c>
      <c r="B97" s="912" t="str">
        <f>+[4]BPU!B187</f>
        <v xml:space="preserve">dalles de trottoirs </v>
      </c>
      <c r="C97" s="1360" t="s">
        <v>94</v>
      </c>
      <c r="D97" s="1348">
        <v>0</v>
      </c>
      <c r="E97" s="825">
        <f>[4]BPU!D187</f>
        <v>47298</v>
      </c>
      <c r="F97" s="825">
        <f>+D97*E97</f>
        <v>0</v>
      </c>
      <c r="G97" s="44"/>
      <c r="H97" s="1144">
        <f>3%*J33</f>
        <v>31.609500000000001</v>
      </c>
      <c r="I97" s="1145">
        <v>1</v>
      </c>
      <c r="J97" s="1144">
        <f>H97*I97</f>
        <v>31.609500000000001</v>
      </c>
    </row>
    <row r="98" spans="1:189" s="1146" customFormat="1" hidden="1">
      <c r="A98" s="912" t="str">
        <f>+[4]BPU!A188</f>
        <v>509-2</v>
      </c>
      <c r="B98" s="912" t="str">
        <f>+[4]BPU!B188</f>
        <v xml:space="preserve">dalles de rue </v>
      </c>
      <c r="C98" s="1360" t="s">
        <v>94</v>
      </c>
      <c r="D98" s="1348">
        <v>0</v>
      </c>
      <c r="E98" s="825">
        <f>[4]BPU!D188</f>
        <v>62523.75</v>
      </c>
      <c r="F98" s="825">
        <f>+D98*E98</f>
        <v>0</v>
      </c>
      <c r="G98" s="44"/>
      <c r="H98" s="1144">
        <f>0.5%*H33</f>
        <v>105.36500000000001</v>
      </c>
      <c r="I98" s="1145">
        <v>1</v>
      </c>
      <c r="J98" s="1144">
        <f>H98*I98</f>
        <v>105.36500000000001</v>
      </c>
    </row>
    <row r="99" spans="1:189" s="1146" customFormat="1" hidden="1">
      <c r="A99" s="912" t="str">
        <f>+[4]BPU!A189</f>
        <v>509-3</v>
      </c>
      <c r="B99" s="912" t="str">
        <f>+[4]BPU!B189</f>
        <v xml:space="preserve">dalles spéciales B.A sur bouches avaloirs </v>
      </c>
      <c r="C99" s="1360" t="s">
        <v>94</v>
      </c>
      <c r="D99" s="1348">
        <v>0</v>
      </c>
      <c r="E99" s="825">
        <f>[4]BPU!D189</f>
        <v>52900</v>
      </c>
      <c r="F99" s="825">
        <f>+D99*E99</f>
        <v>0</v>
      </c>
      <c r="G99" s="44"/>
      <c r="H99" s="1144">
        <f>10*2</f>
        <v>20</v>
      </c>
      <c r="I99" s="1145"/>
      <c r="J99" s="1144"/>
    </row>
    <row r="100" spans="1:189" s="1146" customFormat="1" hidden="1">
      <c r="A100" s="1372">
        <f>+[4]BPU!A194</f>
        <v>510</v>
      </c>
      <c r="B100" s="1372" t="str">
        <f>+[4]BPU!B194</f>
        <v>Prix 510 - Fourniture, transport et pose de buses en béton armé</v>
      </c>
      <c r="C100" s="1359"/>
      <c r="D100" s="1342"/>
      <c r="E100" s="825"/>
      <c r="F100" s="1389"/>
      <c r="G100" s="44"/>
      <c r="H100" s="1144"/>
      <c r="I100" s="1145"/>
      <c r="J100" s="1144"/>
      <c r="L100" s="1146">
        <f>+(10+7)*2*2</f>
        <v>68</v>
      </c>
    </row>
    <row r="101" spans="1:189" s="1146" customFormat="1" hidden="1">
      <c r="A101" s="1385" t="str">
        <f>+[4]BPU!A198</f>
        <v>510-4</v>
      </c>
      <c r="B101" s="1385" t="str">
        <f>+[4]BPU!B198</f>
        <v>Buses en B.A diamètre 1800 mm</v>
      </c>
      <c r="C101" s="1360" t="s">
        <v>1</v>
      </c>
      <c r="D101" s="1361">
        <v>0</v>
      </c>
      <c r="E101" s="825">
        <f>[4]BPU!D198</f>
        <v>415009</v>
      </c>
      <c r="F101" s="825">
        <f>+D101*E101</f>
        <v>0</v>
      </c>
      <c r="G101" s="44"/>
      <c r="H101" s="1144"/>
      <c r="I101" s="1145"/>
      <c r="J101" s="1144"/>
      <c r="L101" s="1172" t="e">
        <f>+#REF!+#REF!</f>
        <v>#REF!</v>
      </c>
    </row>
    <row r="102" spans="1:189" s="1158" customFormat="1" ht="25.5" hidden="1">
      <c r="A102" s="1372" t="str">
        <f>+[4]BPU!A200</f>
        <v>511</v>
      </c>
      <c r="B102" s="1372" t="str">
        <f>+[4]BPU!B200</f>
        <v>Prix 511 - Caniveaux trottoir en béton Armé y compris les dalles  de trottoir  et de rue</v>
      </c>
      <c r="C102" s="1360"/>
      <c r="D102" s="1361"/>
      <c r="E102" s="825"/>
      <c r="F102" s="825"/>
      <c r="H102" s="1155"/>
      <c r="I102" s="1156"/>
      <c r="J102" s="1155"/>
      <c r="K102" s="1157"/>
      <c r="L102" s="1157"/>
      <c r="M102" s="1157"/>
      <c r="N102" s="1157"/>
      <c r="O102" s="1157"/>
      <c r="P102" s="1157"/>
      <c r="Q102" s="1157"/>
      <c r="R102" s="1157"/>
      <c r="S102" s="1157"/>
      <c r="T102" s="1157"/>
      <c r="U102" s="1157"/>
      <c r="V102" s="1157"/>
      <c r="W102" s="1157"/>
      <c r="X102" s="1157"/>
      <c r="Y102" s="1157"/>
      <c r="Z102" s="1157"/>
      <c r="AA102" s="1157"/>
      <c r="AB102" s="1157"/>
      <c r="AC102" s="1157"/>
      <c r="AD102" s="1157"/>
      <c r="AE102" s="1157"/>
      <c r="AF102" s="1157"/>
      <c r="AG102" s="1157"/>
      <c r="AH102" s="1157"/>
      <c r="AI102" s="1157"/>
      <c r="AJ102" s="1157"/>
      <c r="AK102" s="1157"/>
      <c r="AL102" s="1157"/>
      <c r="AM102" s="1157"/>
      <c r="AN102" s="1157"/>
      <c r="AO102" s="1157"/>
      <c r="AP102" s="1157"/>
      <c r="AQ102" s="1157"/>
      <c r="AR102" s="1157"/>
      <c r="AS102" s="1157"/>
      <c r="AT102" s="1157"/>
      <c r="AU102" s="1157"/>
      <c r="AV102" s="1157"/>
      <c r="AW102" s="1157"/>
      <c r="AX102" s="1157"/>
      <c r="AY102" s="1157"/>
      <c r="AZ102" s="1157"/>
      <c r="BA102" s="1157"/>
      <c r="BB102" s="1157"/>
      <c r="BC102" s="1157"/>
      <c r="BD102" s="1157"/>
      <c r="BE102" s="1157"/>
      <c r="BF102" s="1157"/>
      <c r="BG102" s="1157"/>
      <c r="BH102" s="1157"/>
      <c r="BI102" s="1157"/>
      <c r="BJ102" s="1157"/>
      <c r="BK102" s="1157"/>
      <c r="BL102" s="1157"/>
      <c r="BM102" s="1157"/>
      <c r="BN102" s="1157"/>
      <c r="BO102" s="1157"/>
      <c r="BP102" s="1157"/>
      <c r="BQ102" s="1157"/>
      <c r="BR102" s="1157"/>
      <c r="BS102" s="1157"/>
      <c r="BT102" s="1157"/>
      <c r="BU102" s="1157"/>
      <c r="BV102" s="1157"/>
      <c r="BW102" s="1157"/>
      <c r="BX102" s="1157"/>
      <c r="BY102" s="1157"/>
      <c r="BZ102" s="1157"/>
      <c r="CA102" s="1157"/>
      <c r="CB102" s="1157"/>
      <c r="CC102" s="1157"/>
      <c r="CD102" s="1157"/>
      <c r="CE102" s="1157"/>
      <c r="CF102" s="1157"/>
      <c r="CG102" s="1157"/>
      <c r="CH102" s="1157"/>
      <c r="CI102" s="1157"/>
      <c r="CJ102" s="1157"/>
      <c r="CK102" s="1157"/>
      <c r="CL102" s="1157"/>
      <c r="CM102" s="1157"/>
      <c r="CN102" s="1157"/>
      <c r="CO102" s="1157"/>
      <c r="CP102" s="1157"/>
      <c r="CQ102" s="1157"/>
      <c r="CR102" s="1157"/>
      <c r="CS102" s="1157"/>
      <c r="CT102" s="1157"/>
      <c r="CU102" s="1157"/>
      <c r="CV102" s="1157"/>
      <c r="CW102" s="1157"/>
      <c r="CX102" s="1157"/>
      <c r="CY102" s="1157"/>
      <c r="CZ102" s="1157"/>
      <c r="DA102" s="1157"/>
      <c r="DB102" s="1157"/>
      <c r="DC102" s="1157"/>
      <c r="DD102" s="1157"/>
      <c r="DE102" s="1157"/>
      <c r="DF102" s="1157"/>
      <c r="DG102" s="1157"/>
      <c r="DH102" s="1157"/>
      <c r="DI102" s="1157"/>
      <c r="DJ102" s="1157"/>
      <c r="DK102" s="1157"/>
      <c r="DL102" s="1157"/>
      <c r="DM102" s="1157"/>
      <c r="DN102" s="1157"/>
      <c r="DO102" s="1157"/>
      <c r="DP102" s="1157"/>
      <c r="DQ102" s="1157"/>
      <c r="DR102" s="1157"/>
      <c r="DS102" s="1157"/>
      <c r="DT102" s="1157"/>
      <c r="DU102" s="1157"/>
      <c r="DV102" s="1157"/>
      <c r="DW102" s="1157"/>
      <c r="DX102" s="1157"/>
      <c r="DY102" s="1157"/>
      <c r="DZ102" s="1157"/>
      <c r="EA102" s="1157"/>
      <c r="EB102" s="1157"/>
      <c r="EC102" s="1157"/>
      <c r="ED102" s="1157"/>
      <c r="EE102" s="1157"/>
      <c r="EF102" s="1157"/>
      <c r="EG102" s="1157"/>
      <c r="EH102" s="1157"/>
      <c r="EI102" s="1157"/>
      <c r="EJ102" s="1157"/>
      <c r="EK102" s="1157"/>
      <c r="EL102" s="1157"/>
      <c r="EM102" s="1157"/>
      <c r="EN102" s="1157"/>
      <c r="EO102" s="1157"/>
      <c r="EP102" s="1157"/>
      <c r="EQ102" s="1157"/>
      <c r="ER102" s="1157"/>
      <c r="ES102" s="1157"/>
      <c r="ET102" s="1157"/>
      <c r="EU102" s="1157"/>
      <c r="EV102" s="1157"/>
      <c r="EW102" s="1157"/>
      <c r="EX102" s="1157"/>
      <c r="EY102" s="1157"/>
      <c r="EZ102" s="1157"/>
      <c r="FA102" s="1157"/>
      <c r="FB102" s="1157"/>
      <c r="FC102" s="1157"/>
      <c r="FD102" s="1157"/>
      <c r="FE102" s="1157"/>
      <c r="FF102" s="1157"/>
      <c r="FG102" s="1157"/>
      <c r="FH102" s="1157"/>
      <c r="FI102" s="1157"/>
      <c r="FJ102" s="1157"/>
      <c r="FK102" s="1157"/>
      <c r="FL102" s="1157"/>
      <c r="FM102" s="1157"/>
      <c r="FN102" s="1157"/>
      <c r="FO102" s="1157"/>
      <c r="FP102" s="1157"/>
      <c r="FQ102" s="1157"/>
      <c r="FR102" s="1157"/>
      <c r="FS102" s="1157"/>
      <c r="FT102" s="1157"/>
      <c r="FU102" s="1157"/>
      <c r="FV102" s="1157"/>
      <c r="FW102" s="1157"/>
      <c r="FX102" s="1157"/>
      <c r="FY102" s="1157"/>
      <c r="FZ102" s="1157"/>
      <c r="GA102" s="1157"/>
      <c r="GB102" s="1157"/>
      <c r="GC102" s="1157"/>
      <c r="GD102" s="1157"/>
      <c r="GE102" s="1157"/>
      <c r="GF102" s="1157"/>
      <c r="GG102" s="1157"/>
    </row>
    <row r="103" spans="1:189" s="1158" customFormat="1" hidden="1">
      <c r="A103" s="912" t="str">
        <f>+[4]BPU!A201</f>
        <v>Prix 511-1</v>
      </c>
      <c r="B103" s="912" t="str">
        <f>+[4]BPU!B201</f>
        <v>caniveau trottoir de largeur intérieure 0,60 m et hauteur 0,60 à 0,7 m</v>
      </c>
      <c r="C103" s="1360" t="s">
        <v>1</v>
      </c>
      <c r="D103" s="1361"/>
      <c r="E103" s="825">
        <f>[4]BPU!D201</f>
        <v>95000</v>
      </c>
      <c r="F103" s="825">
        <f t="shared" ref="F103:F109" si="2">+D103*E103</f>
        <v>0</v>
      </c>
      <c r="H103" s="1155" t="e">
        <f>#REF!</f>
        <v>#REF!</v>
      </c>
      <c r="I103" s="1156">
        <v>1.05</v>
      </c>
      <c r="J103" s="1155" t="e">
        <f t="shared" ref="J103:J109" si="3">H103*I103</f>
        <v>#REF!</v>
      </c>
      <c r="K103" s="1157"/>
      <c r="L103" s="1157"/>
      <c r="M103" s="1157"/>
      <c r="N103" s="1157"/>
      <c r="O103" s="1157"/>
      <c r="P103" s="1157"/>
      <c r="Q103" s="1157"/>
      <c r="R103" s="1157"/>
      <c r="S103" s="1157"/>
      <c r="T103" s="1157"/>
      <c r="U103" s="1157"/>
      <c r="V103" s="1157"/>
      <c r="W103" s="1157"/>
      <c r="X103" s="1157"/>
      <c r="Y103" s="1157"/>
      <c r="Z103" s="1157"/>
      <c r="AA103" s="1157"/>
      <c r="AB103" s="1157"/>
      <c r="AC103" s="1157"/>
      <c r="AD103" s="1157"/>
      <c r="AE103" s="1157"/>
      <c r="AF103" s="1157"/>
      <c r="AG103" s="1157"/>
      <c r="AH103" s="1157"/>
      <c r="AI103" s="1157"/>
      <c r="AJ103" s="1157"/>
      <c r="AK103" s="1157"/>
      <c r="AL103" s="1157"/>
      <c r="AM103" s="1157"/>
      <c r="AN103" s="1157"/>
      <c r="AO103" s="1157"/>
      <c r="AP103" s="1157"/>
      <c r="AQ103" s="1157"/>
      <c r="AR103" s="1157"/>
      <c r="AS103" s="1157"/>
      <c r="AT103" s="1157"/>
      <c r="AU103" s="1157"/>
      <c r="AV103" s="1157"/>
      <c r="AW103" s="1157"/>
      <c r="AX103" s="1157"/>
      <c r="AY103" s="1157"/>
      <c r="AZ103" s="1157"/>
      <c r="BA103" s="1157"/>
      <c r="BB103" s="1157"/>
      <c r="BC103" s="1157"/>
      <c r="BD103" s="1157"/>
      <c r="BE103" s="1157"/>
      <c r="BF103" s="1157"/>
      <c r="BG103" s="1157"/>
      <c r="BH103" s="1157"/>
      <c r="BI103" s="1157"/>
      <c r="BJ103" s="1157"/>
      <c r="BK103" s="1157"/>
      <c r="BL103" s="1157"/>
      <c r="BM103" s="1157"/>
      <c r="BN103" s="1157"/>
      <c r="BO103" s="1157"/>
      <c r="BP103" s="1157"/>
      <c r="BQ103" s="1157"/>
      <c r="BR103" s="1157"/>
      <c r="BS103" s="1157"/>
      <c r="BT103" s="1157"/>
      <c r="BU103" s="1157"/>
      <c r="BV103" s="1157"/>
      <c r="BW103" s="1157"/>
      <c r="BX103" s="1157"/>
      <c r="BY103" s="1157"/>
      <c r="BZ103" s="1157"/>
      <c r="CA103" s="1157"/>
      <c r="CB103" s="1157"/>
      <c r="CC103" s="1157"/>
      <c r="CD103" s="1157"/>
      <c r="CE103" s="1157"/>
      <c r="CF103" s="1157"/>
      <c r="CG103" s="1157"/>
      <c r="CH103" s="1157"/>
      <c r="CI103" s="1157"/>
      <c r="CJ103" s="1157"/>
      <c r="CK103" s="1157"/>
      <c r="CL103" s="1157"/>
      <c r="CM103" s="1157"/>
      <c r="CN103" s="1157"/>
      <c r="CO103" s="1157"/>
      <c r="CP103" s="1157"/>
      <c r="CQ103" s="1157"/>
      <c r="CR103" s="1157"/>
      <c r="CS103" s="1157"/>
      <c r="CT103" s="1157"/>
      <c r="CU103" s="1157"/>
      <c r="CV103" s="1157"/>
      <c r="CW103" s="1157"/>
      <c r="CX103" s="1157"/>
      <c r="CY103" s="1157"/>
      <c r="CZ103" s="1157"/>
      <c r="DA103" s="1157"/>
      <c r="DB103" s="1157"/>
      <c r="DC103" s="1157"/>
      <c r="DD103" s="1157"/>
      <c r="DE103" s="1157"/>
      <c r="DF103" s="1157"/>
      <c r="DG103" s="1157"/>
      <c r="DH103" s="1157"/>
      <c r="DI103" s="1157"/>
      <c r="DJ103" s="1157"/>
      <c r="DK103" s="1157"/>
      <c r="DL103" s="1157"/>
      <c r="DM103" s="1157"/>
      <c r="DN103" s="1157"/>
      <c r="DO103" s="1157"/>
      <c r="DP103" s="1157"/>
      <c r="DQ103" s="1157"/>
      <c r="DR103" s="1157"/>
      <c r="DS103" s="1157"/>
      <c r="DT103" s="1157"/>
      <c r="DU103" s="1157"/>
      <c r="DV103" s="1157"/>
      <c r="DW103" s="1157"/>
      <c r="DX103" s="1157"/>
      <c r="DY103" s="1157"/>
      <c r="DZ103" s="1157"/>
      <c r="EA103" s="1157"/>
      <c r="EB103" s="1157"/>
      <c r="EC103" s="1157"/>
      <c r="ED103" s="1157"/>
      <c r="EE103" s="1157"/>
      <c r="EF103" s="1157"/>
      <c r="EG103" s="1157"/>
      <c r="EH103" s="1157"/>
      <c r="EI103" s="1157"/>
      <c r="EJ103" s="1157"/>
      <c r="EK103" s="1157"/>
      <c r="EL103" s="1157"/>
      <c r="EM103" s="1157"/>
      <c r="EN103" s="1157"/>
      <c r="EO103" s="1157"/>
      <c r="EP103" s="1157"/>
      <c r="EQ103" s="1157"/>
      <c r="ER103" s="1157"/>
      <c r="ES103" s="1157"/>
      <c r="ET103" s="1157"/>
      <c r="EU103" s="1157"/>
      <c r="EV103" s="1157"/>
      <c r="EW103" s="1157"/>
      <c r="EX103" s="1157"/>
      <c r="EY103" s="1157"/>
      <c r="EZ103" s="1157"/>
      <c r="FA103" s="1157"/>
      <c r="FB103" s="1157"/>
      <c r="FC103" s="1157"/>
      <c r="FD103" s="1157"/>
      <c r="FE103" s="1157"/>
      <c r="FF103" s="1157"/>
      <c r="FG103" s="1157"/>
      <c r="FH103" s="1157"/>
      <c r="FI103" s="1157"/>
      <c r="FJ103" s="1157"/>
      <c r="FK103" s="1157"/>
      <c r="FL103" s="1157"/>
      <c r="FM103" s="1157"/>
      <c r="FN103" s="1157"/>
      <c r="FO103" s="1157"/>
      <c r="FP103" s="1157"/>
      <c r="FQ103" s="1157"/>
      <c r="FR103" s="1157"/>
      <c r="FS103" s="1157"/>
      <c r="FT103" s="1157"/>
      <c r="FU103" s="1157"/>
      <c r="FV103" s="1157"/>
      <c r="FW103" s="1157"/>
      <c r="FX103" s="1157"/>
      <c r="FY103" s="1157"/>
      <c r="FZ103" s="1157"/>
      <c r="GA103" s="1157"/>
      <c r="GB103" s="1157"/>
      <c r="GC103" s="1157"/>
      <c r="GD103" s="1157"/>
      <c r="GE103" s="1157"/>
      <c r="GF103" s="1157"/>
      <c r="GG103" s="1157"/>
    </row>
    <row r="104" spans="1:189" s="1158" customFormat="1" hidden="1">
      <c r="A104" s="912" t="str">
        <f>+[4]BPU!A202</f>
        <v>Prix 511-2</v>
      </c>
      <c r="B104" s="912" t="str">
        <f>+[4]BPU!B202</f>
        <v>caniveau trottoir de largeur intérieure 0,60 m et hauteur 0,80 à 0,90 m</v>
      </c>
      <c r="C104" s="1360" t="s">
        <v>1</v>
      </c>
      <c r="D104" s="1361"/>
      <c r="E104" s="825">
        <f>[4]BPU!D202</f>
        <v>105000</v>
      </c>
      <c r="F104" s="825">
        <f t="shared" si="2"/>
        <v>0</v>
      </c>
      <c r="H104" s="1155" t="e">
        <f>#REF!</f>
        <v>#REF!</v>
      </c>
      <c r="I104" s="1156">
        <v>1.05</v>
      </c>
      <c r="J104" s="1155" t="e">
        <f t="shared" si="3"/>
        <v>#REF!</v>
      </c>
      <c r="K104" s="1157"/>
      <c r="L104" s="1157"/>
      <c r="M104" s="1157"/>
      <c r="N104" s="1157"/>
      <c r="O104" s="1157"/>
      <c r="P104" s="1157"/>
      <c r="Q104" s="1157"/>
      <c r="R104" s="1157"/>
      <c r="S104" s="1157"/>
      <c r="T104" s="1157"/>
      <c r="U104" s="1157"/>
      <c r="V104" s="1157"/>
      <c r="W104" s="1157"/>
      <c r="X104" s="1157"/>
      <c r="Y104" s="1157"/>
      <c r="Z104" s="1157"/>
      <c r="AA104" s="1157"/>
      <c r="AB104" s="1157"/>
      <c r="AC104" s="1157"/>
      <c r="AD104" s="1157"/>
      <c r="AE104" s="1157"/>
      <c r="AF104" s="1157"/>
      <c r="AG104" s="1157"/>
      <c r="AH104" s="1157"/>
      <c r="AI104" s="1157"/>
      <c r="AJ104" s="1157"/>
      <c r="AK104" s="1157"/>
      <c r="AL104" s="1157"/>
      <c r="AM104" s="1157"/>
      <c r="AN104" s="1157"/>
      <c r="AO104" s="1157"/>
      <c r="AP104" s="1157"/>
      <c r="AQ104" s="1157"/>
      <c r="AR104" s="1157"/>
      <c r="AS104" s="1157"/>
      <c r="AT104" s="1157"/>
      <c r="AU104" s="1157"/>
      <c r="AV104" s="1157"/>
      <c r="AW104" s="1157"/>
      <c r="AX104" s="1157"/>
      <c r="AY104" s="1157"/>
      <c r="AZ104" s="1157"/>
      <c r="BA104" s="1157"/>
      <c r="BB104" s="1157"/>
      <c r="BC104" s="1157"/>
      <c r="BD104" s="1157"/>
      <c r="BE104" s="1157"/>
      <c r="BF104" s="1157"/>
      <c r="BG104" s="1157"/>
      <c r="BH104" s="1157"/>
      <c r="BI104" s="1157"/>
      <c r="BJ104" s="1157"/>
      <c r="BK104" s="1157"/>
      <c r="BL104" s="1157"/>
      <c r="BM104" s="1157"/>
      <c r="BN104" s="1157"/>
      <c r="BO104" s="1157"/>
      <c r="BP104" s="1157"/>
      <c r="BQ104" s="1157"/>
      <c r="BR104" s="1157"/>
      <c r="BS104" s="1157"/>
      <c r="BT104" s="1157"/>
      <c r="BU104" s="1157"/>
      <c r="BV104" s="1157"/>
      <c r="BW104" s="1157"/>
      <c r="BX104" s="1157"/>
      <c r="BY104" s="1157"/>
      <c r="BZ104" s="1157"/>
      <c r="CA104" s="1157"/>
      <c r="CB104" s="1157"/>
      <c r="CC104" s="1157"/>
      <c r="CD104" s="1157"/>
      <c r="CE104" s="1157"/>
      <c r="CF104" s="1157"/>
      <c r="CG104" s="1157"/>
      <c r="CH104" s="1157"/>
      <c r="CI104" s="1157"/>
      <c r="CJ104" s="1157"/>
      <c r="CK104" s="1157"/>
      <c r="CL104" s="1157"/>
      <c r="CM104" s="1157"/>
      <c r="CN104" s="1157"/>
      <c r="CO104" s="1157"/>
      <c r="CP104" s="1157"/>
      <c r="CQ104" s="1157"/>
      <c r="CR104" s="1157"/>
      <c r="CS104" s="1157"/>
      <c r="CT104" s="1157"/>
      <c r="CU104" s="1157"/>
      <c r="CV104" s="1157"/>
      <c r="CW104" s="1157"/>
      <c r="CX104" s="1157"/>
      <c r="CY104" s="1157"/>
      <c r="CZ104" s="1157"/>
      <c r="DA104" s="1157"/>
      <c r="DB104" s="1157"/>
      <c r="DC104" s="1157"/>
      <c r="DD104" s="1157"/>
      <c r="DE104" s="1157"/>
      <c r="DF104" s="1157"/>
      <c r="DG104" s="1157"/>
      <c r="DH104" s="1157"/>
      <c r="DI104" s="1157"/>
      <c r="DJ104" s="1157"/>
      <c r="DK104" s="1157"/>
      <c r="DL104" s="1157"/>
      <c r="DM104" s="1157"/>
      <c r="DN104" s="1157"/>
      <c r="DO104" s="1157"/>
      <c r="DP104" s="1157"/>
      <c r="DQ104" s="1157"/>
      <c r="DR104" s="1157"/>
      <c r="DS104" s="1157"/>
      <c r="DT104" s="1157"/>
      <c r="DU104" s="1157"/>
      <c r="DV104" s="1157"/>
      <c r="DW104" s="1157"/>
      <c r="DX104" s="1157"/>
      <c r="DY104" s="1157"/>
      <c r="DZ104" s="1157"/>
      <c r="EA104" s="1157"/>
      <c r="EB104" s="1157"/>
      <c r="EC104" s="1157"/>
      <c r="ED104" s="1157"/>
      <c r="EE104" s="1157"/>
      <c r="EF104" s="1157"/>
      <c r="EG104" s="1157"/>
      <c r="EH104" s="1157"/>
      <c r="EI104" s="1157"/>
      <c r="EJ104" s="1157"/>
      <c r="EK104" s="1157"/>
      <c r="EL104" s="1157"/>
      <c r="EM104" s="1157"/>
      <c r="EN104" s="1157"/>
      <c r="EO104" s="1157"/>
      <c r="EP104" s="1157"/>
      <c r="EQ104" s="1157"/>
      <c r="ER104" s="1157"/>
      <c r="ES104" s="1157"/>
      <c r="ET104" s="1157"/>
      <c r="EU104" s="1157"/>
      <c r="EV104" s="1157"/>
      <c r="EW104" s="1157"/>
      <c r="EX104" s="1157"/>
      <c r="EY104" s="1157"/>
      <c r="EZ104" s="1157"/>
      <c r="FA104" s="1157"/>
      <c r="FB104" s="1157"/>
      <c r="FC104" s="1157"/>
      <c r="FD104" s="1157"/>
      <c r="FE104" s="1157"/>
      <c r="FF104" s="1157"/>
      <c r="FG104" s="1157"/>
      <c r="FH104" s="1157"/>
      <c r="FI104" s="1157"/>
      <c r="FJ104" s="1157"/>
      <c r="FK104" s="1157"/>
      <c r="FL104" s="1157"/>
      <c r="FM104" s="1157"/>
      <c r="FN104" s="1157"/>
      <c r="FO104" s="1157"/>
      <c r="FP104" s="1157"/>
      <c r="FQ104" s="1157"/>
      <c r="FR104" s="1157"/>
      <c r="FS104" s="1157"/>
      <c r="FT104" s="1157"/>
      <c r="FU104" s="1157"/>
      <c r="FV104" s="1157"/>
      <c r="FW104" s="1157"/>
      <c r="FX104" s="1157"/>
      <c r="FY104" s="1157"/>
      <c r="FZ104" s="1157"/>
      <c r="GA104" s="1157"/>
      <c r="GB104" s="1157"/>
      <c r="GC104" s="1157"/>
      <c r="GD104" s="1157"/>
      <c r="GE104" s="1157"/>
      <c r="GF104" s="1157"/>
      <c r="GG104" s="1157"/>
    </row>
    <row r="105" spans="1:189" s="1174" customFormat="1" hidden="1">
      <c r="A105" s="912" t="str">
        <f>+[4]BPU!A206</f>
        <v>Prix 511-6</v>
      </c>
      <c r="B105" s="912" t="str">
        <f>+[4]BPU!B206</f>
        <v>caniveau trottoir de largeur intérieure 0,8 m et hauteur 0,80 à 0,90 m</v>
      </c>
      <c r="C105" s="1360" t="s">
        <v>1</v>
      </c>
      <c r="D105" s="1361"/>
      <c r="E105" s="825">
        <f>[4]BPU!D206</f>
        <v>110000</v>
      </c>
      <c r="F105" s="825">
        <f t="shared" si="2"/>
        <v>0</v>
      </c>
      <c r="H105" s="1175" t="e">
        <f>#REF!</f>
        <v>#REF!</v>
      </c>
      <c r="I105" s="1176">
        <v>1.05</v>
      </c>
      <c r="J105" s="1175" t="e">
        <f t="shared" si="3"/>
        <v>#REF!</v>
      </c>
    </row>
    <row r="106" spans="1:189" s="1174" customFormat="1" hidden="1">
      <c r="A106" s="912" t="str">
        <f>+[4]BPU!A211</f>
        <v>Prix 511-11</v>
      </c>
      <c r="B106" s="912" t="str">
        <f>+[4]BPU!B211</f>
        <v>caniveau trottoir de largeur intérieure 1,0 m et hauteur 1,00 à 1,20 m</v>
      </c>
      <c r="C106" s="1360" t="s">
        <v>1</v>
      </c>
      <c r="D106" s="1361"/>
      <c r="E106" s="825">
        <f>+[4]BPU!D211</f>
        <v>180250</v>
      </c>
      <c r="F106" s="825">
        <f t="shared" si="2"/>
        <v>0</v>
      </c>
      <c r="H106" s="1175" t="e">
        <f>#REF!</f>
        <v>#REF!</v>
      </c>
      <c r="I106" s="1176">
        <v>1.05</v>
      </c>
      <c r="J106" s="1175" t="e">
        <f t="shared" si="3"/>
        <v>#REF!</v>
      </c>
    </row>
    <row r="107" spans="1:189" s="1174" customFormat="1" hidden="1">
      <c r="A107" s="912" t="str">
        <f>+[4]BPU!A213</f>
        <v>Prix 511-13</v>
      </c>
      <c r="B107" s="912" t="str">
        <f>+[4]BPU!B213</f>
        <v>caniveau trottoir de largeur intérieure 1,2 m et hauteur 0,80 à 0,90 m</v>
      </c>
      <c r="C107" s="1360" t="s">
        <v>1</v>
      </c>
      <c r="D107" s="1361"/>
      <c r="E107" s="825">
        <f>+[4]BPU!D213</f>
        <v>164585</v>
      </c>
      <c r="F107" s="825">
        <f t="shared" si="2"/>
        <v>0</v>
      </c>
      <c r="H107" s="1175" t="e">
        <f>#REF!</f>
        <v>#REF!</v>
      </c>
      <c r="I107" s="1176">
        <v>1.05</v>
      </c>
      <c r="J107" s="1175" t="e">
        <f t="shared" si="3"/>
        <v>#REF!</v>
      </c>
    </row>
    <row r="108" spans="1:189" s="1174" customFormat="1" hidden="1">
      <c r="A108" s="1372" t="str">
        <f>+[4]BPU!A232</f>
        <v xml:space="preserve">Prix 511 bis  </v>
      </c>
      <c r="B108" s="1372" t="str">
        <f>+[4]BPU!B232</f>
        <v>Prix 511 bis - Caniveaux – cadre en béton armé</v>
      </c>
      <c r="C108" s="1360"/>
      <c r="D108" s="1361"/>
      <c r="E108" s="825"/>
      <c r="F108" s="825"/>
      <c r="H108" s="1175"/>
      <c r="I108" s="1176"/>
      <c r="J108" s="1175"/>
    </row>
    <row r="109" spans="1:189" s="1174" customFormat="1" hidden="1">
      <c r="A109" s="912" t="str">
        <f>+[4]BPU!A247</f>
        <v>Prix 511bis-15</v>
      </c>
      <c r="B109" s="912" t="str">
        <f>+[4]BPU!B247</f>
        <v>caniveau cadre de largeur intérieure 2 x 1,0 m et hauteur 1,0 m</v>
      </c>
      <c r="C109" s="1360" t="s">
        <v>1</v>
      </c>
      <c r="D109" s="1361"/>
      <c r="E109" s="825">
        <f>+[4]BPU!D247</f>
        <v>718255.44</v>
      </c>
      <c r="F109" s="825">
        <f t="shared" si="2"/>
        <v>0</v>
      </c>
      <c r="H109" s="1175" t="e">
        <f>#REF!</f>
        <v>#REF!</v>
      </c>
      <c r="I109" s="1176">
        <v>1.05</v>
      </c>
      <c r="J109" s="1175" t="e">
        <f t="shared" si="3"/>
        <v>#REF!</v>
      </c>
    </row>
    <row r="110" spans="1:189" s="1158" customFormat="1" hidden="1">
      <c r="A110" s="912" t="str">
        <f>+[4]BPU!A241</f>
        <v>Prix 511bis-9</v>
      </c>
      <c r="B110" s="912" t="str">
        <f>+[4]BPU!B241</f>
        <v>caniveau cadre de largeur intérieure 1,6 m et hauteur 1,6 m</v>
      </c>
      <c r="C110" s="1360" t="s">
        <v>1</v>
      </c>
      <c r="D110" s="1361"/>
      <c r="E110" s="825">
        <f>[4]BPU!D241</f>
        <v>628432.0560000001</v>
      </c>
      <c r="F110" s="825">
        <f>+D110*E110</f>
        <v>0</v>
      </c>
      <c r="H110" s="1155" t="e">
        <f>#REF!</f>
        <v>#REF!</v>
      </c>
      <c r="I110" s="1156">
        <v>1.05</v>
      </c>
      <c r="J110" s="1155" t="e">
        <f>H110*I110</f>
        <v>#REF!</v>
      </c>
      <c r="K110" s="1157"/>
      <c r="L110" s="1157"/>
      <c r="M110" s="1157"/>
      <c r="N110" s="1157"/>
      <c r="O110" s="1157"/>
      <c r="P110" s="1157"/>
      <c r="Q110" s="1157"/>
      <c r="R110" s="1157"/>
      <c r="S110" s="1157"/>
      <c r="T110" s="1157"/>
      <c r="U110" s="1157"/>
      <c r="V110" s="1157"/>
      <c r="W110" s="1157"/>
      <c r="X110" s="1157"/>
      <c r="Y110" s="1157"/>
      <c r="Z110" s="1157"/>
      <c r="AA110" s="1157"/>
      <c r="AB110" s="1157"/>
      <c r="AC110" s="1157"/>
      <c r="AD110" s="1157"/>
      <c r="AE110" s="1157"/>
      <c r="AF110" s="1157"/>
      <c r="AG110" s="1157"/>
      <c r="AH110" s="1157"/>
      <c r="AI110" s="1157"/>
      <c r="AJ110" s="1157"/>
      <c r="AK110" s="1157"/>
      <c r="AL110" s="1157"/>
      <c r="AM110" s="1157"/>
      <c r="AN110" s="1157"/>
      <c r="AO110" s="1157"/>
      <c r="AP110" s="1157"/>
      <c r="AQ110" s="1157"/>
      <c r="AR110" s="1157"/>
      <c r="AS110" s="1157"/>
      <c r="AT110" s="1157"/>
      <c r="AU110" s="1157"/>
      <c r="AV110" s="1157"/>
      <c r="AW110" s="1157"/>
      <c r="AX110" s="1157"/>
      <c r="AY110" s="1157"/>
      <c r="AZ110" s="1157"/>
      <c r="BA110" s="1157"/>
      <c r="BB110" s="1157"/>
      <c r="BC110" s="1157"/>
      <c r="BD110" s="1157"/>
      <c r="BE110" s="1157"/>
      <c r="BF110" s="1157"/>
      <c r="BG110" s="1157"/>
      <c r="BH110" s="1157"/>
      <c r="BI110" s="1157"/>
      <c r="BJ110" s="1157"/>
      <c r="BK110" s="1157"/>
      <c r="BL110" s="1157"/>
      <c r="BM110" s="1157"/>
      <c r="BN110" s="1157"/>
      <c r="BO110" s="1157"/>
      <c r="BP110" s="1157"/>
      <c r="BQ110" s="1157"/>
      <c r="BR110" s="1157"/>
      <c r="BS110" s="1157"/>
      <c r="BT110" s="1157"/>
      <c r="BU110" s="1157"/>
      <c r="BV110" s="1157"/>
      <c r="BW110" s="1157"/>
      <c r="BX110" s="1157"/>
      <c r="BY110" s="1157"/>
      <c r="BZ110" s="1157"/>
      <c r="CA110" s="1157"/>
      <c r="CB110" s="1157"/>
      <c r="CC110" s="1157"/>
      <c r="CD110" s="1157"/>
      <c r="CE110" s="1157"/>
      <c r="CF110" s="1157"/>
      <c r="CG110" s="1157"/>
      <c r="CH110" s="1157"/>
      <c r="CI110" s="1157"/>
      <c r="CJ110" s="1157"/>
      <c r="CK110" s="1157"/>
      <c r="CL110" s="1157"/>
      <c r="CM110" s="1157"/>
      <c r="CN110" s="1157"/>
      <c r="CO110" s="1157"/>
      <c r="CP110" s="1157"/>
      <c r="CQ110" s="1157"/>
      <c r="CR110" s="1157"/>
      <c r="CS110" s="1157"/>
      <c r="CT110" s="1157"/>
      <c r="CU110" s="1157"/>
      <c r="CV110" s="1157"/>
      <c r="CW110" s="1157"/>
      <c r="CX110" s="1157"/>
      <c r="CY110" s="1157"/>
      <c r="CZ110" s="1157"/>
      <c r="DA110" s="1157"/>
      <c r="DB110" s="1157"/>
      <c r="DC110" s="1157"/>
      <c r="DD110" s="1157"/>
      <c r="DE110" s="1157"/>
      <c r="DF110" s="1157"/>
      <c r="DG110" s="1157"/>
      <c r="DH110" s="1157"/>
      <c r="DI110" s="1157"/>
      <c r="DJ110" s="1157"/>
      <c r="DK110" s="1157"/>
      <c r="DL110" s="1157"/>
      <c r="DM110" s="1157"/>
      <c r="DN110" s="1157"/>
      <c r="DO110" s="1157"/>
      <c r="DP110" s="1157"/>
      <c r="DQ110" s="1157"/>
      <c r="DR110" s="1157"/>
      <c r="DS110" s="1157"/>
      <c r="DT110" s="1157"/>
      <c r="DU110" s="1157"/>
      <c r="DV110" s="1157"/>
      <c r="DW110" s="1157"/>
      <c r="DX110" s="1157"/>
      <c r="DY110" s="1157"/>
      <c r="DZ110" s="1157"/>
      <c r="EA110" s="1157"/>
      <c r="EB110" s="1157"/>
      <c r="EC110" s="1157"/>
      <c r="ED110" s="1157"/>
      <c r="EE110" s="1157"/>
      <c r="EF110" s="1157"/>
      <c r="EG110" s="1157"/>
      <c r="EH110" s="1157"/>
      <c r="EI110" s="1157"/>
      <c r="EJ110" s="1157"/>
      <c r="EK110" s="1157"/>
      <c r="EL110" s="1157"/>
      <c r="EM110" s="1157"/>
      <c r="EN110" s="1157"/>
      <c r="EO110" s="1157"/>
      <c r="EP110" s="1157"/>
      <c r="EQ110" s="1157"/>
      <c r="ER110" s="1157"/>
      <c r="ES110" s="1157"/>
      <c r="ET110" s="1157"/>
      <c r="EU110" s="1157"/>
      <c r="EV110" s="1157"/>
      <c r="EW110" s="1157"/>
      <c r="EX110" s="1157"/>
      <c r="EY110" s="1157"/>
      <c r="EZ110" s="1157"/>
      <c r="FA110" s="1157"/>
      <c r="FB110" s="1157"/>
      <c r="FC110" s="1157"/>
      <c r="FD110" s="1157"/>
      <c r="FE110" s="1157"/>
      <c r="FF110" s="1157"/>
      <c r="FG110" s="1157"/>
      <c r="FH110" s="1157"/>
      <c r="FI110" s="1157"/>
      <c r="FJ110" s="1157"/>
      <c r="FK110" s="1157"/>
      <c r="FL110" s="1157"/>
      <c r="FM110" s="1157"/>
      <c r="FN110" s="1157"/>
      <c r="FO110" s="1157"/>
      <c r="FP110" s="1157"/>
      <c r="FQ110" s="1157"/>
      <c r="FR110" s="1157"/>
      <c r="FS110" s="1157"/>
      <c r="FT110" s="1157"/>
      <c r="FU110" s="1157"/>
      <c r="FV110" s="1157"/>
      <c r="FW110" s="1157"/>
      <c r="FX110" s="1157"/>
      <c r="FY110" s="1157"/>
      <c r="FZ110" s="1157"/>
      <c r="GA110" s="1157"/>
      <c r="GB110" s="1157"/>
      <c r="GC110" s="1157"/>
      <c r="GD110" s="1157"/>
      <c r="GE110" s="1157"/>
      <c r="GF110" s="1157"/>
      <c r="GG110" s="1157"/>
    </row>
    <row r="111" spans="1:189" s="1158" customFormat="1" hidden="1">
      <c r="A111" s="912" t="str">
        <f>+[4]BPU!A265</f>
        <v>Prix 511bis-33</v>
      </c>
      <c r="B111" s="912" t="str">
        <f>+[4]BPU!B265</f>
        <v>caniveau cadre de largeur intérieure 3x1,6 m et hauteur 1,6 m</v>
      </c>
      <c r="C111" s="1360" t="s">
        <v>1</v>
      </c>
      <c r="D111" s="1361"/>
      <c r="E111" s="825">
        <f>+[4]BPU!D265</f>
        <v>1436416.1280000003</v>
      </c>
      <c r="F111" s="825">
        <f>+D111*E111</f>
        <v>0</v>
      </c>
      <c r="H111" s="1155" t="e">
        <f>+#REF!</f>
        <v>#REF!</v>
      </c>
      <c r="I111" s="1156">
        <v>1.05</v>
      </c>
      <c r="J111" s="1155" t="e">
        <f>H111*I111</f>
        <v>#REF!</v>
      </c>
      <c r="K111" s="1157"/>
      <c r="L111" s="1157"/>
      <c r="M111" s="1157"/>
      <c r="N111" s="1157"/>
      <c r="O111" s="1157"/>
      <c r="P111" s="1157"/>
      <c r="Q111" s="1157"/>
      <c r="R111" s="1157"/>
      <c r="S111" s="1157"/>
      <c r="T111" s="1157"/>
      <c r="U111" s="1157"/>
      <c r="V111" s="1157"/>
      <c r="W111" s="1157"/>
      <c r="X111" s="1157"/>
      <c r="Y111" s="1157"/>
      <c r="Z111" s="1157"/>
      <c r="AA111" s="1157"/>
      <c r="AB111" s="1157"/>
      <c r="AC111" s="1157"/>
      <c r="AD111" s="1157"/>
      <c r="AE111" s="1157"/>
      <c r="AF111" s="1157"/>
      <c r="AG111" s="1157"/>
      <c r="AH111" s="1157"/>
      <c r="AI111" s="1157"/>
      <c r="AJ111" s="1157"/>
      <c r="AK111" s="1157"/>
      <c r="AL111" s="1157"/>
      <c r="AM111" s="1157"/>
      <c r="AN111" s="1157"/>
      <c r="AO111" s="1157"/>
      <c r="AP111" s="1157"/>
      <c r="AQ111" s="1157"/>
      <c r="AR111" s="1157"/>
      <c r="AS111" s="1157"/>
      <c r="AT111" s="1157"/>
      <c r="AU111" s="1157"/>
      <c r="AV111" s="1157"/>
      <c r="AW111" s="1157"/>
      <c r="AX111" s="1157"/>
      <c r="AY111" s="1157"/>
      <c r="AZ111" s="1157"/>
      <c r="BA111" s="1157"/>
      <c r="BB111" s="1157"/>
      <c r="BC111" s="1157"/>
      <c r="BD111" s="1157"/>
      <c r="BE111" s="1157"/>
      <c r="BF111" s="1157"/>
      <c r="BG111" s="1157"/>
      <c r="BH111" s="1157"/>
      <c r="BI111" s="1157"/>
      <c r="BJ111" s="1157"/>
      <c r="BK111" s="1157"/>
      <c r="BL111" s="1157"/>
      <c r="BM111" s="1157"/>
      <c r="BN111" s="1157"/>
      <c r="BO111" s="1157"/>
      <c r="BP111" s="1157"/>
      <c r="BQ111" s="1157"/>
      <c r="BR111" s="1157"/>
      <c r="BS111" s="1157"/>
      <c r="BT111" s="1157"/>
      <c r="BU111" s="1157"/>
      <c r="BV111" s="1157"/>
      <c r="BW111" s="1157"/>
      <c r="BX111" s="1157"/>
      <c r="BY111" s="1157"/>
      <c r="BZ111" s="1157"/>
      <c r="CA111" s="1157"/>
      <c r="CB111" s="1157"/>
      <c r="CC111" s="1157"/>
      <c r="CD111" s="1157"/>
      <c r="CE111" s="1157"/>
      <c r="CF111" s="1157"/>
      <c r="CG111" s="1157"/>
      <c r="CH111" s="1157"/>
      <c r="CI111" s="1157"/>
      <c r="CJ111" s="1157"/>
      <c r="CK111" s="1157"/>
      <c r="CL111" s="1157"/>
      <c r="CM111" s="1157"/>
      <c r="CN111" s="1157"/>
      <c r="CO111" s="1157"/>
      <c r="CP111" s="1157"/>
      <c r="CQ111" s="1157"/>
      <c r="CR111" s="1157"/>
      <c r="CS111" s="1157"/>
      <c r="CT111" s="1157"/>
      <c r="CU111" s="1157"/>
      <c r="CV111" s="1157"/>
      <c r="CW111" s="1157"/>
      <c r="CX111" s="1157"/>
      <c r="CY111" s="1157"/>
      <c r="CZ111" s="1157"/>
      <c r="DA111" s="1157"/>
      <c r="DB111" s="1157"/>
      <c r="DC111" s="1157"/>
      <c r="DD111" s="1157"/>
      <c r="DE111" s="1157"/>
      <c r="DF111" s="1157"/>
      <c r="DG111" s="1157"/>
      <c r="DH111" s="1157"/>
      <c r="DI111" s="1157"/>
      <c r="DJ111" s="1157"/>
      <c r="DK111" s="1157"/>
      <c r="DL111" s="1157"/>
      <c r="DM111" s="1157"/>
      <c r="DN111" s="1157"/>
      <c r="DO111" s="1157"/>
      <c r="DP111" s="1157"/>
      <c r="DQ111" s="1157"/>
      <c r="DR111" s="1157"/>
      <c r="DS111" s="1157"/>
      <c r="DT111" s="1157"/>
      <c r="DU111" s="1157"/>
      <c r="DV111" s="1157"/>
      <c r="DW111" s="1157"/>
      <c r="DX111" s="1157"/>
      <c r="DY111" s="1157"/>
      <c r="DZ111" s="1157"/>
      <c r="EA111" s="1157"/>
      <c r="EB111" s="1157"/>
      <c r="EC111" s="1157"/>
      <c r="ED111" s="1157"/>
      <c r="EE111" s="1157"/>
      <c r="EF111" s="1157"/>
      <c r="EG111" s="1157"/>
      <c r="EH111" s="1157"/>
      <c r="EI111" s="1157"/>
      <c r="EJ111" s="1157"/>
      <c r="EK111" s="1157"/>
      <c r="EL111" s="1157"/>
      <c r="EM111" s="1157"/>
      <c r="EN111" s="1157"/>
      <c r="EO111" s="1157"/>
      <c r="EP111" s="1157"/>
      <c r="EQ111" s="1157"/>
      <c r="ER111" s="1157"/>
      <c r="ES111" s="1157"/>
      <c r="ET111" s="1157"/>
      <c r="EU111" s="1157"/>
      <c r="EV111" s="1157"/>
      <c r="EW111" s="1157"/>
      <c r="EX111" s="1157"/>
      <c r="EY111" s="1157"/>
      <c r="EZ111" s="1157"/>
      <c r="FA111" s="1157"/>
      <c r="FB111" s="1157"/>
      <c r="FC111" s="1157"/>
      <c r="FD111" s="1157"/>
      <c r="FE111" s="1157"/>
      <c r="FF111" s="1157"/>
      <c r="FG111" s="1157"/>
      <c r="FH111" s="1157"/>
      <c r="FI111" s="1157"/>
      <c r="FJ111" s="1157"/>
      <c r="FK111" s="1157"/>
      <c r="FL111" s="1157"/>
      <c r="FM111" s="1157"/>
      <c r="FN111" s="1157"/>
      <c r="FO111" s="1157"/>
      <c r="FP111" s="1157"/>
      <c r="FQ111" s="1157"/>
      <c r="FR111" s="1157"/>
      <c r="FS111" s="1157"/>
      <c r="FT111" s="1157"/>
      <c r="FU111" s="1157"/>
      <c r="FV111" s="1157"/>
      <c r="FW111" s="1157"/>
      <c r="FX111" s="1157"/>
      <c r="FY111" s="1157"/>
      <c r="FZ111" s="1157"/>
      <c r="GA111" s="1157"/>
      <c r="GB111" s="1157"/>
      <c r="GC111" s="1157"/>
      <c r="GD111" s="1157"/>
      <c r="GE111" s="1157"/>
      <c r="GF111" s="1157"/>
      <c r="GG111" s="1157"/>
    </row>
    <row r="112" spans="1:189" s="1158" customFormat="1">
      <c r="A112" s="912" t="str">
        <f>+[4]BPU!A275</f>
        <v>Prix 511bis-43</v>
      </c>
      <c r="B112" s="912" t="str">
        <f>+[4]BPU!B275</f>
        <v>caniveau cadre de largeur intérieure 5x1,6 m et hauteur 1,6 m</v>
      </c>
      <c r="C112" s="1360" t="s">
        <v>1</v>
      </c>
      <c r="D112" s="1361">
        <f>+J112</f>
        <v>65</v>
      </c>
      <c r="E112" s="825">
        <f>+'Bd Marina'!I8</f>
        <v>3501280</v>
      </c>
      <c r="F112" s="825">
        <f>+D112*E112</f>
        <v>227583200</v>
      </c>
      <c r="H112" s="1155">
        <f>+F3</f>
        <v>65</v>
      </c>
      <c r="I112" s="1156">
        <v>1</v>
      </c>
      <c r="J112" s="1155">
        <f>H112*I112</f>
        <v>65</v>
      </c>
      <c r="K112" s="1157"/>
      <c r="L112" s="1157"/>
      <c r="M112" s="1157"/>
      <c r="N112" s="1157"/>
      <c r="O112" s="1157"/>
      <c r="P112" s="1157"/>
      <c r="Q112" s="1157"/>
      <c r="R112" s="1157"/>
      <c r="S112" s="1157"/>
      <c r="T112" s="1157"/>
      <c r="U112" s="1157"/>
      <c r="V112" s="1157"/>
      <c r="W112" s="1157"/>
      <c r="X112" s="1157"/>
      <c r="Y112" s="1157"/>
      <c r="Z112" s="1157"/>
      <c r="AA112" s="1157"/>
      <c r="AB112" s="1157"/>
      <c r="AC112" s="1157"/>
      <c r="AD112" s="1157"/>
      <c r="AE112" s="1157"/>
      <c r="AF112" s="1157"/>
      <c r="AG112" s="1157"/>
      <c r="AH112" s="1157"/>
      <c r="AI112" s="1157"/>
      <c r="AJ112" s="1157"/>
      <c r="AK112" s="1157"/>
      <c r="AL112" s="1157"/>
      <c r="AM112" s="1157"/>
      <c r="AN112" s="1157"/>
      <c r="AO112" s="1157"/>
      <c r="AP112" s="1157"/>
      <c r="AQ112" s="1157"/>
      <c r="AR112" s="1157"/>
      <c r="AS112" s="1157"/>
      <c r="AT112" s="1157"/>
      <c r="AU112" s="1157"/>
      <c r="AV112" s="1157"/>
      <c r="AW112" s="1157"/>
      <c r="AX112" s="1157"/>
      <c r="AY112" s="1157"/>
      <c r="AZ112" s="1157"/>
      <c r="BA112" s="1157"/>
      <c r="BB112" s="1157"/>
      <c r="BC112" s="1157"/>
      <c r="BD112" s="1157"/>
      <c r="BE112" s="1157"/>
      <c r="BF112" s="1157"/>
      <c r="BG112" s="1157"/>
      <c r="BH112" s="1157"/>
      <c r="BI112" s="1157"/>
      <c r="BJ112" s="1157"/>
      <c r="BK112" s="1157"/>
      <c r="BL112" s="1157"/>
      <c r="BM112" s="1157"/>
      <c r="BN112" s="1157"/>
      <c r="BO112" s="1157"/>
      <c r="BP112" s="1157"/>
      <c r="BQ112" s="1157"/>
      <c r="BR112" s="1157"/>
      <c r="BS112" s="1157"/>
      <c r="BT112" s="1157"/>
      <c r="BU112" s="1157"/>
      <c r="BV112" s="1157"/>
      <c r="BW112" s="1157"/>
      <c r="BX112" s="1157"/>
      <c r="BY112" s="1157"/>
      <c r="BZ112" s="1157"/>
      <c r="CA112" s="1157"/>
      <c r="CB112" s="1157"/>
      <c r="CC112" s="1157"/>
      <c r="CD112" s="1157"/>
      <c r="CE112" s="1157"/>
      <c r="CF112" s="1157"/>
      <c r="CG112" s="1157"/>
      <c r="CH112" s="1157"/>
      <c r="CI112" s="1157"/>
      <c r="CJ112" s="1157"/>
      <c r="CK112" s="1157"/>
      <c r="CL112" s="1157"/>
      <c r="CM112" s="1157"/>
      <c r="CN112" s="1157"/>
      <c r="CO112" s="1157"/>
      <c r="CP112" s="1157"/>
      <c r="CQ112" s="1157"/>
      <c r="CR112" s="1157"/>
      <c r="CS112" s="1157"/>
      <c r="CT112" s="1157"/>
      <c r="CU112" s="1157"/>
      <c r="CV112" s="1157"/>
      <c r="CW112" s="1157"/>
      <c r="CX112" s="1157"/>
      <c r="CY112" s="1157"/>
      <c r="CZ112" s="1157"/>
      <c r="DA112" s="1157"/>
      <c r="DB112" s="1157"/>
      <c r="DC112" s="1157"/>
      <c r="DD112" s="1157"/>
      <c r="DE112" s="1157"/>
      <c r="DF112" s="1157"/>
      <c r="DG112" s="1157"/>
      <c r="DH112" s="1157"/>
      <c r="DI112" s="1157"/>
      <c r="DJ112" s="1157"/>
      <c r="DK112" s="1157"/>
      <c r="DL112" s="1157"/>
      <c r="DM112" s="1157"/>
      <c r="DN112" s="1157"/>
      <c r="DO112" s="1157"/>
      <c r="DP112" s="1157"/>
      <c r="DQ112" s="1157"/>
      <c r="DR112" s="1157"/>
      <c r="DS112" s="1157"/>
      <c r="DT112" s="1157"/>
      <c r="DU112" s="1157"/>
      <c r="DV112" s="1157"/>
      <c r="DW112" s="1157"/>
      <c r="DX112" s="1157"/>
      <c r="DY112" s="1157"/>
      <c r="DZ112" s="1157"/>
      <c r="EA112" s="1157"/>
      <c r="EB112" s="1157"/>
      <c r="EC112" s="1157"/>
      <c r="ED112" s="1157"/>
      <c r="EE112" s="1157"/>
      <c r="EF112" s="1157"/>
      <c r="EG112" s="1157"/>
      <c r="EH112" s="1157"/>
      <c r="EI112" s="1157"/>
      <c r="EJ112" s="1157"/>
      <c r="EK112" s="1157"/>
      <c r="EL112" s="1157"/>
      <c r="EM112" s="1157"/>
      <c r="EN112" s="1157"/>
      <c r="EO112" s="1157"/>
      <c r="EP112" s="1157"/>
      <c r="EQ112" s="1157"/>
      <c r="ER112" s="1157"/>
      <c r="ES112" s="1157"/>
      <c r="ET112" s="1157"/>
      <c r="EU112" s="1157"/>
      <c r="EV112" s="1157"/>
      <c r="EW112" s="1157"/>
      <c r="EX112" s="1157"/>
      <c r="EY112" s="1157"/>
      <c r="EZ112" s="1157"/>
      <c r="FA112" s="1157"/>
      <c r="FB112" s="1157"/>
      <c r="FC112" s="1157"/>
      <c r="FD112" s="1157"/>
      <c r="FE112" s="1157"/>
      <c r="FF112" s="1157"/>
      <c r="FG112" s="1157"/>
      <c r="FH112" s="1157"/>
      <c r="FI112" s="1157"/>
      <c r="FJ112" s="1157"/>
      <c r="FK112" s="1157"/>
      <c r="FL112" s="1157"/>
      <c r="FM112" s="1157"/>
      <c r="FN112" s="1157"/>
      <c r="FO112" s="1157"/>
      <c r="FP112" s="1157"/>
      <c r="FQ112" s="1157"/>
      <c r="FR112" s="1157"/>
      <c r="FS112" s="1157"/>
      <c r="FT112" s="1157"/>
      <c r="FU112" s="1157"/>
      <c r="FV112" s="1157"/>
      <c r="FW112" s="1157"/>
      <c r="FX112" s="1157"/>
      <c r="FY112" s="1157"/>
      <c r="FZ112" s="1157"/>
      <c r="GA112" s="1157"/>
      <c r="GB112" s="1157"/>
      <c r="GC112" s="1157"/>
      <c r="GD112" s="1157"/>
      <c r="GE112" s="1157"/>
      <c r="GF112" s="1157"/>
      <c r="GG112" s="1157"/>
    </row>
    <row r="113" spans="1:189" s="1158" customFormat="1" hidden="1">
      <c r="A113" s="1167"/>
      <c r="B113" s="1159"/>
      <c r="C113" s="703"/>
      <c r="D113" s="759"/>
      <c r="E113" s="650"/>
      <c r="F113" s="650"/>
      <c r="H113" s="1155"/>
      <c r="I113" s="1156"/>
      <c r="J113" s="1155"/>
      <c r="K113" s="1157"/>
      <c r="L113" s="1157"/>
      <c r="M113" s="1157"/>
      <c r="N113" s="1157"/>
      <c r="O113" s="1157"/>
      <c r="P113" s="1157"/>
      <c r="Q113" s="1157"/>
      <c r="R113" s="1157"/>
      <c r="S113" s="1157"/>
      <c r="T113" s="1157"/>
      <c r="U113" s="1157"/>
      <c r="V113" s="1157"/>
      <c r="W113" s="1157"/>
      <c r="X113" s="1157"/>
      <c r="Y113" s="1157"/>
      <c r="Z113" s="1157"/>
      <c r="AA113" s="1157"/>
      <c r="AB113" s="1157"/>
      <c r="AC113" s="1157"/>
      <c r="AD113" s="1157"/>
      <c r="AE113" s="1157"/>
      <c r="AF113" s="1157"/>
      <c r="AG113" s="1157"/>
      <c r="AH113" s="1157"/>
      <c r="AI113" s="1157"/>
      <c r="AJ113" s="1157"/>
      <c r="AK113" s="1157"/>
      <c r="AL113" s="1157"/>
      <c r="AM113" s="1157"/>
      <c r="AN113" s="1157"/>
      <c r="AO113" s="1157"/>
      <c r="AP113" s="1157"/>
      <c r="AQ113" s="1157"/>
      <c r="AR113" s="1157"/>
      <c r="AS113" s="1157"/>
      <c r="AT113" s="1157"/>
      <c r="AU113" s="1157"/>
      <c r="AV113" s="1157"/>
      <c r="AW113" s="1157"/>
      <c r="AX113" s="1157"/>
      <c r="AY113" s="1157"/>
      <c r="AZ113" s="1157"/>
      <c r="BA113" s="1157"/>
      <c r="BB113" s="1157"/>
      <c r="BC113" s="1157"/>
      <c r="BD113" s="1157"/>
      <c r="BE113" s="1157"/>
      <c r="BF113" s="1157"/>
      <c r="BG113" s="1157"/>
      <c r="BH113" s="1157"/>
      <c r="BI113" s="1157"/>
      <c r="BJ113" s="1157"/>
      <c r="BK113" s="1157"/>
      <c r="BL113" s="1157"/>
      <c r="BM113" s="1157"/>
      <c r="BN113" s="1157"/>
      <c r="BO113" s="1157"/>
      <c r="BP113" s="1157"/>
      <c r="BQ113" s="1157"/>
      <c r="BR113" s="1157"/>
      <c r="BS113" s="1157"/>
      <c r="BT113" s="1157"/>
      <c r="BU113" s="1157"/>
      <c r="BV113" s="1157"/>
      <c r="BW113" s="1157"/>
      <c r="BX113" s="1157"/>
      <c r="BY113" s="1157"/>
      <c r="BZ113" s="1157"/>
      <c r="CA113" s="1157"/>
      <c r="CB113" s="1157"/>
      <c r="CC113" s="1157"/>
      <c r="CD113" s="1157"/>
      <c r="CE113" s="1157"/>
      <c r="CF113" s="1157"/>
      <c r="CG113" s="1157"/>
      <c r="CH113" s="1157"/>
      <c r="CI113" s="1157"/>
      <c r="CJ113" s="1157"/>
      <c r="CK113" s="1157"/>
      <c r="CL113" s="1157"/>
      <c r="CM113" s="1157"/>
      <c r="CN113" s="1157"/>
      <c r="CO113" s="1157"/>
      <c r="CP113" s="1157"/>
      <c r="CQ113" s="1157"/>
      <c r="CR113" s="1157"/>
      <c r="CS113" s="1157"/>
      <c r="CT113" s="1157"/>
      <c r="CU113" s="1157"/>
      <c r="CV113" s="1157"/>
      <c r="CW113" s="1157"/>
      <c r="CX113" s="1157"/>
      <c r="CY113" s="1157"/>
      <c r="CZ113" s="1157"/>
      <c r="DA113" s="1157"/>
      <c r="DB113" s="1157"/>
      <c r="DC113" s="1157"/>
      <c r="DD113" s="1157"/>
      <c r="DE113" s="1157"/>
      <c r="DF113" s="1157"/>
      <c r="DG113" s="1157"/>
      <c r="DH113" s="1157"/>
      <c r="DI113" s="1157"/>
      <c r="DJ113" s="1157"/>
      <c r="DK113" s="1157"/>
      <c r="DL113" s="1157"/>
      <c r="DM113" s="1157"/>
      <c r="DN113" s="1157"/>
      <c r="DO113" s="1157"/>
      <c r="DP113" s="1157"/>
      <c r="DQ113" s="1157"/>
      <c r="DR113" s="1157"/>
      <c r="DS113" s="1157"/>
      <c r="DT113" s="1157"/>
      <c r="DU113" s="1157"/>
      <c r="DV113" s="1157"/>
      <c r="DW113" s="1157"/>
      <c r="DX113" s="1157"/>
      <c r="DY113" s="1157"/>
      <c r="DZ113" s="1157"/>
      <c r="EA113" s="1157"/>
      <c r="EB113" s="1157"/>
      <c r="EC113" s="1157"/>
      <c r="ED113" s="1157"/>
      <c r="EE113" s="1157"/>
      <c r="EF113" s="1157"/>
      <c r="EG113" s="1157"/>
      <c r="EH113" s="1157"/>
      <c r="EI113" s="1157"/>
      <c r="EJ113" s="1157"/>
      <c r="EK113" s="1157"/>
      <c r="EL113" s="1157"/>
      <c r="EM113" s="1157"/>
      <c r="EN113" s="1157"/>
      <c r="EO113" s="1157"/>
      <c r="EP113" s="1157"/>
      <c r="EQ113" s="1157"/>
      <c r="ER113" s="1157"/>
      <c r="ES113" s="1157"/>
      <c r="ET113" s="1157"/>
      <c r="EU113" s="1157"/>
      <c r="EV113" s="1157"/>
      <c r="EW113" s="1157"/>
      <c r="EX113" s="1157"/>
      <c r="EY113" s="1157"/>
      <c r="EZ113" s="1157"/>
      <c r="FA113" s="1157"/>
      <c r="FB113" s="1157"/>
      <c r="FC113" s="1157"/>
      <c r="FD113" s="1157"/>
      <c r="FE113" s="1157"/>
      <c r="FF113" s="1157"/>
      <c r="FG113" s="1157"/>
      <c r="FH113" s="1157"/>
      <c r="FI113" s="1157"/>
      <c r="FJ113" s="1157"/>
      <c r="FK113" s="1157"/>
      <c r="FL113" s="1157"/>
      <c r="FM113" s="1157"/>
      <c r="FN113" s="1157"/>
      <c r="FO113" s="1157"/>
      <c r="FP113" s="1157"/>
      <c r="FQ113" s="1157"/>
      <c r="FR113" s="1157"/>
      <c r="FS113" s="1157"/>
      <c r="FT113" s="1157"/>
      <c r="FU113" s="1157"/>
      <c r="FV113" s="1157"/>
      <c r="FW113" s="1157"/>
      <c r="FX113" s="1157"/>
      <c r="FY113" s="1157"/>
      <c r="FZ113" s="1157"/>
      <c r="GA113" s="1157"/>
      <c r="GB113" s="1157"/>
      <c r="GC113" s="1157"/>
      <c r="GD113" s="1157"/>
      <c r="GE113" s="1157"/>
      <c r="GF113" s="1157"/>
      <c r="GG113" s="1157"/>
    </row>
    <row r="114" spans="1:189" s="1178" customFormat="1" hidden="1">
      <c r="A114" s="1170">
        <f>+[4]BPU!A291</f>
        <v>512</v>
      </c>
      <c r="B114" s="1168" t="str">
        <f>+[4]BPU!B291</f>
        <v>Prix 512  - construction de Dalots en béton armé</v>
      </c>
      <c r="C114" s="703"/>
      <c r="D114" s="759"/>
      <c r="E114" s="650"/>
      <c r="F114" s="650"/>
      <c r="G114" s="1158"/>
      <c r="H114" s="1155"/>
      <c r="I114" s="1156"/>
      <c r="J114" s="1155"/>
      <c r="K114" s="1177"/>
      <c r="L114" s="1177"/>
      <c r="M114" s="1177"/>
      <c r="N114" s="1177"/>
      <c r="O114" s="1177"/>
      <c r="P114" s="1177"/>
      <c r="Q114" s="1177"/>
      <c r="R114" s="1177"/>
      <c r="S114" s="1177"/>
      <c r="T114" s="1177"/>
      <c r="U114" s="1177"/>
      <c r="V114" s="1177"/>
      <c r="W114" s="1177"/>
      <c r="X114" s="1177"/>
      <c r="Y114" s="1177"/>
      <c r="Z114" s="1177"/>
      <c r="AA114" s="1177"/>
      <c r="AB114" s="1177"/>
      <c r="AC114" s="1177"/>
      <c r="AD114" s="1177"/>
      <c r="AE114" s="1177"/>
      <c r="AF114" s="1177"/>
      <c r="AG114" s="1177"/>
      <c r="AH114" s="1177"/>
      <c r="AI114" s="1177"/>
      <c r="AJ114" s="1177"/>
      <c r="AK114" s="1177"/>
      <c r="AL114" s="1177"/>
      <c r="AM114" s="1177"/>
      <c r="AN114" s="1177"/>
      <c r="AO114" s="1177"/>
      <c r="AP114" s="1177"/>
      <c r="AQ114" s="1177"/>
      <c r="AR114" s="1177"/>
      <c r="AS114" s="1177"/>
      <c r="AT114" s="1177"/>
      <c r="AU114" s="1177"/>
      <c r="AV114" s="1177"/>
      <c r="AW114" s="1177"/>
      <c r="AX114" s="1177"/>
      <c r="AY114" s="1177"/>
      <c r="AZ114" s="1177"/>
      <c r="BA114" s="1177"/>
      <c r="BB114" s="1177"/>
      <c r="BC114" s="1177"/>
      <c r="BD114" s="1177"/>
      <c r="BE114" s="1177"/>
      <c r="BF114" s="1177"/>
      <c r="BG114" s="1177"/>
      <c r="BH114" s="1177"/>
      <c r="BI114" s="1177"/>
      <c r="BJ114" s="1177"/>
      <c r="BK114" s="1177"/>
      <c r="BL114" s="1177"/>
      <c r="BM114" s="1177"/>
      <c r="BN114" s="1177"/>
      <c r="BO114" s="1177"/>
      <c r="BP114" s="1177"/>
      <c r="BQ114" s="1177"/>
      <c r="BR114" s="1177"/>
      <c r="BS114" s="1177"/>
      <c r="BT114" s="1177"/>
      <c r="BU114" s="1177"/>
      <c r="BV114" s="1177"/>
      <c r="BW114" s="1177"/>
      <c r="BX114" s="1177"/>
      <c r="BY114" s="1177"/>
      <c r="BZ114" s="1177"/>
      <c r="CA114" s="1177"/>
      <c r="CB114" s="1177"/>
      <c r="CC114" s="1177"/>
      <c r="CD114" s="1177"/>
      <c r="CE114" s="1177"/>
      <c r="CF114" s="1177"/>
      <c r="CG114" s="1177"/>
      <c r="CH114" s="1177"/>
      <c r="CI114" s="1177"/>
      <c r="CJ114" s="1177"/>
      <c r="CK114" s="1177"/>
      <c r="CL114" s="1177"/>
      <c r="CM114" s="1177"/>
      <c r="CN114" s="1177"/>
      <c r="CO114" s="1177"/>
      <c r="CP114" s="1177"/>
      <c r="CQ114" s="1177"/>
      <c r="CR114" s="1177"/>
      <c r="CS114" s="1177"/>
      <c r="CT114" s="1177"/>
      <c r="CU114" s="1177"/>
      <c r="CV114" s="1177"/>
      <c r="CW114" s="1177"/>
      <c r="CX114" s="1177"/>
      <c r="CY114" s="1177"/>
      <c r="CZ114" s="1177"/>
      <c r="DA114" s="1177"/>
      <c r="DB114" s="1177"/>
      <c r="DC114" s="1177"/>
      <c r="DD114" s="1177"/>
      <c r="DE114" s="1177"/>
      <c r="DF114" s="1177"/>
      <c r="DG114" s="1177"/>
      <c r="DH114" s="1177"/>
      <c r="DI114" s="1177"/>
      <c r="DJ114" s="1177"/>
      <c r="DK114" s="1177"/>
      <c r="DL114" s="1177"/>
      <c r="DM114" s="1177"/>
      <c r="DN114" s="1177"/>
      <c r="DO114" s="1177"/>
      <c r="DP114" s="1177"/>
      <c r="DQ114" s="1177"/>
      <c r="DR114" s="1177"/>
      <c r="DS114" s="1177"/>
      <c r="DT114" s="1177"/>
      <c r="DU114" s="1177"/>
      <c r="DV114" s="1177"/>
      <c r="DW114" s="1177"/>
      <c r="DX114" s="1177"/>
      <c r="DY114" s="1177"/>
      <c r="DZ114" s="1177"/>
      <c r="EA114" s="1177"/>
      <c r="EB114" s="1177"/>
      <c r="EC114" s="1177"/>
      <c r="ED114" s="1177"/>
      <c r="EE114" s="1177"/>
      <c r="EF114" s="1177"/>
      <c r="EG114" s="1177"/>
      <c r="EH114" s="1177"/>
      <c r="EI114" s="1177"/>
      <c r="EJ114" s="1177"/>
      <c r="EK114" s="1177"/>
      <c r="EL114" s="1177"/>
      <c r="EM114" s="1177"/>
      <c r="EN114" s="1177"/>
      <c r="EO114" s="1177"/>
      <c r="EP114" s="1177"/>
      <c r="EQ114" s="1177"/>
      <c r="ER114" s="1177"/>
      <c r="ES114" s="1177"/>
      <c r="ET114" s="1177"/>
      <c r="EU114" s="1177"/>
      <c r="EV114" s="1177"/>
      <c r="EW114" s="1177"/>
      <c r="EX114" s="1177"/>
      <c r="EY114" s="1177"/>
      <c r="EZ114" s="1177"/>
      <c r="FA114" s="1177"/>
      <c r="FB114" s="1177"/>
      <c r="FC114" s="1177"/>
      <c r="FD114" s="1177"/>
      <c r="FE114" s="1177"/>
      <c r="FF114" s="1177"/>
      <c r="FG114" s="1177"/>
      <c r="FH114" s="1177"/>
      <c r="FI114" s="1177"/>
      <c r="FJ114" s="1177"/>
      <c r="FK114" s="1177"/>
      <c r="FL114" s="1177"/>
      <c r="FM114" s="1177"/>
      <c r="FN114" s="1177"/>
      <c r="FO114" s="1177"/>
      <c r="FP114" s="1177"/>
      <c r="FQ114" s="1177"/>
      <c r="FR114" s="1177"/>
      <c r="FS114" s="1177"/>
      <c r="FT114" s="1177"/>
      <c r="FU114" s="1177"/>
      <c r="FV114" s="1177"/>
      <c r="FW114" s="1177"/>
      <c r="FX114" s="1177"/>
      <c r="FY114" s="1177"/>
      <c r="FZ114" s="1177"/>
      <c r="GA114" s="1177"/>
      <c r="GB114" s="1177"/>
      <c r="GC114" s="1177"/>
      <c r="GD114" s="1177"/>
      <c r="GE114" s="1177"/>
      <c r="GF114" s="1177"/>
      <c r="GG114" s="1177"/>
    </row>
    <row r="115" spans="1:189" s="1158" customFormat="1" hidden="1">
      <c r="A115" s="1179" t="str">
        <f>+[4]BPU!A299</f>
        <v>512-8</v>
      </c>
      <c r="B115" s="1180" t="str">
        <f>+[4]BPU!B299</f>
        <v>dalot cadre B= 2 x 4,00 m  H= 1,6 m</v>
      </c>
      <c r="C115" s="645" t="s">
        <v>1</v>
      </c>
      <c r="D115" s="653"/>
      <c r="E115" s="547">
        <f>[4]BPU!D299</f>
        <v>4238512</v>
      </c>
      <c r="F115" s="547">
        <f>+D115*E115</f>
        <v>0</v>
      </c>
      <c r="H115" s="1155" t="e">
        <f>#REF!</f>
        <v>#REF!</v>
      </c>
      <c r="I115" s="1156">
        <v>1</v>
      </c>
      <c r="J115" s="1155" t="e">
        <f>H115*I115</f>
        <v>#REF!</v>
      </c>
      <c r="K115" s="1157"/>
      <c r="L115" s="1157"/>
      <c r="M115" s="1157"/>
      <c r="N115" s="1157"/>
      <c r="O115" s="1157"/>
      <c r="P115" s="1157"/>
      <c r="Q115" s="1157"/>
      <c r="R115" s="1157"/>
      <c r="S115" s="1157"/>
      <c r="T115" s="1157"/>
      <c r="U115" s="1157"/>
      <c r="V115" s="1157"/>
      <c r="W115" s="1157"/>
      <c r="X115" s="1157"/>
      <c r="Y115" s="1157"/>
      <c r="Z115" s="1157"/>
      <c r="AA115" s="1157"/>
      <c r="AB115" s="1157"/>
      <c r="AC115" s="1157"/>
      <c r="AD115" s="1157"/>
      <c r="AE115" s="1157"/>
      <c r="AF115" s="1157"/>
      <c r="AG115" s="1157"/>
      <c r="AH115" s="1157"/>
      <c r="AI115" s="1157"/>
      <c r="AJ115" s="1157"/>
      <c r="AK115" s="1157"/>
      <c r="AL115" s="1157"/>
      <c r="AM115" s="1157"/>
      <c r="AN115" s="1157"/>
      <c r="AO115" s="1157"/>
      <c r="AP115" s="1157"/>
      <c r="AQ115" s="1157"/>
      <c r="AR115" s="1157"/>
      <c r="AS115" s="1157"/>
      <c r="AT115" s="1157"/>
      <c r="AU115" s="1157"/>
      <c r="AV115" s="1157"/>
      <c r="AW115" s="1157"/>
      <c r="AX115" s="1157"/>
      <c r="AY115" s="1157"/>
      <c r="AZ115" s="1157"/>
      <c r="BA115" s="1157"/>
      <c r="BB115" s="1157"/>
      <c r="BC115" s="1157"/>
      <c r="BD115" s="1157"/>
      <c r="BE115" s="1157"/>
      <c r="BF115" s="1157"/>
      <c r="BG115" s="1157"/>
      <c r="BH115" s="1157"/>
      <c r="BI115" s="1157"/>
      <c r="BJ115" s="1157"/>
      <c r="BK115" s="1157"/>
      <c r="BL115" s="1157"/>
      <c r="BM115" s="1157"/>
      <c r="BN115" s="1157"/>
      <c r="BO115" s="1157"/>
      <c r="BP115" s="1157"/>
      <c r="BQ115" s="1157"/>
      <c r="BR115" s="1157"/>
      <c r="BS115" s="1157"/>
      <c r="BT115" s="1157"/>
      <c r="BU115" s="1157"/>
      <c r="BV115" s="1157"/>
      <c r="BW115" s="1157"/>
      <c r="BX115" s="1157"/>
      <c r="BY115" s="1157"/>
      <c r="BZ115" s="1157"/>
      <c r="CA115" s="1157"/>
      <c r="CB115" s="1157"/>
      <c r="CC115" s="1157"/>
      <c r="CD115" s="1157"/>
      <c r="CE115" s="1157"/>
      <c r="CF115" s="1157"/>
      <c r="CG115" s="1157"/>
      <c r="CH115" s="1157"/>
      <c r="CI115" s="1157"/>
      <c r="CJ115" s="1157"/>
      <c r="CK115" s="1157"/>
      <c r="CL115" s="1157"/>
      <c r="CM115" s="1157"/>
      <c r="CN115" s="1157"/>
      <c r="CO115" s="1157"/>
      <c r="CP115" s="1157"/>
      <c r="CQ115" s="1157"/>
      <c r="CR115" s="1157"/>
      <c r="CS115" s="1157"/>
      <c r="CT115" s="1157"/>
      <c r="CU115" s="1157"/>
      <c r="CV115" s="1157"/>
      <c r="CW115" s="1157"/>
      <c r="CX115" s="1157"/>
      <c r="CY115" s="1157"/>
      <c r="CZ115" s="1157"/>
      <c r="DA115" s="1157"/>
      <c r="DB115" s="1157"/>
      <c r="DC115" s="1157"/>
      <c r="DD115" s="1157"/>
      <c r="DE115" s="1157"/>
      <c r="DF115" s="1157"/>
      <c r="DG115" s="1157"/>
      <c r="DH115" s="1157"/>
      <c r="DI115" s="1157"/>
      <c r="DJ115" s="1157"/>
      <c r="DK115" s="1157"/>
      <c r="DL115" s="1157"/>
      <c r="DM115" s="1157"/>
      <c r="DN115" s="1157"/>
      <c r="DO115" s="1157"/>
      <c r="DP115" s="1157"/>
      <c r="DQ115" s="1157"/>
      <c r="DR115" s="1157"/>
      <c r="DS115" s="1157"/>
      <c r="DT115" s="1157"/>
      <c r="DU115" s="1157"/>
      <c r="DV115" s="1157"/>
      <c r="DW115" s="1157"/>
      <c r="DX115" s="1157"/>
      <c r="DY115" s="1157"/>
      <c r="DZ115" s="1157"/>
      <c r="EA115" s="1157"/>
      <c r="EB115" s="1157"/>
      <c r="EC115" s="1157"/>
      <c r="ED115" s="1157"/>
      <c r="EE115" s="1157"/>
      <c r="EF115" s="1157"/>
      <c r="EG115" s="1157"/>
      <c r="EH115" s="1157"/>
      <c r="EI115" s="1157"/>
      <c r="EJ115" s="1157"/>
      <c r="EK115" s="1157"/>
      <c r="EL115" s="1157"/>
      <c r="EM115" s="1157"/>
      <c r="EN115" s="1157"/>
      <c r="EO115" s="1157"/>
      <c r="EP115" s="1157"/>
      <c r="EQ115" s="1157"/>
      <c r="ER115" s="1157"/>
      <c r="ES115" s="1157"/>
      <c r="ET115" s="1157"/>
      <c r="EU115" s="1157"/>
      <c r="EV115" s="1157"/>
      <c r="EW115" s="1157"/>
      <c r="EX115" s="1157"/>
      <c r="EY115" s="1157"/>
      <c r="EZ115" s="1157"/>
      <c r="FA115" s="1157"/>
      <c r="FB115" s="1157"/>
      <c r="FC115" s="1157"/>
      <c r="FD115" s="1157"/>
      <c r="FE115" s="1157"/>
      <c r="FF115" s="1157"/>
      <c r="FG115" s="1157"/>
      <c r="FH115" s="1157"/>
      <c r="FI115" s="1157"/>
      <c r="FJ115" s="1157"/>
      <c r="FK115" s="1157"/>
      <c r="FL115" s="1157"/>
      <c r="FM115" s="1157"/>
      <c r="FN115" s="1157"/>
      <c r="FO115" s="1157"/>
      <c r="FP115" s="1157"/>
      <c r="FQ115" s="1157"/>
      <c r="FR115" s="1157"/>
      <c r="FS115" s="1157"/>
      <c r="FT115" s="1157"/>
      <c r="FU115" s="1157"/>
      <c r="FV115" s="1157"/>
      <c r="FW115" s="1157"/>
      <c r="FX115" s="1157"/>
      <c r="FY115" s="1157"/>
      <c r="FZ115" s="1157"/>
      <c r="GA115" s="1157"/>
      <c r="GB115" s="1157"/>
      <c r="GC115" s="1157"/>
      <c r="GD115" s="1157"/>
      <c r="GE115" s="1157"/>
      <c r="GF115" s="1157"/>
      <c r="GG115" s="1157"/>
    </row>
    <row r="116" spans="1:189" s="1178" customFormat="1" hidden="1">
      <c r="A116" s="1170" t="str">
        <f>+[4]BPU!A328</f>
        <v>512 b</v>
      </c>
      <c r="B116" s="1168" t="str">
        <f>+[4]BPU!B328</f>
        <v>Prix 512 b - Aile en béton</v>
      </c>
      <c r="C116" s="731"/>
      <c r="D116" s="820"/>
      <c r="E116" s="544"/>
      <c r="F116" s="544"/>
      <c r="G116" s="1158"/>
      <c r="H116" s="1155"/>
      <c r="I116" s="1156"/>
      <c r="J116" s="1155"/>
      <c r="K116" s="1177"/>
      <c r="L116" s="1177"/>
      <c r="M116" s="1177"/>
      <c r="N116" s="1177"/>
      <c r="O116" s="1177"/>
      <c r="P116" s="1177"/>
      <c r="Q116" s="1177"/>
      <c r="R116" s="1177"/>
      <c r="S116" s="1177"/>
      <c r="T116" s="1177"/>
      <c r="U116" s="1177"/>
      <c r="V116" s="1177"/>
      <c r="W116" s="1177"/>
      <c r="X116" s="1177"/>
      <c r="Y116" s="1177"/>
      <c r="Z116" s="1177"/>
      <c r="AA116" s="1177"/>
      <c r="AB116" s="1177"/>
      <c r="AC116" s="1177"/>
      <c r="AD116" s="1177"/>
      <c r="AE116" s="1177"/>
      <c r="AF116" s="1177"/>
      <c r="AG116" s="1177"/>
      <c r="AH116" s="1177"/>
      <c r="AI116" s="1177"/>
      <c r="AJ116" s="1177"/>
      <c r="AK116" s="1177"/>
      <c r="AL116" s="1177"/>
      <c r="AM116" s="1177"/>
      <c r="AN116" s="1177"/>
      <c r="AO116" s="1177"/>
      <c r="AP116" s="1177"/>
      <c r="AQ116" s="1177"/>
      <c r="AR116" s="1177"/>
      <c r="AS116" s="1177"/>
      <c r="AT116" s="1177"/>
      <c r="AU116" s="1177"/>
      <c r="AV116" s="1177"/>
      <c r="AW116" s="1177"/>
      <c r="AX116" s="1177"/>
      <c r="AY116" s="1177"/>
      <c r="AZ116" s="1177"/>
      <c r="BA116" s="1177"/>
      <c r="BB116" s="1177"/>
      <c r="BC116" s="1177"/>
      <c r="BD116" s="1177"/>
      <c r="BE116" s="1177"/>
      <c r="BF116" s="1177"/>
      <c r="BG116" s="1177"/>
      <c r="BH116" s="1177"/>
      <c r="BI116" s="1177"/>
      <c r="BJ116" s="1177"/>
      <c r="BK116" s="1177"/>
      <c r="BL116" s="1177"/>
      <c r="BM116" s="1177"/>
      <c r="BN116" s="1177"/>
      <c r="BO116" s="1177"/>
      <c r="BP116" s="1177"/>
      <c r="BQ116" s="1177"/>
      <c r="BR116" s="1177"/>
      <c r="BS116" s="1177"/>
      <c r="BT116" s="1177"/>
      <c r="BU116" s="1177"/>
      <c r="BV116" s="1177"/>
      <c r="BW116" s="1177"/>
      <c r="BX116" s="1177"/>
      <c r="BY116" s="1177"/>
      <c r="BZ116" s="1177"/>
      <c r="CA116" s="1177"/>
      <c r="CB116" s="1177"/>
      <c r="CC116" s="1177"/>
      <c r="CD116" s="1177"/>
      <c r="CE116" s="1177"/>
      <c r="CF116" s="1177"/>
      <c r="CG116" s="1177"/>
      <c r="CH116" s="1177"/>
      <c r="CI116" s="1177"/>
      <c r="CJ116" s="1177"/>
      <c r="CK116" s="1177"/>
      <c r="CL116" s="1177"/>
      <c r="CM116" s="1177"/>
      <c r="CN116" s="1177"/>
      <c r="CO116" s="1177"/>
      <c r="CP116" s="1177"/>
      <c r="CQ116" s="1177"/>
      <c r="CR116" s="1177"/>
      <c r="CS116" s="1177"/>
      <c r="CT116" s="1177"/>
      <c r="CU116" s="1177"/>
      <c r="CV116" s="1177"/>
      <c r="CW116" s="1177"/>
      <c r="CX116" s="1177"/>
      <c r="CY116" s="1177"/>
      <c r="CZ116" s="1177"/>
      <c r="DA116" s="1177"/>
      <c r="DB116" s="1177"/>
      <c r="DC116" s="1177"/>
      <c r="DD116" s="1177"/>
      <c r="DE116" s="1177"/>
      <c r="DF116" s="1177"/>
      <c r="DG116" s="1177"/>
      <c r="DH116" s="1177"/>
      <c r="DI116" s="1177"/>
      <c r="DJ116" s="1177"/>
      <c r="DK116" s="1177"/>
      <c r="DL116" s="1177"/>
      <c r="DM116" s="1177"/>
      <c r="DN116" s="1177"/>
      <c r="DO116" s="1177"/>
      <c r="DP116" s="1177"/>
      <c r="DQ116" s="1177"/>
      <c r="DR116" s="1177"/>
      <c r="DS116" s="1177"/>
      <c r="DT116" s="1177"/>
      <c r="DU116" s="1177"/>
      <c r="DV116" s="1177"/>
      <c r="DW116" s="1177"/>
      <c r="DX116" s="1177"/>
      <c r="DY116" s="1177"/>
      <c r="DZ116" s="1177"/>
      <c r="EA116" s="1177"/>
      <c r="EB116" s="1177"/>
      <c r="EC116" s="1177"/>
      <c r="ED116" s="1177"/>
      <c r="EE116" s="1177"/>
      <c r="EF116" s="1177"/>
      <c r="EG116" s="1177"/>
      <c r="EH116" s="1177"/>
      <c r="EI116" s="1177"/>
      <c r="EJ116" s="1177"/>
      <c r="EK116" s="1177"/>
      <c r="EL116" s="1177"/>
      <c r="EM116" s="1177"/>
      <c r="EN116" s="1177"/>
      <c r="EO116" s="1177"/>
      <c r="EP116" s="1177"/>
      <c r="EQ116" s="1177"/>
      <c r="ER116" s="1177"/>
      <c r="ES116" s="1177"/>
      <c r="ET116" s="1177"/>
      <c r="EU116" s="1177"/>
      <c r="EV116" s="1177"/>
      <c r="EW116" s="1177"/>
      <c r="EX116" s="1177"/>
      <c r="EY116" s="1177"/>
      <c r="EZ116" s="1177"/>
      <c r="FA116" s="1177"/>
      <c r="FB116" s="1177"/>
      <c r="FC116" s="1177"/>
      <c r="FD116" s="1177"/>
      <c r="FE116" s="1177"/>
      <c r="FF116" s="1177"/>
      <c r="FG116" s="1177"/>
      <c r="FH116" s="1177"/>
      <c r="FI116" s="1177"/>
      <c r="FJ116" s="1177"/>
      <c r="FK116" s="1177"/>
      <c r="FL116" s="1177"/>
      <c r="FM116" s="1177"/>
      <c r="FN116" s="1177"/>
      <c r="FO116" s="1177"/>
      <c r="FP116" s="1177"/>
      <c r="FQ116" s="1177"/>
      <c r="FR116" s="1177"/>
      <c r="FS116" s="1177"/>
      <c r="FT116" s="1177"/>
      <c r="FU116" s="1177"/>
      <c r="FV116" s="1177"/>
      <c r="FW116" s="1177"/>
      <c r="FX116" s="1177"/>
      <c r="FY116" s="1177"/>
      <c r="FZ116" s="1177"/>
      <c r="GA116" s="1177"/>
      <c r="GB116" s="1177"/>
      <c r="GC116" s="1177"/>
      <c r="GD116" s="1177"/>
      <c r="GE116" s="1177"/>
      <c r="GF116" s="1177"/>
      <c r="GG116" s="1177"/>
    </row>
    <row r="117" spans="1:189" s="1158" customFormat="1" hidden="1">
      <c r="A117" s="1133"/>
      <c r="B117" s="1119"/>
      <c r="C117" s="645" t="s">
        <v>27</v>
      </c>
      <c r="D117" s="653"/>
      <c r="E117" s="547">
        <f>[4]BPU!D329</f>
        <v>8200120</v>
      </c>
      <c r="F117" s="547">
        <f>+D117*E117</f>
        <v>0</v>
      </c>
      <c r="H117" s="1155">
        <v>0</v>
      </c>
      <c r="I117" s="1156">
        <v>1</v>
      </c>
      <c r="J117" s="1155">
        <f>H117*I117</f>
        <v>0</v>
      </c>
      <c r="K117" s="1157"/>
      <c r="L117" s="1157"/>
      <c r="M117" s="1157"/>
      <c r="N117" s="1157"/>
      <c r="O117" s="1157"/>
      <c r="P117" s="1157"/>
      <c r="Q117" s="1157"/>
      <c r="R117" s="1157"/>
      <c r="S117" s="1157"/>
      <c r="T117" s="1157"/>
      <c r="U117" s="1157"/>
      <c r="V117" s="1157"/>
      <c r="W117" s="1157"/>
      <c r="X117" s="1157"/>
      <c r="Y117" s="1157"/>
      <c r="Z117" s="1157"/>
      <c r="AA117" s="1157"/>
      <c r="AB117" s="1157"/>
      <c r="AC117" s="1157"/>
      <c r="AD117" s="1157"/>
      <c r="AE117" s="1157"/>
      <c r="AF117" s="1157"/>
      <c r="AG117" s="1157"/>
      <c r="AH117" s="1157"/>
      <c r="AI117" s="1157"/>
      <c r="AJ117" s="1157"/>
      <c r="AK117" s="1157"/>
      <c r="AL117" s="1157"/>
      <c r="AM117" s="1157"/>
      <c r="AN117" s="1157"/>
      <c r="AO117" s="1157"/>
      <c r="AP117" s="1157"/>
      <c r="AQ117" s="1157"/>
      <c r="AR117" s="1157"/>
      <c r="AS117" s="1157"/>
      <c r="AT117" s="1157"/>
      <c r="AU117" s="1157"/>
      <c r="AV117" s="1157"/>
      <c r="AW117" s="1157"/>
      <c r="AX117" s="1157"/>
      <c r="AY117" s="1157"/>
      <c r="AZ117" s="1157"/>
      <c r="BA117" s="1157"/>
      <c r="BB117" s="1157"/>
      <c r="BC117" s="1157"/>
      <c r="BD117" s="1157"/>
      <c r="BE117" s="1157"/>
      <c r="BF117" s="1157"/>
      <c r="BG117" s="1157"/>
      <c r="BH117" s="1157"/>
      <c r="BI117" s="1157"/>
      <c r="BJ117" s="1157"/>
      <c r="BK117" s="1157"/>
      <c r="BL117" s="1157"/>
      <c r="BM117" s="1157"/>
      <c r="BN117" s="1157"/>
      <c r="BO117" s="1157"/>
      <c r="BP117" s="1157"/>
      <c r="BQ117" s="1157"/>
      <c r="BR117" s="1157"/>
      <c r="BS117" s="1157"/>
      <c r="BT117" s="1157"/>
      <c r="BU117" s="1157"/>
      <c r="BV117" s="1157"/>
      <c r="BW117" s="1157"/>
      <c r="BX117" s="1157"/>
      <c r="BY117" s="1157"/>
      <c r="BZ117" s="1157"/>
      <c r="CA117" s="1157"/>
      <c r="CB117" s="1157"/>
      <c r="CC117" s="1157"/>
      <c r="CD117" s="1157"/>
      <c r="CE117" s="1157"/>
      <c r="CF117" s="1157"/>
      <c r="CG117" s="1157"/>
      <c r="CH117" s="1157"/>
      <c r="CI117" s="1157"/>
      <c r="CJ117" s="1157"/>
      <c r="CK117" s="1157"/>
      <c r="CL117" s="1157"/>
      <c r="CM117" s="1157"/>
      <c r="CN117" s="1157"/>
      <c r="CO117" s="1157"/>
      <c r="CP117" s="1157"/>
      <c r="CQ117" s="1157"/>
      <c r="CR117" s="1157"/>
      <c r="CS117" s="1157"/>
      <c r="CT117" s="1157"/>
      <c r="CU117" s="1157"/>
      <c r="CV117" s="1157"/>
      <c r="CW117" s="1157"/>
      <c r="CX117" s="1157"/>
      <c r="CY117" s="1157"/>
      <c r="CZ117" s="1157"/>
      <c r="DA117" s="1157"/>
      <c r="DB117" s="1157"/>
      <c r="DC117" s="1157"/>
      <c r="DD117" s="1157"/>
      <c r="DE117" s="1157"/>
      <c r="DF117" s="1157"/>
      <c r="DG117" s="1157"/>
      <c r="DH117" s="1157"/>
      <c r="DI117" s="1157"/>
      <c r="DJ117" s="1157"/>
      <c r="DK117" s="1157"/>
      <c r="DL117" s="1157"/>
      <c r="DM117" s="1157"/>
      <c r="DN117" s="1157"/>
      <c r="DO117" s="1157"/>
      <c r="DP117" s="1157"/>
      <c r="DQ117" s="1157"/>
      <c r="DR117" s="1157"/>
      <c r="DS117" s="1157"/>
      <c r="DT117" s="1157"/>
      <c r="DU117" s="1157"/>
      <c r="DV117" s="1157"/>
      <c r="DW117" s="1157"/>
      <c r="DX117" s="1157"/>
      <c r="DY117" s="1157"/>
      <c r="DZ117" s="1157"/>
      <c r="EA117" s="1157"/>
      <c r="EB117" s="1157"/>
      <c r="EC117" s="1157"/>
      <c r="ED117" s="1157"/>
      <c r="EE117" s="1157"/>
      <c r="EF117" s="1157"/>
      <c r="EG117" s="1157"/>
      <c r="EH117" s="1157"/>
      <c r="EI117" s="1157"/>
      <c r="EJ117" s="1157"/>
      <c r="EK117" s="1157"/>
      <c r="EL117" s="1157"/>
      <c r="EM117" s="1157"/>
      <c r="EN117" s="1157"/>
      <c r="EO117" s="1157"/>
      <c r="EP117" s="1157"/>
      <c r="EQ117" s="1157"/>
      <c r="ER117" s="1157"/>
      <c r="ES117" s="1157"/>
      <c r="ET117" s="1157"/>
      <c r="EU117" s="1157"/>
      <c r="EV117" s="1157"/>
      <c r="EW117" s="1157"/>
      <c r="EX117" s="1157"/>
      <c r="EY117" s="1157"/>
      <c r="EZ117" s="1157"/>
      <c r="FA117" s="1157"/>
      <c r="FB117" s="1157"/>
      <c r="FC117" s="1157"/>
      <c r="FD117" s="1157"/>
      <c r="FE117" s="1157"/>
      <c r="FF117" s="1157"/>
      <c r="FG117" s="1157"/>
      <c r="FH117" s="1157"/>
      <c r="FI117" s="1157"/>
      <c r="FJ117" s="1157"/>
      <c r="FK117" s="1157"/>
      <c r="FL117" s="1157"/>
      <c r="FM117" s="1157"/>
      <c r="FN117" s="1157"/>
      <c r="FO117" s="1157"/>
      <c r="FP117" s="1157"/>
      <c r="FQ117" s="1157"/>
      <c r="FR117" s="1157"/>
      <c r="FS117" s="1157"/>
      <c r="FT117" s="1157"/>
      <c r="FU117" s="1157"/>
      <c r="FV117" s="1157"/>
      <c r="FW117" s="1157"/>
      <c r="FX117" s="1157"/>
      <c r="FY117" s="1157"/>
      <c r="FZ117" s="1157"/>
      <c r="GA117" s="1157"/>
      <c r="GB117" s="1157"/>
      <c r="GC117" s="1157"/>
      <c r="GD117" s="1157"/>
      <c r="GE117" s="1157"/>
      <c r="GF117" s="1157"/>
      <c r="GG117" s="1157"/>
    </row>
    <row r="118" spans="1:189" s="1158" customFormat="1" hidden="1">
      <c r="A118" s="1173">
        <f>+[4]BPU!A330</f>
        <v>513</v>
      </c>
      <c r="B118" s="1169" t="str">
        <f>+[4]BPU!B330</f>
        <v>Prix 513 - Regards</v>
      </c>
      <c r="C118" s="731"/>
      <c r="D118" s="820"/>
      <c r="E118" s="544"/>
      <c r="F118" s="544"/>
      <c r="H118" s="1155"/>
      <c r="I118" s="1156"/>
      <c r="J118" s="1155"/>
      <c r="K118" s="1181" t="e">
        <f>+#REF!/#REF!</f>
        <v>#REF!</v>
      </c>
      <c r="L118" s="1157">
        <v>3</v>
      </c>
      <c r="M118" s="1157"/>
      <c r="N118" s="1157"/>
      <c r="O118" s="1157"/>
      <c r="P118" s="1157"/>
      <c r="Q118" s="1157"/>
      <c r="R118" s="1157"/>
      <c r="S118" s="1157"/>
      <c r="T118" s="1157"/>
      <c r="U118" s="1157"/>
      <c r="V118" s="1157"/>
      <c r="W118" s="1157"/>
      <c r="X118" s="1157"/>
      <c r="Y118" s="1157"/>
      <c r="Z118" s="1157"/>
      <c r="AA118" s="1157"/>
      <c r="AB118" s="1157"/>
      <c r="AC118" s="1157"/>
      <c r="AD118" s="1157"/>
      <c r="AE118" s="1157"/>
      <c r="AF118" s="1157"/>
      <c r="AG118" s="1157"/>
      <c r="AH118" s="1157"/>
      <c r="AI118" s="1157"/>
      <c r="AJ118" s="1157"/>
      <c r="AK118" s="1157"/>
      <c r="AL118" s="1157"/>
      <c r="AM118" s="1157"/>
      <c r="AN118" s="1157"/>
      <c r="AO118" s="1157"/>
      <c r="AP118" s="1157"/>
      <c r="AQ118" s="1157"/>
      <c r="AR118" s="1157"/>
      <c r="AS118" s="1157"/>
      <c r="AT118" s="1157"/>
      <c r="AU118" s="1157"/>
      <c r="AV118" s="1157"/>
      <c r="AW118" s="1157"/>
      <c r="AX118" s="1157"/>
      <c r="AY118" s="1157"/>
      <c r="AZ118" s="1157"/>
      <c r="BA118" s="1157"/>
      <c r="BB118" s="1157"/>
      <c r="BC118" s="1157"/>
      <c r="BD118" s="1157"/>
      <c r="BE118" s="1157"/>
      <c r="BF118" s="1157"/>
      <c r="BG118" s="1157"/>
      <c r="BH118" s="1157"/>
      <c r="BI118" s="1157"/>
      <c r="BJ118" s="1157"/>
      <c r="BK118" s="1157"/>
      <c r="BL118" s="1157"/>
      <c r="BM118" s="1157"/>
      <c r="BN118" s="1157"/>
      <c r="BO118" s="1157"/>
      <c r="BP118" s="1157"/>
      <c r="BQ118" s="1157"/>
      <c r="BR118" s="1157"/>
      <c r="BS118" s="1157"/>
      <c r="BT118" s="1157"/>
      <c r="BU118" s="1157"/>
      <c r="BV118" s="1157"/>
      <c r="BW118" s="1157"/>
      <c r="BX118" s="1157"/>
      <c r="BY118" s="1157"/>
      <c r="BZ118" s="1157"/>
      <c r="CA118" s="1157"/>
      <c r="CB118" s="1157"/>
      <c r="CC118" s="1157"/>
      <c r="CD118" s="1157"/>
      <c r="CE118" s="1157"/>
      <c r="CF118" s="1157"/>
      <c r="CG118" s="1157"/>
      <c r="CH118" s="1157"/>
      <c r="CI118" s="1157"/>
      <c r="CJ118" s="1157"/>
      <c r="CK118" s="1157"/>
      <c r="CL118" s="1157"/>
      <c r="CM118" s="1157"/>
      <c r="CN118" s="1157"/>
      <c r="CO118" s="1157"/>
      <c r="CP118" s="1157"/>
      <c r="CQ118" s="1157"/>
      <c r="CR118" s="1157"/>
      <c r="CS118" s="1157"/>
      <c r="CT118" s="1157"/>
      <c r="CU118" s="1157"/>
      <c r="CV118" s="1157"/>
      <c r="CW118" s="1157"/>
      <c r="CX118" s="1157"/>
      <c r="CY118" s="1157"/>
      <c r="CZ118" s="1157"/>
      <c r="DA118" s="1157"/>
      <c r="DB118" s="1157"/>
      <c r="DC118" s="1157"/>
      <c r="DD118" s="1157"/>
      <c r="DE118" s="1157"/>
      <c r="DF118" s="1157"/>
      <c r="DG118" s="1157"/>
      <c r="DH118" s="1157"/>
      <c r="DI118" s="1157"/>
      <c r="DJ118" s="1157"/>
      <c r="DK118" s="1157"/>
      <c r="DL118" s="1157"/>
      <c r="DM118" s="1157"/>
      <c r="DN118" s="1157"/>
      <c r="DO118" s="1157"/>
      <c r="DP118" s="1157"/>
      <c r="DQ118" s="1157"/>
      <c r="DR118" s="1157"/>
      <c r="DS118" s="1157"/>
      <c r="DT118" s="1157"/>
      <c r="DU118" s="1157"/>
      <c r="DV118" s="1157"/>
      <c r="DW118" s="1157"/>
      <c r="DX118" s="1157"/>
      <c r="DY118" s="1157"/>
      <c r="DZ118" s="1157"/>
      <c r="EA118" s="1157"/>
      <c r="EB118" s="1157"/>
      <c r="EC118" s="1157"/>
      <c r="ED118" s="1157"/>
      <c r="EE118" s="1157"/>
      <c r="EF118" s="1157"/>
      <c r="EG118" s="1157"/>
      <c r="EH118" s="1157"/>
      <c r="EI118" s="1157"/>
      <c r="EJ118" s="1157"/>
      <c r="EK118" s="1157"/>
      <c r="EL118" s="1157"/>
      <c r="EM118" s="1157"/>
      <c r="EN118" s="1157"/>
      <c r="EO118" s="1157"/>
      <c r="EP118" s="1157"/>
      <c r="EQ118" s="1157"/>
      <c r="ER118" s="1157"/>
      <c r="ES118" s="1157"/>
      <c r="ET118" s="1157"/>
      <c r="EU118" s="1157"/>
      <c r="EV118" s="1157"/>
      <c r="EW118" s="1157"/>
      <c r="EX118" s="1157"/>
      <c r="EY118" s="1157"/>
      <c r="EZ118" s="1157"/>
      <c r="FA118" s="1157"/>
      <c r="FB118" s="1157"/>
      <c r="FC118" s="1157"/>
      <c r="FD118" s="1157"/>
      <c r="FE118" s="1157"/>
      <c r="FF118" s="1157"/>
      <c r="FG118" s="1157"/>
      <c r="FH118" s="1157"/>
      <c r="FI118" s="1157"/>
      <c r="FJ118" s="1157"/>
      <c r="FK118" s="1157"/>
      <c r="FL118" s="1157"/>
      <c r="FM118" s="1157"/>
      <c r="FN118" s="1157"/>
      <c r="FO118" s="1157"/>
      <c r="FP118" s="1157"/>
      <c r="FQ118" s="1157"/>
      <c r="FR118" s="1157"/>
      <c r="FS118" s="1157"/>
      <c r="FT118" s="1157"/>
      <c r="FU118" s="1157"/>
      <c r="FV118" s="1157"/>
      <c r="FW118" s="1157"/>
      <c r="FX118" s="1157"/>
      <c r="FY118" s="1157"/>
      <c r="FZ118" s="1157"/>
      <c r="GA118" s="1157"/>
      <c r="GB118" s="1157"/>
      <c r="GC118" s="1157"/>
      <c r="GD118" s="1157"/>
      <c r="GE118" s="1157"/>
      <c r="GF118" s="1157"/>
      <c r="GG118" s="1157"/>
    </row>
    <row r="119" spans="1:189" s="1158" customFormat="1" ht="38.25" hidden="1">
      <c r="A119" s="1182" t="str">
        <f>+[4]BPU!A332</f>
        <v>513-2</v>
      </c>
      <c r="B119" s="1183" t="str">
        <f>+[4]BPU!B332</f>
        <v>Regards d'inspection coulés en place sur collecteur fermé, avec tampon inviolable en fonte de type D-400 selon NF EN. 124 et échelons en acier inoxydable encastrés et de hauteur 0 à 5 m</v>
      </c>
      <c r="C119" s="703" t="s">
        <v>1</v>
      </c>
      <c r="D119" s="759"/>
      <c r="E119" s="650">
        <f>[4]BPU!D332</f>
        <v>1125276</v>
      </c>
      <c r="F119" s="650">
        <f>+D119*E119</f>
        <v>0</v>
      </c>
      <c r="H119" s="1155" t="e">
        <f>SUM(H109:H115)/50+2</f>
        <v>#REF!</v>
      </c>
      <c r="I119" s="1156">
        <v>1.05</v>
      </c>
      <c r="J119" s="1155" t="e">
        <f>H119*I119</f>
        <v>#REF!</v>
      </c>
      <c r="K119" s="1157"/>
      <c r="L119" s="1184" t="e">
        <f>+#REF!/#REF!*L118</f>
        <v>#REF!</v>
      </c>
      <c r="M119" s="1157"/>
      <c r="N119" s="1157"/>
      <c r="O119" s="1157"/>
      <c r="P119" s="1157"/>
      <c r="Q119" s="1157"/>
      <c r="R119" s="1157"/>
      <c r="S119" s="1157"/>
      <c r="T119" s="1157"/>
      <c r="U119" s="1157"/>
      <c r="V119" s="1157"/>
      <c r="W119" s="1157"/>
      <c r="X119" s="1157"/>
      <c r="Y119" s="1157"/>
      <c r="Z119" s="1157"/>
      <c r="AA119" s="1157"/>
      <c r="AB119" s="1157"/>
      <c r="AC119" s="1157"/>
      <c r="AD119" s="1157"/>
      <c r="AE119" s="1157"/>
      <c r="AF119" s="1157"/>
      <c r="AG119" s="1157"/>
      <c r="AH119" s="1157"/>
      <c r="AI119" s="1157"/>
      <c r="AJ119" s="1157"/>
      <c r="AK119" s="1157"/>
      <c r="AL119" s="1157"/>
      <c r="AM119" s="1157"/>
      <c r="AN119" s="1157"/>
      <c r="AO119" s="1157"/>
      <c r="AP119" s="1157"/>
      <c r="AQ119" s="1157"/>
      <c r="AR119" s="1157"/>
      <c r="AS119" s="1157"/>
      <c r="AT119" s="1157"/>
      <c r="AU119" s="1157"/>
      <c r="AV119" s="1157"/>
      <c r="AW119" s="1157"/>
      <c r="AX119" s="1157"/>
      <c r="AY119" s="1157"/>
      <c r="AZ119" s="1157"/>
      <c r="BA119" s="1157"/>
      <c r="BB119" s="1157"/>
      <c r="BC119" s="1157"/>
      <c r="BD119" s="1157"/>
      <c r="BE119" s="1157"/>
      <c r="BF119" s="1157"/>
      <c r="BG119" s="1157"/>
      <c r="BH119" s="1157"/>
      <c r="BI119" s="1157"/>
      <c r="BJ119" s="1157"/>
      <c r="BK119" s="1157"/>
      <c r="BL119" s="1157"/>
      <c r="BM119" s="1157"/>
      <c r="BN119" s="1157"/>
      <c r="BO119" s="1157"/>
      <c r="BP119" s="1157"/>
      <c r="BQ119" s="1157"/>
      <c r="BR119" s="1157"/>
      <c r="BS119" s="1157"/>
      <c r="BT119" s="1157"/>
      <c r="BU119" s="1157"/>
      <c r="BV119" s="1157"/>
      <c r="BW119" s="1157"/>
      <c r="BX119" s="1157"/>
      <c r="BY119" s="1157"/>
      <c r="BZ119" s="1157"/>
      <c r="CA119" s="1157"/>
      <c r="CB119" s="1157"/>
      <c r="CC119" s="1157"/>
      <c r="CD119" s="1157"/>
      <c r="CE119" s="1157"/>
      <c r="CF119" s="1157"/>
      <c r="CG119" s="1157"/>
      <c r="CH119" s="1157"/>
      <c r="CI119" s="1157"/>
      <c r="CJ119" s="1157"/>
      <c r="CK119" s="1157"/>
      <c r="CL119" s="1157"/>
      <c r="CM119" s="1157"/>
      <c r="CN119" s="1157"/>
      <c r="CO119" s="1157"/>
      <c r="CP119" s="1157"/>
      <c r="CQ119" s="1157"/>
      <c r="CR119" s="1157"/>
      <c r="CS119" s="1157"/>
      <c r="CT119" s="1157"/>
      <c r="CU119" s="1157"/>
      <c r="CV119" s="1157"/>
      <c r="CW119" s="1157"/>
      <c r="CX119" s="1157"/>
      <c r="CY119" s="1157"/>
      <c r="CZ119" s="1157"/>
      <c r="DA119" s="1157"/>
      <c r="DB119" s="1157"/>
      <c r="DC119" s="1157"/>
      <c r="DD119" s="1157"/>
      <c r="DE119" s="1157"/>
      <c r="DF119" s="1157"/>
      <c r="DG119" s="1157"/>
      <c r="DH119" s="1157"/>
      <c r="DI119" s="1157"/>
      <c r="DJ119" s="1157"/>
      <c r="DK119" s="1157"/>
      <c r="DL119" s="1157"/>
      <c r="DM119" s="1157"/>
      <c r="DN119" s="1157"/>
      <c r="DO119" s="1157"/>
      <c r="DP119" s="1157"/>
      <c r="DQ119" s="1157"/>
      <c r="DR119" s="1157"/>
      <c r="DS119" s="1157"/>
      <c r="DT119" s="1157"/>
      <c r="DU119" s="1157"/>
      <c r="DV119" s="1157"/>
      <c r="DW119" s="1157"/>
      <c r="DX119" s="1157"/>
      <c r="DY119" s="1157"/>
      <c r="DZ119" s="1157"/>
      <c r="EA119" s="1157"/>
      <c r="EB119" s="1157"/>
      <c r="EC119" s="1157"/>
      <c r="ED119" s="1157"/>
      <c r="EE119" s="1157"/>
      <c r="EF119" s="1157"/>
      <c r="EG119" s="1157"/>
      <c r="EH119" s="1157"/>
      <c r="EI119" s="1157"/>
      <c r="EJ119" s="1157"/>
      <c r="EK119" s="1157"/>
      <c r="EL119" s="1157"/>
      <c r="EM119" s="1157"/>
      <c r="EN119" s="1157"/>
      <c r="EO119" s="1157"/>
      <c r="EP119" s="1157"/>
      <c r="EQ119" s="1157"/>
      <c r="ER119" s="1157"/>
      <c r="ES119" s="1157"/>
      <c r="ET119" s="1157"/>
      <c r="EU119" s="1157"/>
      <c r="EV119" s="1157"/>
      <c r="EW119" s="1157"/>
      <c r="EX119" s="1157"/>
      <c r="EY119" s="1157"/>
      <c r="EZ119" s="1157"/>
      <c r="FA119" s="1157"/>
      <c r="FB119" s="1157"/>
      <c r="FC119" s="1157"/>
      <c r="FD119" s="1157"/>
      <c r="FE119" s="1157"/>
      <c r="FF119" s="1157"/>
      <c r="FG119" s="1157"/>
      <c r="FH119" s="1157"/>
      <c r="FI119" s="1157"/>
      <c r="FJ119" s="1157"/>
      <c r="FK119" s="1157"/>
      <c r="FL119" s="1157"/>
      <c r="FM119" s="1157"/>
      <c r="FN119" s="1157"/>
      <c r="FO119" s="1157"/>
      <c r="FP119" s="1157"/>
      <c r="FQ119" s="1157"/>
      <c r="FR119" s="1157"/>
      <c r="FS119" s="1157"/>
      <c r="FT119" s="1157"/>
      <c r="FU119" s="1157"/>
      <c r="FV119" s="1157"/>
      <c r="FW119" s="1157"/>
      <c r="FX119" s="1157"/>
      <c r="FY119" s="1157"/>
      <c r="FZ119" s="1157"/>
      <c r="GA119" s="1157"/>
      <c r="GB119" s="1157"/>
      <c r="GC119" s="1157"/>
      <c r="GD119" s="1157"/>
      <c r="GE119" s="1157"/>
      <c r="GF119" s="1157"/>
      <c r="GG119" s="1157"/>
    </row>
    <row r="120" spans="1:189" s="1158" customFormat="1" hidden="1">
      <c r="A120" s="1182" t="str">
        <f>+[4]BPU!A333</f>
        <v>513-3</v>
      </c>
      <c r="B120" s="1183" t="str">
        <f>+[4]BPU!B333</f>
        <v>Regard (avaloir sous chaussée) de type "boîte à lettre"</v>
      </c>
      <c r="C120" s="703" t="s">
        <v>27</v>
      </c>
      <c r="D120" s="759"/>
      <c r="E120" s="650">
        <f>[4]BPU!D333</f>
        <v>60000</v>
      </c>
      <c r="F120" s="650">
        <f>+D120*E120</f>
        <v>0</v>
      </c>
      <c r="H120" s="1155" t="e">
        <f>SUM(J103:J107)/12.5</f>
        <v>#REF!</v>
      </c>
      <c r="I120" s="1156">
        <v>1.05</v>
      </c>
      <c r="J120" s="1155" t="e">
        <f>H120*I120</f>
        <v>#REF!</v>
      </c>
      <c r="K120" s="1157"/>
      <c r="L120" s="1157"/>
      <c r="M120" s="1157"/>
      <c r="N120" s="1157"/>
      <c r="O120" s="1157"/>
      <c r="P120" s="1157"/>
      <c r="Q120" s="1157"/>
      <c r="R120" s="1157"/>
      <c r="S120" s="1157"/>
      <c r="T120" s="1157"/>
      <c r="U120" s="1157"/>
      <c r="V120" s="1157"/>
      <c r="W120" s="1157"/>
      <c r="X120" s="1157"/>
      <c r="Y120" s="1157"/>
      <c r="Z120" s="1157"/>
      <c r="AA120" s="1157"/>
      <c r="AB120" s="1157"/>
      <c r="AC120" s="1157"/>
      <c r="AD120" s="1157"/>
      <c r="AE120" s="1157"/>
      <c r="AF120" s="1157"/>
      <c r="AG120" s="1157"/>
      <c r="AH120" s="1157"/>
      <c r="AI120" s="1157"/>
      <c r="AJ120" s="1157"/>
      <c r="AK120" s="1157"/>
      <c r="AL120" s="1157"/>
      <c r="AM120" s="1157"/>
      <c r="AN120" s="1157"/>
      <c r="AO120" s="1157"/>
      <c r="AP120" s="1157"/>
      <c r="AQ120" s="1157"/>
      <c r="AR120" s="1157"/>
      <c r="AS120" s="1157"/>
      <c r="AT120" s="1157"/>
      <c r="AU120" s="1157"/>
      <c r="AV120" s="1157"/>
      <c r="AW120" s="1157"/>
      <c r="AX120" s="1157"/>
      <c r="AY120" s="1157"/>
      <c r="AZ120" s="1157"/>
      <c r="BA120" s="1157"/>
      <c r="BB120" s="1157"/>
      <c r="BC120" s="1157"/>
      <c r="BD120" s="1157"/>
      <c r="BE120" s="1157"/>
      <c r="BF120" s="1157"/>
      <c r="BG120" s="1157"/>
      <c r="BH120" s="1157"/>
      <c r="BI120" s="1157"/>
      <c r="BJ120" s="1157"/>
      <c r="BK120" s="1157"/>
      <c r="BL120" s="1157"/>
      <c r="BM120" s="1157"/>
      <c r="BN120" s="1157"/>
      <c r="BO120" s="1157"/>
      <c r="BP120" s="1157"/>
      <c r="BQ120" s="1157"/>
      <c r="BR120" s="1157"/>
      <c r="BS120" s="1157"/>
      <c r="BT120" s="1157"/>
      <c r="BU120" s="1157"/>
      <c r="BV120" s="1157"/>
      <c r="BW120" s="1157"/>
      <c r="BX120" s="1157"/>
      <c r="BY120" s="1157"/>
      <c r="BZ120" s="1157"/>
      <c r="CA120" s="1157"/>
      <c r="CB120" s="1157"/>
      <c r="CC120" s="1157"/>
      <c r="CD120" s="1157"/>
      <c r="CE120" s="1157"/>
      <c r="CF120" s="1157"/>
      <c r="CG120" s="1157"/>
      <c r="CH120" s="1157"/>
      <c r="CI120" s="1157"/>
      <c r="CJ120" s="1157"/>
      <c r="CK120" s="1157"/>
      <c r="CL120" s="1157"/>
      <c r="CM120" s="1157"/>
      <c r="CN120" s="1157"/>
      <c r="CO120" s="1157"/>
      <c r="CP120" s="1157"/>
      <c r="CQ120" s="1157"/>
      <c r="CR120" s="1157"/>
      <c r="CS120" s="1157"/>
      <c r="CT120" s="1157"/>
      <c r="CU120" s="1157"/>
      <c r="CV120" s="1157"/>
      <c r="CW120" s="1157"/>
      <c r="CX120" s="1157"/>
      <c r="CY120" s="1157"/>
      <c r="CZ120" s="1157"/>
      <c r="DA120" s="1157"/>
      <c r="DB120" s="1157"/>
      <c r="DC120" s="1157"/>
      <c r="DD120" s="1157"/>
      <c r="DE120" s="1157"/>
      <c r="DF120" s="1157"/>
      <c r="DG120" s="1157"/>
      <c r="DH120" s="1157"/>
      <c r="DI120" s="1157"/>
      <c r="DJ120" s="1157"/>
      <c r="DK120" s="1157"/>
      <c r="DL120" s="1157"/>
      <c r="DM120" s="1157"/>
      <c r="DN120" s="1157"/>
      <c r="DO120" s="1157"/>
      <c r="DP120" s="1157"/>
      <c r="DQ120" s="1157"/>
      <c r="DR120" s="1157"/>
      <c r="DS120" s="1157"/>
      <c r="DT120" s="1157"/>
      <c r="DU120" s="1157"/>
      <c r="DV120" s="1157"/>
      <c r="DW120" s="1157"/>
      <c r="DX120" s="1157"/>
      <c r="DY120" s="1157"/>
      <c r="DZ120" s="1157"/>
      <c r="EA120" s="1157"/>
      <c r="EB120" s="1157"/>
      <c r="EC120" s="1157"/>
      <c r="ED120" s="1157"/>
      <c r="EE120" s="1157"/>
      <c r="EF120" s="1157"/>
      <c r="EG120" s="1157"/>
      <c r="EH120" s="1157"/>
      <c r="EI120" s="1157"/>
      <c r="EJ120" s="1157"/>
      <c r="EK120" s="1157"/>
      <c r="EL120" s="1157"/>
      <c r="EM120" s="1157"/>
      <c r="EN120" s="1157"/>
      <c r="EO120" s="1157"/>
      <c r="EP120" s="1157"/>
      <c r="EQ120" s="1157"/>
      <c r="ER120" s="1157"/>
      <c r="ES120" s="1157"/>
      <c r="ET120" s="1157"/>
      <c r="EU120" s="1157"/>
      <c r="EV120" s="1157"/>
      <c r="EW120" s="1157"/>
      <c r="EX120" s="1157"/>
      <c r="EY120" s="1157"/>
      <c r="EZ120" s="1157"/>
      <c r="FA120" s="1157"/>
      <c r="FB120" s="1157"/>
      <c r="FC120" s="1157"/>
      <c r="FD120" s="1157"/>
      <c r="FE120" s="1157"/>
      <c r="FF120" s="1157"/>
      <c r="FG120" s="1157"/>
      <c r="FH120" s="1157"/>
      <c r="FI120" s="1157"/>
      <c r="FJ120" s="1157"/>
      <c r="FK120" s="1157"/>
      <c r="FL120" s="1157"/>
      <c r="FM120" s="1157"/>
      <c r="FN120" s="1157"/>
      <c r="FO120" s="1157"/>
      <c r="FP120" s="1157"/>
      <c r="FQ120" s="1157"/>
      <c r="FR120" s="1157"/>
      <c r="FS120" s="1157"/>
      <c r="FT120" s="1157"/>
      <c r="FU120" s="1157"/>
      <c r="FV120" s="1157"/>
      <c r="FW120" s="1157"/>
      <c r="FX120" s="1157"/>
      <c r="FY120" s="1157"/>
      <c r="FZ120" s="1157"/>
      <c r="GA120" s="1157"/>
      <c r="GB120" s="1157"/>
      <c r="GC120" s="1157"/>
      <c r="GD120" s="1157"/>
      <c r="GE120" s="1157"/>
      <c r="GF120" s="1157"/>
      <c r="GG120" s="1157"/>
    </row>
    <row r="121" spans="1:189" s="1158" customFormat="1" ht="25.5" hidden="1">
      <c r="A121" s="1133" t="str">
        <f>+[4]BPU!A334</f>
        <v>513-4</v>
      </c>
      <c r="B121" s="1185" t="str">
        <f>+[4]BPU!B334</f>
        <v>construction d'un regard de dimension 11,5 m x 8,5 m et de hauteur supérieure ou égale à 1,6 m</v>
      </c>
      <c r="C121" s="645" t="s">
        <v>27</v>
      </c>
      <c r="D121" s="653">
        <v>0</v>
      </c>
      <c r="E121" s="547">
        <f>+[4]BPU!D334</f>
        <v>35337476.200000003</v>
      </c>
      <c r="F121" s="547">
        <f>+D121*E121</f>
        <v>0</v>
      </c>
      <c r="H121" s="1155"/>
      <c r="I121" s="1156"/>
      <c r="J121" s="1155"/>
      <c r="K121" s="1157"/>
      <c r="L121" s="1157"/>
      <c r="M121" s="1157"/>
      <c r="N121" s="1157"/>
      <c r="O121" s="1157"/>
      <c r="P121" s="1157"/>
      <c r="Q121" s="1157"/>
      <c r="R121" s="1157"/>
      <c r="S121" s="1157"/>
      <c r="T121" s="1157"/>
      <c r="U121" s="1157"/>
      <c r="V121" s="1157"/>
      <c r="W121" s="1157"/>
      <c r="X121" s="1157"/>
      <c r="Y121" s="1157"/>
      <c r="Z121" s="1157"/>
      <c r="AA121" s="1157"/>
      <c r="AB121" s="1157"/>
      <c r="AC121" s="1157"/>
      <c r="AD121" s="1157"/>
      <c r="AE121" s="1157"/>
      <c r="AF121" s="1157"/>
      <c r="AG121" s="1157"/>
      <c r="AH121" s="1157"/>
      <c r="AI121" s="1157"/>
      <c r="AJ121" s="1157"/>
      <c r="AK121" s="1157"/>
      <c r="AL121" s="1157"/>
      <c r="AM121" s="1157"/>
      <c r="AN121" s="1157"/>
      <c r="AO121" s="1157"/>
      <c r="AP121" s="1157"/>
      <c r="AQ121" s="1157"/>
      <c r="AR121" s="1157"/>
      <c r="AS121" s="1157"/>
      <c r="AT121" s="1157"/>
      <c r="AU121" s="1157"/>
      <c r="AV121" s="1157"/>
      <c r="AW121" s="1157"/>
      <c r="AX121" s="1157"/>
      <c r="AY121" s="1157"/>
      <c r="AZ121" s="1157"/>
      <c r="BA121" s="1157"/>
      <c r="BB121" s="1157"/>
      <c r="BC121" s="1157"/>
      <c r="BD121" s="1157"/>
      <c r="BE121" s="1157"/>
      <c r="BF121" s="1157"/>
      <c r="BG121" s="1157"/>
      <c r="BH121" s="1157"/>
      <c r="BI121" s="1157"/>
      <c r="BJ121" s="1157"/>
      <c r="BK121" s="1157"/>
      <c r="BL121" s="1157"/>
      <c r="BM121" s="1157"/>
      <c r="BN121" s="1157"/>
      <c r="BO121" s="1157"/>
      <c r="BP121" s="1157"/>
      <c r="BQ121" s="1157"/>
      <c r="BR121" s="1157"/>
      <c r="BS121" s="1157"/>
      <c r="BT121" s="1157"/>
      <c r="BU121" s="1157"/>
      <c r="BV121" s="1157"/>
      <c r="BW121" s="1157"/>
      <c r="BX121" s="1157"/>
      <c r="BY121" s="1157"/>
      <c r="BZ121" s="1157"/>
      <c r="CA121" s="1157"/>
      <c r="CB121" s="1157"/>
      <c r="CC121" s="1157"/>
      <c r="CD121" s="1157"/>
      <c r="CE121" s="1157"/>
      <c r="CF121" s="1157"/>
      <c r="CG121" s="1157"/>
      <c r="CH121" s="1157"/>
      <c r="CI121" s="1157"/>
      <c r="CJ121" s="1157"/>
      <c r="CK121" s="1157"/>
      <c r="CL121" s="1157"/>
      <c r="CM121" s="1157"/>
      <c r="CN121" s="1157"/>
      <c r="CO121" s="1157"/>
      <c r="CP121" s="1157"/>
      <c r="CQ121" s="1157"/>
      <c r="CR121" s="1157"/>
      <c r="CS121" s="1157"/>
      <c r="CT121" s="1157"/>
      <c r="CU121" s="1157"/>
      <c r="CV121" s="1157"/>
      <c r="CW121" s="1157"/>
      <c r="CX121" s="1157"/>
      <c r="CY121" s="1157"/>
      <c r="CZ121" s="1157"/>
      <c r="DA121" s="1157"/>
      <c r="DB121" s="1157"/>
      <c r="DC121" s="1157"/>
      <c r="DD121" s="1157"/>
      <c r="DE121" s="1157"/>
      <c r="DF121" s="1157"/>
      <c r="DG121" s="1157"/>
      <c r="DH121" s="1157"/>
      <c r="DI121" s="1157"/>
      <c r="DJ121" s="1157"/>
      <c r="DK121" s="1157"/>
      <c r="DL121" s="1157"/>
      <c r="DM121" s="1157"/>
      <c r="DN121" s="1157"/>
      <c r="DO121" s="1157"/>
      <c r="DP121" s="1157"/>
      <c r="DQ121" s="1157"/>
      <c r="DR121" s="1157"/>
      <c r="DS121" s="1157"/>
      <c r="DT121" s="1157"/>
      <c r="DU121" s="1157"/>
      <c r="DV121" s="1157"/>
      <c r="DW121" s="1157"/>
      <c r="DX121" s="1157"/>
      <c r="DY121" s="1157"/>
      <c r="DZ121" s="1157"/>
      <c r="EA121" s="1157"/>
      <c r="EB121" s="1157"/>
      <c r="EC121" s="1157"/>
      <c r="ED121" s="1157"/>
      <c r="EE121" s="1157"/>
      <c r="EF121" s="1157"/>
      <c r="EG121" s="1157"/>
      <c r="EH121" s="1157"/>
      <c r="EI121" s="1157"/>
      <c r="EJ121" s="1157"/>
      <c r="EK121" s="1157"/>
      <c r="EL121" s="1157"/>
      <c r="EM121" s="1157"/>
      <c r="EN121" s="1157"/>
      <c r="EO121" s="1157"/>
      <c r="EP121" s="1157"/>
      <c r="EQ121" s="1157"/>
      <c r="ER121" s="1157"/>
      <c r="ES121" s="1157"/>
      <c r="ET121" s="1157"/>
      <c r="EU121" s="1157"/>
      <c r="EV121" s="1157"/>
      <c r="EW121" s="1157"/>
      <c r="EX121" s="1157"/>
      <c r="EY121" s="1157"/>
      <c r="EZ121" s="1157"/>
      <c r="FA121" s="1157"/>
      <c r="FB121" s="1157"/>
      <c r="FC121" s="1157"/>
      <c r="FD121" s="1157"/>
      <c r="FE121" s="1157"/>
      <c r="FF121" s="1157"/>
      <c r="FG121" s="1157"/>
      <c r="FH121" s="1157"/>
      <c r="FI121" s="1157"/>
      <c r="FJ121" s="1157"/>
      <c r="FK121" s="1157"/>
      <c r="FL121" s="1157"/>
      <c r="FM121" s="1157"/>
      <c r="FN121" s="1157"/>
      <c r="FO121" s="1157"/>
      <c r="FP121" s="1157"/>
      <c r="FQ121" s="1157"/>
      <c r="FR121" s="1157"/>
      <c r="FS121" s="1157"/>
      <c r="FT121" s="1157"/>
      <c r="FU121" s="1157"/>
      <c r="FV121" s="1157"/>
      <c r="FW121" s="1157"/>
      <c r="FX121" s="1157"/>
      <c r="FY121" s="1157"/>
      <c r="FZ121" s="1157"/>
      <c r="GA121" s="1157"/>
      <c r="GB121" s="1157"/>
      <c r="GC121" s="1157"/>
      <c r="GD121" s="1157"/>
      <c r="GE121" s="1157"/>
      <c r="GF121" s="1157"/>
      <c r="GG121" s="1157"/>
    </row>
    <row r="122" spans="1:189" s="1146" customFormat="1" ht="15">
      <c r="A122" s="1120"/>
      <c r="B122" s="1134"/>
      <c r="C122" s="1391"/>
      <c r="D122" s="1392"/>
      <c r="E122" s="1393" t="s">
        <v>113</v>
      </c>
      <c r="F122" s="1394" t="e">
        <f>SUM(F82:F121)</f>
        <v>#REF!</v>
      </c>
      <c r="G122" s="44"/>
      <c r="H122" s="1144"/>
      <c r="I122" s="1145"/>
      <c r="J122" s="1144"/>
    </row>
    <row r="123" spans="1:189" s="1146" customFormat="1" ht="20.100000000000001" hidden="1" customHeight="1">
      <c r="A123" s="1116"/>
      <c r="B123" s="1134"/>
      <c r="C123" s="926"/>
      <c r="D123" s="1114"/>
      <c r="E123" s="1128"/>
      <c r="F123" s="118"/>
      <c r="G123" s="44"/>
      <c r="H123" s="1144"/>
      <c r="I123" s="1145"/>
      <c r="J123" s="1144"/>
    </row>
    <row r="124" spans="1:189" s="1152" customFormat="1" ht="24.95" hidden="1" customHeight="1">
      <c r="A124" s="1253" t="str">
        <f>+[4]BPU!A387</f>
        <v>PRIX 600 - DIVERS</v>
      </c>
      <c r="B124" s="1253"/>
      <c r="C124" s="1395" t="s">
        <v>98</v>
      </c>
      <c r="D124" s="1396" t="s">
        <v>99</v>
      </c>
      <c r="E124" s="1397" t="s">
        <v>100</v>
      </c>
      <c r="F124" s="1397" t="s">
        <v>114</v>
      </c>
      <c r="G124" s="1149"/>
      <c r="H124" s="1150"/>
      <c r="I124" s="1151"/>
      <c r="J124" s="1150"/>
    </row>
    <row r="125" spans="1:189" s="1146" customFormat="1" hidden="1">
      <c r="A125" s="1170" t="str">
        <f>+[4]BPU!A388</f>
        <v>601</v>
      </c>
      <c r="B125" s="1168" t="str">
        <f>+[4]BPU!B388</f>
        <v>Prix 601 - Aménagement d'espaces verts</v>
      </c>
      <c r="C125" s="305"/>
      <c r="D125" s="210"/>
      <c r="E125" s="161"/>
      <c r="F125" s="204"/>
      <c r="G125" s="44"/>
      <c r="H125" s="1144"/>
      <c r="I125" s="1145"/>
      <c r="J125" s="1144"/>
    </row>
    <row r="126" spans="1:189" s="1146" customFormat="1" hidden="1">
      <c r="A126" s="937" t="str">
        <f>+[4]BPU!A389</f>
        <v>601-1</v>
      </c>
      <c r="B126" s="1186" t="str">
        <f>+[4]BPU!B389</f>
        <v>Plantation  et entretien d'arbres</v>
      </c>
      <c r="C126" s="235" t="s">
        <v>27</v>
      </c>
      <c r="D126" s="235"/>
      <c r="E126" s="140">
        <f>[4]BPU!D389</f>
        <v>57232</v>
      </c>
      <c r="F126" s="314">
        <f>+D126*E126</f>
        <v>0</v>
      </c>
      <c r="G126" s="44"/>
      <c r="H126" s="1144" t="e">
        <f>SUM(#REF!)/25</f>
        <v>#REF!</v>
      </c>
      <c r="I126" s="1145">
        <v>1.1000000000000001</v>
      </c>
      <c r="J126" s="1144" t="e">
        <f>ROUND(H126*I126,0)</f>
        <v>#REF!</v>
      </c>
    </row>
    <row r="127" spans="1:189" s="176" customFormat="1" hidden="1">
      <c r="A127" s="1187" t="str">
        <f>+[4]BPU!A391</f>
        <v>601-3</v>
      </c>
      <c r="B127" s="1188" t="str">
        <f>+[4]BPU!B391</f>
        <v xml:space="preserve">Engazonnement  et entretien </v>
      </c>
      <c r="C127" s="1135" t="s">
        <v>670</v>
      </c>
      <c r="D127" s="185"/>
      <c r="E127" s="185">
        <f>+[4]BPU!D391</f>
        <v>9500</v>
      </c>
      <c r="F127" s="208">
        <f>+D127*E127</f>
        <v>0</v>
      </c>
      <c r="H127" s="1189" t="e">
        <f>+#REF!</f>
        <v>#REF!</v>
      </c>
      <c r="I127" s="1190">
        <v>1.5</v>
      </c>
      <c r="J127" s="1189" t="e">
        <f>+H127*I127</f>
        <v>#REF!</v>
      </c>
    </row>
    <row r="128" spans="1:189" s="176" customFormat="1" hidden="1">
      <c r="A128" s="1170">
        <f>+[4]BPU!A406</f>
        <v>604</v>
      </c>
      <c r="B128" s="1168" t="str">
        <f>+[4]BPU!B406</f>
        <v>Prix 604 -  signalisation</v>
      </c>
      <c r="C128" s="305"/>
      <c r="D128" s="210"/>
      <c r="E128" s="161"/>
      <c r="F128" s="204"/>
      <c r="H128" s="1189"/>
      <c r="I128" s="1190"/>
      <c r="J128" s="1189"/>
    </row>
    <row r="129" spans="1:11" s="176" customFormat="1" hidden="1">
      <c r="A129" s="937" t="str">
        <f>+[4]BPU!A407</f>
        <v>604-1</v>
      </c>
      <c r="B129" s="1186" t="str">
        <f>+[4]BPU!B407</f>
        <v>Fourniture et pose de panneaux de signalisation routière</v>
      </c>
      <c r="C129" s="235" t="s">
        <v>27</v>
      </c>
      <c r="D129" s="235">
        <v>0</v>
      </c>
      <c r="E129" s="140">
        <f>[4]BPU!D407</f>
        <v>207685</v>
      </c>
      <c r="F129" s="314">
        <f>+D129*E129</f>
        <v>0</v>
      </c>
      <c r="H129" s="1189"/>
      <c r="I129" s="1190"/>
      <c r="J129" s="1189"/>
    </row>
    <row r="130" spans="1:11" s="176" customFormat="1" hidden="1">
      <c r="A130" s="1191" t="str">
        <f>+[4]BPU!A408</f>
        <v>604-2</v>
      </c>
      <c r="B130" s="1192" t="str">
        <f>+[4]BPU!B408</f>
        <v>Ralentisseur de vitesse de type dos d'âne</v>
      </c>
      <c r="C130" s="235" t="s">
        <v>27</v>
      </c>
      <c r="D130" s="140"/>
      <c r="E130" s="140">
        <f>[4]BPU!D408</f>
        <v>623055</v>
      </c>
      <c r="F130" s="314">
        <f>+D130*E130</f>
        <v>0</v>
      </c>
      <c r="H130" s="1189"/>
      <c r="I130" s="1190"/>
      <c r="J130" s="1189"/>
    </row>
    <row r="131" spans="1:11" hidden="1">
      <c r="A131" s="1170">
        <f>+[4]BPU!A409</f>
        <v>605</v>
      </c>
      <c r="B131" s="1168" t="str">
        <f>+[4]BPU!B409</f>
        <v>Prix 605 - Protection en enrochement</v>
      </c>
      <c r="C131" s="161"/>
      <c r="D131" s="161"/>
      <c r="E131" s="161"/>
      <c r="F131" s="161"/>
    </row>
    <row r="132" spans="1:11" hidden="1">
      <c r="A132" s="1132"/>
      <c r="B132" s="1118"/>
      <c r="C132" s="168" t="s">
        <v>95</v>
      </c>
      <c r="D132" s="185"/>
      <c r="E132" s="185">
        <f>[4]BPU!D410</f>
        <v>32724</v>
      </c>
      <c r="F132" s="185">
        <f>+D132*E132</f>
        <v>0</v>
      </c>
      <c r="H132" s="1144">
        <f>2115+ (2*5+4*2)*3*60</f>
        <v>5355</v>
      </c>
      <c r="I132" s="1145">
        <v>1.1000000000000001</v>
      </c>
      <c r="J132" s="1144">
        <f>ROUND(H132*I132,0)</f>
        <v>5891</v>
      </c>
    </row>
    <row r="133" spans="1:11" ht="25.5" hidden="1">
      <c r="A133" s="1170">
        <f>+[4]BPU!A418</f>
        <v>609</v>
      </c>
      <c r="B133" s="1168" t="str">
        <f>+[4]BPU!B418</f>
        <v xml:space="preserve">Prix 609 - Réalisation de tapis drainant en gravier 20 / 40 mm sous les ouvrages </v>
      </c>
      <c r="C133" s="305"/>
      <c r="D133" s="161"/>
      <c r="E133" s="161"/>
      <c r="F133" s="161"/>
    </row>
    <row r="134" spans="1:11" hidden="1">
      <c r="A134" s="1132"/>
      <c r="B134" s="1118"/>
      <c r="C134" s="168" t="s">
        <v>95</v>
      </c>
      <c r="D134" s="185"/>
      <c r="E134" s="185">
        <f>[4]BPU!D419</f>
        <v>51865</v>
      </c>
      <c r="F134" s="185">
        <f>+D134*E134</f>
        <v>0</v>
      </c>
      <c r="H134" s="1144">
        <f>0.2*20*(20+10)*2+0.2*18*60</f>
        <v>456</v>
      </c>
      <c r="I134" s="1145">
        <v>1.1000000000000001</v>
      </c>
      <c r="J134" s="1144">
        <f>+H134*I134</f>
        <v>501.6</v>
      </c>
    </row>
    <row r="135" spans="1:11" s="1146" customFormat="1" ht="25.5" hidden="1">
      <c r="A135" s="1170">
        <f>+[4]BPU!A420</f>
        <v>610</v>
      </c>
      <c r="B135" s="1168" t="str">
        <f>+[4]BPU!B420</f>
        <v>Prix 610 - Aménagement d'un bassin de rétention  et de protection contre l'érosion côtière conformément aux plans</v>
      </c>
      <c r="C135" s="305"/>
      <c r="D135" s="161"/>
      <c r="E135" s="161"/>
      <c r="F135" s="161"/>
      <c r="G135" s="44"/>
      <c r="H135" s="1144"/>
      <c r="I135" s="1145"/>
      <c r="J135" s="1144"/>
      <c r="K135" s="1146">
        <f>10*7*2</f>
        <v>140</v>
      </c>
    </row>
    <row r="136" spans="1:11" s="1146" customFormat="1" hidden="1">
      <c r="A136" s="1132"/>
      <c r="B136" s="1118"/>
      <c r="C136" s="168" t="s">
        <v>618</v>
      </c>
      <c r="D136" s="185"/>
      <c r="E136" s="185">
        <f>[4]BPU!D421</f>
        <v>15505589</v>
      </c>
      <c r="F136" s="185">
        <f>+D136*E136</f>
        <v>0</v>
      </c>
      <c r="G136" s="44"/>
      <c r="H136" s="1144"/>
      <c r="I136" s="1145"/>
      <c r="J136" s="1144"/>
    </row>
    <row r="137" spans="1:11" s="1146" customFormat="1" ht="15">
      <c r="A137" s="1113"/>
      <c r="B137" s="926"/>
      <c r="C137" s="1398"/>
      <c r="D137" s="1399"/>
      <c r="E137" s="1400" t="s">
        <v>112</v>
      </c>
      <c r="F137" s="1383">
        <f>SUM(F125:F136)</f>
        <v>0</v>
      </c>
      <c r="G137" s="44"/>
      <c r="H137" s="1144"/>
      <c r="I137" s="1145"/>
      <c r="J137" s="1144"/>
    </row>
    <row r="138" spans="1:11" s="1146" customFormat="1" ht="12" customHeight="1">
      <c r="A138" s="1113"/>
      <c r="B138" s="926"/>
      <c r="C138" s="926"/>
      <c r="D138" s="1114"/>
      <c r="E138" s="1115"/>
      <c r="F138" s="1115"/>
      <c r="G138" s="44"/>
      <c r="H138" s="1144"/>
      <c r="I138" s="1145"/>
      <c r="J138" s="1144"/>
    </row>
    <row r="139" spans="1:11" s="1146" customFormat="1" ht="24.95" customHeight="1">
      <c r="A139" s="1113"/>
      <c r="B139" s="926"/>
      <c r="C139" s="1398"/>
      <c r="D139" s="1399"/>
      <c r="E139" s="1400" t="s">
        <v>330</v>
      </c>
      <c r="F139" s="1383" t="e">
        <f>+F38+F49+F79+F122+F137</f>
        <v>#REF!</v>
      </c>
      <c r="G139" s="44"/>
      <c r="H139" s="1144"/>
      <c r="I139" s="1145"/>
      <c r="J139" s="1144"/>
    </row>
    <row r="140" spans="1:11" s="1146" customFormat="1">
      <c r="A140" s="1113"/>
      <c r="B140" s="926"/>
      <c r="C140" s="926"/>
      <c r="D140" s="926"/>
      <c r="E140" s="926"/>
      <c r="F140" s="926"/>
      <c r="G140" s="44"/>
      <c r="H140" s="1144"/>
      <c r="I140" s="1145"/>
      <c r="J140" s="1144"/>
    </row>
    <row r="141" spans="1:11" s="1146" customFormat="1" ht="24.95" customHeight="1">
      <c r="A141" s="1113"/>
      <c r="B141" s="926"/>
      <c r="C141" s="1381"/>
      <c r="D141" s="1381"/>
      <c r="E141" s="1382" t="s">
        <v>419</v>
      </c>
      <c r="F141" s="1383" t="e">
        <f>ROUND(F139+F15,0)</f>
        <v>#REF!</v>
      </c>
      <c r="G141" s="1193"/>
      <c r="H141" s="1144"/>
      <c r="I141" s="1145"/>
      <c r="J141" s="1144"/>
    </row>
    <row r="144" spans="1:11" s="1146" customFormat="1">
      <c r="A144" s="1194"/>
      <c r="B144" s="176"/>
      <c r="C144" s="176"/>
      <c r="D144" s="176"/>
      <c r="E144" s="176"/>
      <c r="F144" s="1195"/>
      <c r="G144" s="1196"/>
      <c r="H144" s="1144"/>
      <c r="I144" s="1145"/>
      <c r="J144" s="1144"/>
    </row>
    <row r="146" spans="1:48" s="1146" customFormat="1">
      <c r="A146" s="1194"/>
      <c r="B146" s="176"/>
      <c r="C146" s="176"/>
      <c r="D146" s="176"/>
      <c r="E146" s="176"/>
      <c r="F146" s="176"/>
      <c r="G146" s="44"/>
      <c r="H146" s="1144"/>
      <c r="I146" s="1145"/>
      <c r="J146" s="1144">
        <f>18500*17</f>
        <v>314500</v>
      </c>
    </row>
    <row r="150" spans="1:48" s="1146" customFormat="1">
      <c r="A150" s="1194"/>
      <c r="B150" s="176"/>
      <c r="C150" s="176"/>
      <c r="D150" s="176"/>
      <c r="E150" s="176"/>
      <c r="F150" s="176"/>
      <c r="G150" s="44"/>
      <c r="H150" s="1144"/>
      <c r="I150" s="1145"/>
      <c r="J150" s="1144"/>
      <c r="AV150" s="1146">
        <v>46200</v>
      </c>
    </row>
    <row r="151" spans="1:48" s="1146" customFormat="1" ht="15.75">
      <c r="A151" s="1105"/>
      <c r="B151" s="176"/>
      <c r="C151" s="176"/>
      <c r="D151" s="908"/>
      <c r="E151" s="908"/>
      <c r="F151" s="1197"/>
      <c r="G151" s="44"/>
      <c r="H151" s="1144"/>
      <c r="I151" s="1145"/>
      <c r="J151" s="1144"/>
    </row>
    <row r="152" spans="1:48" s="1146" customFormat="1" ht="26.25">
      <c r="A152" s="1194"/>
      <c r="B152" s="1925"/>
      <c r="C152" s="1925"/>
      <c r="D152" s="1925"/>
      <c r="E152" s="1925"/>
      <c r="F152" s="1925"/>
      <c r="G152" s="44"/>
      <c r="H152" s="1144"/>
      <c r="I152" s="1145"/>
      <c r="J152" s="1144"/>
    </row>
    <row r="165" spans="1:10" s="1146" customFormat="1">
      <c r="A165" s="1194"/>
      <c r="B165" s="176"/>
      <c r="C165" s="176"/>
      <c r="D165" s="176"/>
      <c r="E165" s="176">
        <f>18500*17</f>
        <v>314500</v>
      </c>
      <c r="F165" s="176"/>
      <c r="G165" s="44"/>
      <c r="H165" s="1144"/>
      <c r="I165" s="1145"/>
      <c r="J165" s="1144"/>
    </row>
  </sheetData>
  <mergeCells count="4">
    <mergeCell ref="A1:F1"/>
    <mergeCell ref="A2:F2"/>
    <mergeCell ref="B3:E3"/>
    <mergeCell ref="B152:F152"/>
  </mergeCells>
  <pageMargins left="0.70866141732283472" right="0.70866141732283472" top="0.74803149606299213" bottom="0.74803149606299213" header="0.31496062992125984" footer="0.31496062992125984"/>
  <pageSetup paperSize="9" scale="77" orientation="landscape" r:id="rId1"/>
  <headerFooter>
    <oddHeader>Page &amp;P de &amp;N</oddHeader>
    <oddFooter>&amp;A</oddFooter>
  </headerFooter>
  <rowBreaks count="1" manualBreakCount="1">
    <brk id="49" max="6" man="1"/>
  </rowBreaks>
  <colBreaks count="1" manualBreakCount="1">
    <brk id="6" max="1048575" man="1"/>
  </colBreaks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theme="1" tint="4.9989318521683403E-2"/>
  </sheetPr>
  <dimension ref="A1:GG191"/>
  <sheetViews>
    <sheetView topLeftCell="A127" zoomScale="80" zoomScaleNormal="80" workbookViewId="0">
      <selection activeCell="F170" sqref="F170"/>
    </sheetView>
  </sheetViews>
  <sheetFormatPr baseColWidth="10" defaultColWidth="9.140625" defaultRowHeight="14.25"/>
  <cols>
    <col min="1" max="1" width="14" style="1194" customWidth="1"/>
    <col min="2" max="2" width="90.140625" style="176" customWidth="1"/>
    <col min="3" max="3" width="11.42578125" style="176" customWidth="1"/>
    <col min="4" max="4" width="15.5703125" style="176" customWidth="1"/>
    <col min="5" max="5" width="20.85546875" style="176" customWidth="1"/>
    <col min="6" max="6" width="28" style="176" customWidth="1"/>
    <col min="7" max="7" width="18.140625" style="44" customWidth="1"/>
    <col min="8" max="8" width="16" style="1144" bestFit="1" customWidth="1"/>
    <col min="9" max="9" width="15" style="1145" bestFit="1" customWidth="1"/>
    <col min="10" max="10" width="16" style="1144" bestFit="1" customWidth="1"/>
    <col min="11" max="11" width="21.42578125" style="1146" bestFit="1" customWidth="1"/>
    <col min="12" max="12" width="18.85546875" style="1146" customWidth="1"/>
    <col min="13" max="189" width="9.140625" style="1146"/>
    <col min="190" max="16384" width="9.140625" style="44"/>
  </cols>
  <sheetData>
    <row r="1" spans="1:11" ht="24.95" customHeight="1" thickBot="1">
      <c r="A1" s="1912" t="e">
        <f>+#REF!</f>
        <v>#REF!</v>
      </c>
      <c r="B1" s="1913"/>
      <c r="C1" s="1913"/>
      <c r="D1" s="1913"/>
      <c r="E1" s="1913"/>
      <c r="F1" s="1914"/>
    </row>
    <row r="2" spans="1:11" ht="24.95" customHeight="1" thickBot="1">
      <c r="A2" s="1856" t="s">
        <v>667</v>
      </c>
      <c r="B2" s="1857"/>
      <c r="C2" s="1857"/>
      <c r="D2" s="1857"/>
      <c r="E2" s="1857"/>
      <c r="F2" s="1858"/>
      <c r="G2" s="1147"/>
    </row>
    <row r="3" spans="1:11" s="1146" customFormat="1" ht="17.100000000000001" customHeight="1">
      <c r="A3" s="1105"/>
      <c r="B3" s="961"/>
      <c r="C3" s="961"/>
      <c r="D3" s="1106"/>
      <c r="E3" s="1107" t="s">
        <v>344</v>
      </c>
      <c r="F3" s="908"/>
      <c r="G3" s="44"/>
      <c r="H3" s="1144"/>
      <c r="I3" s="1145"/>
      <c r="J3" s="1144"/>
    </row>
    <row r="4" spans="1:11" s="1146" customFormat="1" ht="17.100000000000001" customHeight="1">
      <c r="A4" s="1105"/>
      <c r="B4" s="961"/>
      <c r="C4" s="961"/>
      <c r="D4" s="1106"/>
      <c r="E4" s="1107" t="s">
        <v>362</v>
      </c>
      <c r="F4" s="908">
        <f>(940-710)*0</f>
        <v>0</v>
      </c>
      <c r="G4" s="44"/>
      <c r="H4" s="1144"/>
      <c r="I4" s="1145"/>
      <c r="J4" s="1144"/>
    </row>
    <row r="5" spans="1:11" s="1146" customFormat="1" ht="17.100000000000001" customHeight="1">
      <c r="A5" s="1105"/>
      <c r="B5" s="961"/>
      <c r="C5" s="961"/>
      <c r="D5" s="1106"/>
      <c r="E5" s="1107" t="s">
        <v>349</v>
      </c>
      <c r="F5" s="908">
        <f>(925-700+(403)*2 +950*1.2)*0</f>
        <v>0</v>
      </c>
      <c r="G5" s="44"/>
      <c r="H5" s="1144"/>
      <c r="I5" s="1145"/>
      <c r="J5" s="1144"/>
    </row>
    <row r="6" spans="1:11" s="1146" customFormat="1" ht="17.100000000000001" customHeight="1">
      <c r="A6" s="1105"/>
      <c r="B6" s="961"/>
      <c r="C6" s="961"/>
      <c r="D6" s="1106"/>
      <c r="E6" s="1107" t="s">
        <v>345</v>
      </c>
      <c r="F6" s="908">
        <f>(1225-925+(400-0)+(700-400))*0.4</f>
        <v>400</v>
      </c>
      <c r="G6" s="44"/>
      <c r="H6" s="1144"/>
      <c r="I6" s="1145"/>
      <c r="J6" s="1144"/>
    </row>
    <row r="7" spans="1:11" s="1146" customFormat="1" ht="17.100000000000001" customHeight="1">
      <c r="A7" s="1105"/>
      <c r="B7" s="961"/>
      <c r="C7" s="961"/>
      <c r="D7" s="1106"/>
      <c r="E7" s="1107" t="s">
        <v>347</v>
      </c>
      <c r="F7" s="908">
        <f>(940-710+(150+143+120+74+42)*2+20*2*10)*0.8</f>
        <v>1350.4</v>
      </c>
      <c r="G7" s="44"/>
      <c r="H7" s="1144"/>
      <c r="I7" s="1145"/>
      <c r="J7" s="1144"/>
    </row>
    <row r="8" spans="1:11" s="1146" customFormat="1" ht="17.100000000000001" customHeight="1">
      <c r="A8" s="1105"/>
      <c r="B8" s="961"/>
      <c r="C8" s="961"/>
      <c r="D8" s="1106"/>
      <c r="E8" s="1107" t="s">
        <v>346</v>
      </c>
      <c r="F8" s="908"/>
      <c r="G8" s="44"/>
      <c r="H8" s="1144"/>
      <c r="I8" s="1145"/>
      <c r="J8" s="1144"/>
      <c r="K8" s="1146">
        <f>877*25/10</f>
        <v>2192.5</v>
      </c>
    </row>
    <row r="9" spans="1:11" s="1146" customFormat="1" ht="17.100000000000001" customHeight="1">
      <c r="A9" s="1105"/>
      <c r="B9" s="961"/>
      <c r="C9" s="961"/>
      <c r="D9" s="1106"/>
      <c r="E9" s="1107" t="s">
        <v>592</v>
      </c>
      <c r="F9" s="908">
        <f>325+30</f>
        <v>355</v>
      </c>
      <c r="G9" s="44" t="s">
        <v>679</v>
      </c>
      <c r="H9" s="1144"/>
      <c r="I9" s="1145"/>
      <c r="J9" s="1144"/>
    </row>
    <row r="10" spans="1:11" s="1146" customFormat="1" ht="17.100000000000001" customHeight="1">
      <c r="A10" s="1105"/>
      <c r="B10" s="961"/>
      <c r="C10" s="961"/>
      <c r="D10" s="1106"/>
      <c r="E10" s="1107" t="s">
        <v>593</v>
      </c>
      <c r="F10" s="908">
        <f>675-F9</f>
        <v>320</v>
      </c>
      <c r="G10" s="44">
        <v>810</v>
      </c>
      <c r="H10" s="1144"/>
      <c r="I10" s="1145"/>
      <c r="J10" s="1144"/>
    </row>
    <row r="11" spans="1:11" s="1146" customFormat="1" ht="17.100000000000001" customHeight="1">
      <c r="A11" s="1105"/>
      <c r="B11" s="961"/>
      <c r="C11" s="961"/>
      <c r="D11" s="1106"/>
      <c r="E11" s="1107" t="s">
        <v>594</v>
      </c>
      <c r="F11" s="908">
        <f>1135-F10-F9</f>
        <v>460</v>
      </c>
      <c r="G11" s="44"/>
      <c r="H11" s="1144" t="s">
        <v>659</v>
      </c>
      <c r="I11" s="1145"/>
      <c r="J11" s="1144" t="s">
        <v>660</v>
      </c>
    </row>
    <row r="12" spans="1:11" s="1146" customFormat="1" ht="17.100000000000001" customHeight="1">
      <c r="A12" s="1105"/>
      <c r="B12" s="961"/>
      <c r="C12" s="961"/>
      <c r="D12" s="1106"/>
      <c r="E12" s="1107" t="s">
        <v>671</v>
      </c>
      <c r="F12" s="908">
        <f>1525-1135</f>
        <v>390</v>
      </c>
      <c r="G12" s="44"/>
      <c r="H12" s="1144"/>
      <c r="I12" s="1145">
        <f>840/30</f>
        <v>28</v>
      </c>
      <c r="J12" s="1144"/>
    </row>
    <row r="13" spans="1:11" s="1146" customFormat="1" ht="17.100000000000001" customHeight="1">
      <c r="A13" s="1105"/>
      <c r="B13" s="961"/>
      <c r="C13" s="961"/>
      <c r="D13" s="1106"/>
      <c r="E13" s="1107" t="s">
        <v>657</v>
      </c>
      <c r="F13" s="908"/>
      <c r="G13" s="44">
        <v>9.84</v>
      </c>
      <c r="H13" s="1144">
        <f>+F13*G13</f>
        <v>0</v>
      </c>
      <c r="I13" s="1145">
        <v>4</v>
      </c>
      <c r="J13" s="1144">
        <f>+F13*I13</f>
        <v>0</v>
      </c>
    </row>
    <row r="14" spans="1:11" s="1146" customFormat="1" ht="17.100000000000001" customHeight="1">
      <c r="A14" s="1105"/>
      <c r="B14" s="961"/>
      <c r="C14" s="961"/>
      <c r="D14" s="1106"/>
      <c r="E14" s="1107" t="s">
        <v>658</v>
      </c>
      <c r="F14" s="908"/>
      <c r="G14" s="44">
        <v>9.84</v>
      </c>
      <c r="H14" s="1144">
        <f t="shared" ref="H14:H17" si="0">+F14*G14</f>
        <v>0</v>
      </c>
      <c r="I14" s="1145">
        <v>5</v>
      </c>
      <c r="J14" s="1144">
        <f t="shared" ref="J14:J17" si="1">+F14*I14</f>
        <v>0</v>
      </c>
    </row>
    <row r="15" spans="1:11" s="1146" customFormat="1" ht="17.100000000000001" customHeight="1">
      <c r="A15" s="1105"/>
      <c r="B15" s="961"/>
      <c r="C15" s="961"/>
      <c r="D15" s="1106"/>
      <c r="E15" s="1107" t="s">
        <v>352</v>
      </c>
      <c r="F15" s="908">
        <v>1270</v>
      </c>
      <c r="G15" s="44">
        <v>9.84</v>
      </c>
      <c r="H15" s="1144">
        <f t="shared" si="0"/>
        <v>12496.8</v>
      </c>
      <c r="I15" s="1145">
        <v>3.5</v>
      </c>
      <c r="J15" s="1144">
        <f t="shared" si="1"/>
        <v>4445</v>
      </c>
    </row>
    <row r="16" spans="1:11" s="1146" customFormat="1" ht="17.100000000000001" customHeight="1">
      <c r="A16" s="1105"/>
      <c r="B16" s="961"/>
      <c r="C16" s="961"/>
      <c r="D16" s="1106"/>
      <c r="E16" s="1107" t="s">
        <v>350</v>
      </c>
      <c r="F16" s="908"/>
      <c r="G16" s="44">
        <v>11.84</v>
      </c>
      <c r="H16" s="1144">
        <f t="shared" si="0"/>
        <v>0</v>
      </c>
      <c r="I16" s="1145">
        <f>20-11-2</f>
        <v>7</v>
      </c>
      <c r="J16" s="1144">
        <f t="shared" si="1"/>
        <v>0</v>
      </c>
    </row>
    <row r="17" spans="1:189" s="1146" customFormat="1" ht="17.100000000000001" customHeight="1">
      <c r="A17" s="1105"/>
      <c r="B17" s="961"/>
      <c r="C17" s="961"/>
      <c r="D17" s="1106"/>
      <c r="E17" s="1107" t="s">
        <v>351</v>
      </c>
      <c r="F17" s="908"/>
      <c r="G17" s="44">
        <v>9.84</v>
      </c>
      <c r="H17" s="1144">
        <f t="shared" si="0"/>
        <v>0</v>
      </c>
      <c r="I17" s="1145">
        <f>2*2</f>
        <v>4</v>
      </c>
      <c r="J17" s="1144">
        <f t="shared" si="1"/>
        <v>0</v>
      </c>
    </row>
    <row r="18" spans="1:189" s="1146" customFormat="1" ht="24" customHeight="1">
      <c r="A18" s="1402" t="s">
        <v>661</v>
      </c>
      <c r="B18" s="1402" t="s">
        <v>584</v>
      </c>
      <c r="C18" s="1402" t="s">
        <v>98</v>
      </c>
      <c r="D18" s="1402" t="s">
        <v>99</v>
      </c>
      <c r="E18" s="1569" t="s">
        <v>100</v>
      </c>
      <c r="F18" s="1569" t="s">
        <v>680</v>
      </c>
      <c r="G18" s="44"/>
      <c r="H18" s="1144">
        <f>SUM(H13:H17)</f>
        <v>12496.8</v>
      </c>
      <c r="I18" s="1145"/>
      <c r="J18" s="1144">
        <f>SUM(J13:J17)</f>
        <v>4445</v>
      </c>
    </row>
    <row r="19" spans="1:189" s="1148" customFormat="1" ht="24.95" customHeight="1">
      <c r="A19" s="1905" t="e">
        <f>+#REF!</f>
        <v>#REF!</v>
      </c>
      <c r="B19" s="1906"/>
      <c r="C19" s="1906"/>
      <c r="D19" s="1906"/>
      <c r="E19" s="1906"/>
      <c r="F19" s="1907"/>
      <c r="H19" s="1148">
        <f>+H18+9.84*20*(50-35)</f>
        <v>15448.8</v>
      </c>
      <c r="J19" s="1148">
        <f>+J18+4*2*20*50</f>
        <v>12445</v>
      </c>
    </row>
    <row r="20" spans="1:189" s="1152" customFormat="1" ht="30" customHeight="1">
      <c r="A20" s="649" t="e">
        <f>+#REF!</f>
        <v>#REF!</v>
      </c>
      <c r="B20" s="1628" t="e">
        <f>+#REF!</f>
        <v>#REF!</v>
      </c>
      <c r="C20" s="1138"/>
      <c r="D20" s="543"/>
      <c r="E20" s="1492"/>
      <c r="F20" s="544"/>
      <c r="G20" s="1149"/>
      <c r="H20" s="1150"/>
      <c r="I20" s="1151"/>
      <c r="J20" s="1150">
        <f>+F20*I20</f>
        <v>0</v>
      </c>
    </row>
    <row r="21" spans="1:189" s="1152" customFormat="1" ht="15.95" customHeight="1">
      <c r="A21" s="1418"/>
      <c r="B21" s="467"/>
      <c r="C21" s="714" t="e">
        <f>#REF!</f>
        <v>#REF!</v>
      </c>
      <c r="D21" s="714">
        <v>1</v>
      </c>
      <c r="E21" s="547" t="e">
        <f>J21</f>
        <v>#REF!</v>
      </c>
      <c r="F21" s="547" t="e">
        <f>+D21*E21</f>
        <v>#REF!</v>
      </c>
      <c r="G21" s="1149"/>
      <c r="H21" s="1153" t="e">
        <f>+F165*0.085</f>
        <v>#REF!</v>
      </c>
      <c r="I21" s="1151">
        <v>1</v>
      </c>
      <c r="J21" s="1150" t="e">
        <f>H21*I21</f>
        <v>#REF!</v>
      </c>
    </row>
    <row r="22" spans="1:189" s="1152" customFormat="1">
      <c r="A22" s="649" t="e">
        <f>+#REF!</f>
        <v>#REF!</v>
      </c>
      <c r="B22" s="1541" t="e">
        <f>+#REF!</f>
        <v>#REF!</v>
      </c>
      <c r="C22" s="1138"/>
      <c r="D22" s="543"/>
      <c r="E22" s="544"/>
      <c r="F22" s="544"/>
      <c r="G22" s="1149"/>
      <c r="H22" s="1150"/>
      <c r="I22" s="1151"/>
      <c r="J22" s="1150"/>
    </row>
    <row r="23" spans="1:189" s="1152" customFormat="1">
      <c r="A23" s="1418"/>
      <c r="B23" s="1612"/>
      <c r="C23" s="714" t="e">
        <f>#REF!</f>
        <v>#REF!</v>
      </c>
      <c r="D23" s="714">
        <v>1</v>
      </c>
      <c r="E23" s="547" t="e">
        <f>+H23</f>
        <v>#REF!</v>
      </c>
      <c r="F23" s="547" t="e">
        <f>+D23*E23</f>
        <v>#REF!</v>
      </c>
      <c r="G23" s="1149"/>
      <c r="H23" s="1150" t="e">
        <f>+F21*0.08</f>
        <v>#REF!</v>
      </c>
      <c r="I23" s="1151">
        <v>1.1000000000000001</v>
      </c>
      <c r="J23" s="1150" t="e">
        <f>H23*I23</f>
        <v>#REF!</v>
      </c>
    </row>
    <row r="24" spans="1:189" s="1152" customFormat="1" ht="18.75">
      <c r="A24" s="1512"/>
      <c r="B24" s="1514"/>
      <c r="C24" s="1608"/>
      <c r="D24" s="636"/>
      <c r="E24" s="1609" t="s">
        <v>108</v>
      </c>
      <c r="F24" s="1122" t="e">
        <f>SUM(F20:F23)</f>
        <v>#REF!</v>
      </c>
      <c r="G24" s="1149"/>
      <c r="H24" s="1150">
        <f>SUM(F13:F17)</f>
        <v>1270</v>
      </c>
      <c r="I24" s="1151"/>
      <c r="J24" s="1150"/>
    </row>
    <row r="25" spans="1:189" s="1146" customFormat="1" ht="15" customHeight="1">
      <c r="A25" s="1584"/>
      <c r="B25" s="1585"/>
      <c r="C25" s="1069"/>
      <c r="D25" s="1114"/>
      <c r="E25" s="1070"/>
      <c r="F25" s="1070"/>
      <c r="G25" s="44"/>
      <c r="H25" s="1144"/>
      <c r="I25" s="1145"/>
      <c r="J25" s="1144"/>
    </row>
    <row r="26" spans="1:189" s="1146" customFormat="1" ht="24.95" customHeight="1">
      <c r="A26" s="1905" t="e">
        <f>+#REF!</f>
        <v>#REF!</v>
      </c>
      <c r="B26" s="1906"/>
      <c r="C26" s="1906"/>
      <c r="D26" s="1906"/>
      <c r="E26" s="1906"/>
      <c r="F26" s="1907"/>
      <c r="G26" s="44"/>
      <c r="H26" s="1144"/>
      <c r="I26" s="1145"/>
      <c r="J26" s="1144"/>
    </row>
    <row r="27" spans="1:189" s="1146" customFormat="1">
      <c r="A27" s="745" t="e">
        <f>+#REF!</f>
        <v>#REF!</v>
      </c>
      <c r="B27" s="768" t="e">
        <f>+#REF!</f>
        <v>#REF!</v>
      </c>
      <c r="C27" s="1136"/>
      <c r="D27" s="544"/>
      <c r="E27" s="544"/>
      <c r="F27" s="544"/>
      <c r="H27" s="1144"/>
      <c r="I27" s="1145"/>
      <c r="J27" s="1144"/>
      <c r="N27" s="1146">
        <f>1.7*3</f>
        <v>5.0999999999999996</v>
      </c>
    </row>
    <row r="28" spans="1:189" s="1146" customFormat="1">
      <c r="A28" s="1418"/>
      <c r="B28" s="715"/>
      <c r="C28" s="1480" t="e">
        <f>#REF!</f>
        <v>#REF!</v>
      </c>
      <c r="D28" s="650"/>
      <c r="E28" s="547"/>
      <c r="F28" s="547"/>
      <c r="G28" s="1154" t="e">
        <f>+#REF!</f>
        <v>#REF!</v>
      </c>
      <c r="H28" s="1144" t="e">
        <f>+F165</f>
        <v>#REF!</v>
      </c>
      <c r="I28" s="44">
        <v>0.02</v>
      </c>
      <c r="J28" s="1144"/>
    </row>
    <row r="29" spans="1:189" s="1158" customFormat="1">
      <c r="A29" s="745" t="e">
        <f>+#REF!</f>
        <v>#REF!</v>
      </c>
      <c r="B29" s="768" t="e">
        <f>+#REF!</f>
        <v>#REF!</v>
      </c>
      <c r="C29" s="1137"/>
      <c r="D29" s="544"/>
      <c r="E29" s="1136"/>
      <c r="F29" s="544"/>
      <c r="G29" s="1154"/>
      <c r="H29" s="1155"/>
      <c r="I29" s="1156"/>
      <c r="J29" s="1155"/>
      <c r="K29" s="1157"/>
      <c r="L29" s="1157"/>
      <c r="M29" s="1157"/>
      <c r="N29" s="1157"/>
      <c r="O29" s="1157"/>
      <c r="P29" s="1157"/>
      <c r="Q29" s="1157"/>
      <c r="R29" s="1157"/>
      <c r="S29" s="1157"/>
      <c r="T29" s="1157"/>
      <c r="U29" s="1157"/>
      <c r="V29" s="1157"/>
      <c r="W29" s="1157"/>
      <c r="X29" s="1157"/>
      <c r="Y29" s="1157"/>
      <c r="Z29" s="1157"/>
      <c r="AA29" s="1157"/>
      <c r="AB29" s="1157"/>
      <c r="AC29" s="1157"/>
      <c r="AD29" s="1157"/>
      <c r="AE29" s="1157"/>
      <c r="AF29" s="1157"/>
      <c r="AG29" s="1157"/>
      <c r="AH29" s="1157"/>
      <c r="AI29" s="1157"/>
      <c r="AJ29" s="1157"/>
      <c r="AK29" s="1157"/>
      <c r="AL29" s="1157"/>
      <c r="AM29" s="1157"/>
      <c r="AN29" s="1157"/>
      <c r="AO29" s="1157"/>
      <c r="AP29" s="1157"/>
      <c r="AQ29" s="1157"/>
      <c r="AR29" s="1157"/>
      <c r="AS29" s="1157"/>
      <c r="AT29" s="1157"/>
      <c r="AU29" s="1157"/>
      <c r="AV29" s="1157"/>
      <c r="AW29" s="1157"/>
      <c r="AX29" s="1157"/>
      <c r="AY29" s="1157"/>
      <c r="AZ29" s="1157"/>
      <c r="BA29" s="1157"/>
      <c r="BB29" s="1157"/>
      <c r="BC29" s="1157"/>
      <c r="BD29" s="1157"/>
      <c r="BE29" s="1157"/>
      <c r="BF29" s="1157"/>
      <c r="BG29" s="1157"/>
      <c r="BH29" s="1157"/>
      <c r="BI29" s="1157"/>
      <c r="BJ29" s="1157"/>
      <c r="BK29" s="1157"/>
      <c r="BL29" s="1157"/>
      <c r="BM29" s="1157"/>
      <c r="BN29" s="1157"/>
      <c r="BO29" s="1157"/>
      <c r="BP29" s="1157"/>
      <c r="BQ29" s="1157"/>
      <c r="BR29" s="1157"/>
      <c r="BS29" s="1157"/>
      <c r="BT29" s="1157"/>
      <c r="BU29" s="1157"/>
      <c r="BV29" s="1157"/>
      <c r="BW29" s="1157"/>
      <c r="BX29" s="1157"/>
      <c r="BY29" s="1157"/>
      <c r="BZ29" s="1157"/>
      <c r="CA29" s="1157"/>
      <c r="CB29" s="1157"/>
      <c r="CC29" s="1157"/>
      <c r="CD29" s="1157"/>
      <c r="CE29" s="1157"/>
      <c r="CF29" s="1157"/>
      <c r="CG29" s="1157"/>
      <c r="CH29" s="1157"/>
      <c r="CI29" s="1157"/>
      <c r="CJ29" s="1157"/>
      <c r="CK29" s="1157"/>
      <c r="CL29" s="1157"/>
      <c r="CM29" s="1157"/>
      <c r="CN29" s="1157"/>
      <c r="CO29" s="1157"/>
      <c r="CP29" s="1157"/>
      <c r="CQ29" s="1157"/>
      <c r="CR29" s="1157"/>
      <c r="CS29" s="1157"/>
      <c r="CT29" s="1157"/>
      <c r="CU29" s="1157"/>
      <c r="CV29" s="1157"/>
      <c r="CW29" s="1157"/>
      <c r="CX29" s="1157"/>
      <c r="CY29" s="1157"/>
      <c r="CZ29" s="1157"/>
      <c r="DA29" s="1157"/>
      <c r="DB29" s="1157"/>
      <c r="DC29" s="1157"/>
      <c r="DD29" s="1157"/>
      <c r="DE29" s="1157"/>
      <c r="DF29" s="1157"/>
      <c r="DG29" s="1157"/>
      <c r="DH29" s="1157"/>
      <c r="DI29" s="1157"/>
      <c r="DJ29" s="1157"/>
      <c r="DK29" s="1157"/>
      <c r="DL29" s="1157"/>
      <c r="DM29" s="1157"/>
      <c r="DN29" s="1157"/>
      <c r="DO29" s="1157"/>
      <c r="DP29" s="1157"/>
      <c r="DQ29" s="1157"/>
      <c r="DR29" s="1157"/>
      <c r="DS29" s="1157"/>
      <c r="DT29" s="1157"/>
      <c r="DU29" s="1157"/>
      <c r="DV29" s="1157"/>
      <c r="DW29" s="1157"/>
      <c r="DX29" s="1157"/>
      <c r="DY29" s="1157"/>
      <c r="DZ29" s="1157"/>
      <c r="EA29" s="1157"/>
      <c r="EB29" s="1157"/>
      <c r="EC29" s="1157"/>
      <c r="ED29" s="1157"/>
      <c r="EE29" s="1157"/>
      <c r="EF29" s="1157"/>
      <c r="EG29" s="1157"/>
      <c r="EH29" s="1157"/>
      <c r="EI29" s="1157"/>
      <c r="EJ29" s="1157"/>
      <c r="EK29" s="1157"/>
      <c r="EL29" s="1157"/>
      <c r="EM29" s="1157"/>
      <c r="EN29" s="1157"/>
      <c r="EO29" s="1157"/>
      <c r="EP29" s="1157"/>
      <c r="EQ29" s="1157"/>
      <c r="ER29" s="1157"/>
      <c r="ES29" s="1157"/>
      <c r="ET29" s="1157"/>
      <c r="EU29" s="1157"/>
      <c r="EV29" s="1157"/>
      <c r="EW29" s="1157"/>
      <c r="EX29" s="1157"/>
      <c r="EY29" s="1157"/>
      <c r="EZ29" s="1157"/>
      <c r="FA29" s="1157"/>
      <c r="FB29" s="1157"/>
      <c r="FC29" s="1157"/>
      <c r="FD29" s="1157"/>
      <c r="FE29" s="1157"/>
      <c r="FF29" s="1157"/>
      <c r="FG29" s="1157"/>
      <c r="FH29" s="1157"/>
      <c r="FI29" s="1157"/>
      <c r="FJ29" s="1157"/>
      <c r="FK29" s="1157"/>
      <c r="FL29" s="1157"/>
      <c r="FM29" s="1157"/>
      <c r="FN29" s="1157"/>
      <c r="FO29" s="1157"/>
      <c r="FP29" s="1157"/>
      <c r="FQ29" s="1157"/>
      <c r="FR29" s="1157"/>
      <c r="FS29" s="1157"/>
      <c r="FT29" s="1157"/>
      <c r="FU29" s="1157"/>
      <c r="FV29" s="1157"/>
      <c r="FW29" s="1157"/>
      <c r="FX29" s="1157"/>
      <c r="FY29" s="1157"/>
      <c r="FZ29" s="1157"/>
      <c r="GA29" s="1157"/>
      <c r="GB29" s="1157"/>
      <c r="GC29" s="1157"/>
      <c r="GD29" s="1157"/>
      <c r="GE29" s="1157"/>
      <c r="GF29" s="1157"/>
      <c r="GG29" s="1157"/>
    </row>
    <row r="30" spans="1:189" s="1158" customFormat="1">
      <c r="A30" s="1418"/>
      <c r="B30" s="715"/>
      <c r="C30" s="1481" t="e">
        <f>#REF!</f>
        <v>#REF!</v>
      </c>
      <c r="D30" s="547"/>
      <c r="E30" s="963"/>
      <c r="F30" s="547"/>
      <c r="G30" s="1154" t="e">
        <f t="shared" ref="G30" si="2">+H30*I30</f>
        <v>#REF!</v>
      </c>
      <c r="H30" s="1155" t="e">
        <f>+H28</f>
        <v>#REF!</v>
      </c>
      <c r="I30" s="1156">
        <v>0.02</v>
      </c>
      <c r="J30" s="1155" t="e">
        <f>H30*I30</f>
        <v>#REF!</v>
      </c>
      <c r="K30" s="1157"/>
      <c r="L30" s="1157"/>
      <c r="M30" s="1157"/>
      <c r="N30" s="1157"/>
      <c r="O30" s="1157"/>
      <c r="P30" s="1157"/>
      <c r="Q30" s="1157"/>
      <c r="R30" s="1157"/>
      <c r="S30" s="1157"/>
      <c r="T30" s="1157"/>
      <c r="U30" s="1157"/>
      <c r="V30" s="1157"/>
      <c r="W30" s="1157"/>
      <c r="X30" s="1157"/>
      <c r="Y30" s="1157"/>
      <c r="Z30" s="1157"/>
      <c r="AA30" s="1157"/>
      <c r="AB30" s="1157"/>
      <c r="AC30" s="1157"/>
      <c r="AD30" s="1157"/>
      <c r="AE30" s="1157"/>
      <c r="AF30" s="1157"/>
      <c r="AG30" s="1157"/>
      <c r="AH30" s="1157"/>
      <c r="AI30" s="1157"/>
      <c r="AJ30" s="1157"/>
      <c r="AK30" s="1157"/>
      <c r="AL30" s="1157"/>
      <c r="AM30" s="1157"/>
      <c r="AN30" s="1157"/>
      <c r="AO30" s="1157"/>
      <c r="AP30" s="1157"/>
      <c r="AQ30" s="1157"/>
      <c r="AR30" s="1157"/>
      <c r="AS30" s="1157"/>
      <c r="AT30" s="1157"/>
      <c r="AU30" s="1157"/>
      <c r="AV30" s="1157"/>
      <c r="AW30" s="1157"/>
      <c r="AX30" s="1157"/>
      <c r="AY30" s="1157"/>
      <c r="AZ30" s="1157"/>
      <c r="BA30" s="1157"/>
      <c r="BB30" s="1157"/>
      <c r="BC30" s="1157"/>
      <c r="BD30" s="1157"/>
      <c r="BE30" s="1157"/>
      <c r="BF30" s="1157"/>
      <c r="BG30" s="1157"/>
      <c r="BH30" s="1157"/>
      <c r="BI30" s="1157"/>
      <c r="BJ30" s="1157"/>
      <c r="BK30" s="1157"/>
      <c r="BL30" s="1157"/>
      <c r="BM30" s="1157"/>
      <c r="BN30" s="1157"/>
      <c r="BO30" s="1157"/>
      <c r="BP30" s="1157"/>
      <c r="BQ30" s="1157"/>
      <c r="BR30" s="1157"/>
      <c r="BS30" s="1157"/>
      <c r="BT30" s="1157"/>
      <c r="BU30" s="1157"/>
      <c r="BV30" s="1157"/>
      <c r="BW30" s="1157"/>
      <c r="BX30" s="1157"/>
      <c r="BY30" s="1157"/>
      <c r="BZ30" s="1157"/>
      <c r="CA30" s="1157"/>
      <c r="CB30" s="1157"/>
      <c r="CC30" s="1157"/>
      <c r="CD30" s="1157"/>
      <c r="CE30" s="1157"/>
      <c r="CF30" s="1157"/>
      <c r="CG30" s="1157"/>
      <c r="CH30" s="1157"/>
      <c r="CI30" s="1157"/>
      <c r="CJ30" s="1157"/>
      <c r="CK30" s="1157"/>
      <c r="CL30" s="1157"/>
      <c r="CM30" s="1157"/>
      <c r="CN30" s="1157"/>
      <c r="CO30" s="1157"/>
      <c r="CP30" s="1157"/>
      <c r="CQ30" s="1157"/>
      <c r="CR30" s="1157"/>
      <c r="CS30" s="1157"/>
      <c r="CT30" s="1157"/>
      <c r="CU30" s="1157"/>
      <c r="CV30" s="1157"/>
      <c r="CW30" s="1157"/>
      <c r="CX30" s="1157"/>
      <c r="CY30" s="1157"/>
      <c r="CZ30" s="1157"/>
      <c r="DA30" s="1157"/>
      <c r="DB30" s="1157"/>
      <c r="DC30" s="1157"/>
      <c r="DD30" s="1157"/>
      <c r="DE30" s="1157"/>
      <c r="DF30" s="1157"/>
      <c r="DG30" s="1157"/>
      <c r="DH30" s="1157"/>
      <c r="DI30" s="1157"/>
      <c r="DJ30" s="1157"/>
      <c r="DK30" s="1157"/>
      <c r="DL30" s="1157"/>
      <c r="DM30" s="1157"/>
      <c r="DN30" s="1157"/>
      <c r="DO30" s="1157"/>
      <c r="DP30" s="1157"/>
      <c r="DQ30" s="1157"/>
      <c r="DR30" s="1157"/>
      <c r="DS30" s="1157"/>
      <c r="DT30" s="1157"/>
      <c r="DU30" s="1157"/>
      <c r="DV30" s="1157"/>
      <c r="DW30" s="1157"/>
      <c r="DX30" s="1157"/>
      <c r="DY30" s="1157"/>
      <c r="DZ30" s="1157"/>
      <c r="EA30" s="1157"/>
      <c r="EB30" s="1157"/>
      <c r="EC30" s="1157"/>
      <c r="ED30" s="1157"/>
      <c r="EE30" s="1157"/>
      <c r="EF30" s="1157"/>
      <c r="EG30" s="1157"/>
      <c r="EH30" s="1157"/>
      <c r="EI30" s="1157"/>
      <c r="EJ30" s="1157"/>
      <c r="EK30" s="1157"/>
      <c r="EL30" s="1157"/>
      <c r="EM30" s="1157"/>
      <c r="EN30" s="1157"/>
      <c r="EO30" s="1157"/>
      <c r="EP30" s="1157"/>
      <c r="EQ30" s="1157"/>
      <c r="ER30" s="1157"/>
      <c r="ES30" s="1157"/>
      <c r="ET30" s="1157"/>
      <c r="EU30" s="1157"/>
      <c r="EV30" s="1157"/>
      <c r="EW30" s="1157"/>
      <c r="EX30" s="1157"/>
      <c r="EY30" s="1157"/>
      <c r="EZ30" s="1157"/>
      <c r="FA30" s="1157"/>
      <c r="FB30" s="1157"/>
      <c r="FC30" s="1157"/>
      <c r="FD30" s="1157"/>
      <c r="FE30" s="1157"/>
      <c r="FF30" s="1157"/>
      <c r="FG30" s="1157"/>
      <c r="FH30" s="1157"/>
      <c r="FI30" s="1157"/>
      <c r="FJ30" s="1157"/>
      <c r="FK30" s="1157"/>
      <c r="FL30" s="1157"/>
      <c r="FM30" s="1157"/>
      <c r="FN30" s="1157"/>
      <c r="FO30" s="1157"/>
      <c r="FP30" s="1157"/>
      <c r="FQ30" s="1157"/>
      <c r="FR30" s="1157"/>
      <c r="FS30" s="1157"/>
      <c r="FT30" s="1157"/>
      <c r="FU30" s="1157"/>
      <c r="FV30" s="1157"/>
      <c r="FW30" s="1157"/>
      <c r="FX30" s="1157"/>
      <c r="FY30" s="1157"/>
      <c r="FZ30" s="1157"/>
      <c r="GA30" s="1157"/>
      <c r="GB30" s="1157"/>
      <c r="GC30" s="1157"/>
      <c r="GD30" s="1157"/>
      <c r="GE30" s="1157"/>
      <c r="GF30" s="1157"/>
      <c r="GG30" s="1157"/>
    </row>
    <row r="31" spans="1:189">
      <c r="A31" s="745" t="e">
        <f>+#REF!</f>
        <v>#REF!</v>
      </c>
      <c r="B31" s="768" t="e">
        <f>+#REF!</f>
        <v>#REF!</v>
      </c>
      <c r="C31" s="1136"/>
      <c r="D31" s="544"/>
      <c r="E31" s="1136"/>
      <c r="F31" s="544"/>
      <c r="G31" s="1154"/>
    </row>
    <row r="32" spans="1:189">
      <c r="A32" s="1418"/>
      <c r="B32" s="715"/>
      <c r="C32" s="1480" t="e">
        <f>#REF!</f>
        <v>#REF!</v>
      </c>
      <c r="D32" s="547"/>
      <c r="E32" s="963"/>
      <c r="F32" s="547"/>
      <c r="G32" s="1154" t="e">
        <f>+#REF!</f>
        <v>#REF!</v>
      </c>
      <c r="H32" s="1144" t="e">
        <f>+H30</f>
        <v>#REF!</v>
      </c>
      <c r="I32" s="1145">
        <v>0.01</v>
      </c>
    </row>
    <row r="33" spans="1:189">
      <c r="A33" s="745" t="e">
        <f>+#REF!</f>
        <v>#REF!</v>
      </c>
      <c r="B33" s="768" t="e">
        <f>+#REF!</f>
        <v>#REF!</v>
      </c>
      <c r="C33" s="1136"/>
      <c r="D33" s="544"/>
      <c r="E33" s="1136"/>
      <c r="F33" s="544"/>
      <c r="G33" s="1154"/>
    </row>
    <row r="34" spans="1:189">
      <c r="A34" s="1418"/>
      <c r="B34" s="715"/>
      <c r="C34" s="1480" t="e">
        <f>#REF!</f>
        <v>#REF!</v>
      </c>
      <c r="D34" s="547"/>
      <c r="E34" s="963"/>
      <c r="F34" s="547"/>
      <c r="H34" s="1144" t="e">
        <f>H23/50*50%</f>
        <v>#REF!</v>
      </c>
      <c r="I34" s="1156">
        <v>1.05</v>
      </c>
      <c r="J34" s="1155" t="e">
        <f>H34*I34</f>
        <v>#REF!</v>
      </c>
    </row>
    <row r="35" spans="1:189">
      <c r="A35" s="745" t="e">
        <f>+#REF!</f>
        <v>#REF!</v>
      </c>
      <c r="B35" s="1614" t="e">
        <f>+#REF!</f>
        <v>#REF!</v>
      </c>
      <c r="C35" s="1136"/>
      <c r="D35" s="544"/>
      <c r="E35" s="1136"/>
      <c r="F35" s="544"/>
      <c r="H35" s="1144" t="e">
        <f>H23/25*50%</f>
        <v>#REF!</v>
      </c>
      <c r="I35" s="1156">
        <v>1.05</v>
      </c>
      <c r="J35" s="1155" t="e">
        <f>H35*I35</f>
        <v>#REF!</v>
      </c>
    </row>
    <row r="36" spans="1:189">
      <c r="A36" s="1418"/>
      <c r="B36" s="715"/>
      <c r="C36" s="1480" t="e">
        <f>#REF!</f>
        <v>#REF!</v>
      </c>
      <c r="D36" s="547"/>
      <c r="E36" s="963"/>
      <c r="F36" s="547"/>
      <c r="G36" s="1154" t="e">
        <f>SUM(G28:G32)</f>
        <v>#REF!</v>
      </c>
      <c r="H36" s="1144">
        <v>20</v>
      </c>
      <c r="I36" s="1156">
        <v>1.05</v>
      </c>
      <c r="J36" s="1155">
        <f>H36*I36</f>
        <v>21</v>
      </c>
    </row>
    <row r="37" spans="1:189">
      <c r="A37" s="745" t="e">
        <f>+#REF!</f>
        <v>#REF!</v>
      </c>
      <c r="B37" s="768" t="e">
        <f>+#REF!</f>
        <v>#REF!</v>
      </c>
      <c r="C37" s="1136"/>
      <c r="D37" s="544"/>
      <c r="E37" s="1136"/>
      <c r="F37" s="544"/>
      <c r="H37" s="1144" t="e">
        <f>30%*H23</f>
        <v>#REF!</v>
      </c>
      <c r="I37" s="1156">
        <v>1.05</v>
      </c>
      <c r="J37" s="1155" t="e">
        <f>H37*I37</f>
        <v>#REF!</v>
      </c>
    </row>
    <row r="38" spans="1:189">
      <c r="A38" s="1418"/>
      <c r="B38" s="715"/>
      <c r="C38" s="1480" t="e">
        <f>#REF!</f>
        <v>#REF!</v>
      </c>
      <c r="D38" s="547">
        <v>20</v>
      </c>
      <c r="E38" s="963" t="e">
        <f>+#REF!</f>
        <v>#REF!</v>
      </c>
      <c r="F38" s="547" t="e">
        <f t="shared" ref="F38" si="3">+D38*E38</f>
        <v>#REF!</v>
      </c>
    </row>
    <row r="39" spans="1:189" ht="18.75">
      <c r="A39" s="1586"/>
      <c r="B39" s="1587"/>
      <c r="C39" s="1608"/>
      <c r="D39" s="636"/>
      <c r="E39" s="1609" t="s">
        <v>106</v>
      </c>
      <c r="F39" s="1122" t="e">
        <f>SUM(F38)</f>
        <v>#REF!</v>
      </c>
    </row>
    <row r="40" spans="1:189" ht="15" customHeight="1">
      <c r="A40" s="1586"/>
      <c r="B40" s="1587"/>
      <c r="C40" s="1631"/>
      <c r="D40" s="1631"/>
      <c r="E40" s="1631"/>
      <c r="F40" s="1631"/>
    </row>
    <row r="41" spans="1:189" ht="24.95" customHeight="1">
      <c r="A41" s="1586"/>
      <c r="B41" s="1587"/>
      <c r="C41" s="1608"/>
      <c r="D41" s="636"/>
      <c r="E41" s="1609" t="s">
        <v>107</v>
      </c>
      <c r="F41" s="1122" t="e">
        <f>+F24+F39</f>
        <v>#REF!</v>
      </c>
    </row>
    <row r="42" spans="1:189" ht="15" customHeight="1">
      <c r="A42" s="1586"/>
      <c r="B42" s="1587"/>
      <c r="C42" s="1631"/>
      <c r="D42" s="1631"/>
      <c r="E42" s="1631"/>
      <c r="F42" s="1631"/>
    </row>
    <row r="43" spans="1:189" ht="24.95" customHeight="1">
      <c r="A43" s="1905" t="e">
        <f>+#REF!</f>
        <v>#REF!</v>
      </c>
      <c r="B43" s="1906"/>
      <c r="C43" s="1906"/>
      <c r="D43" s="1906"/>
      <c r="E43" s="1906"/>
      <c r="F43" s="1907"/>
    </row>
    <row r="44" spans="1:189" s="1149" customFormat="1" ht="15.95" customHeight="1">
      <c r="A44" s="745" t="e">
        <f>+#REF!</f>
        <v>#REF!</v>
      </c>
      <c r="B44" s="768" t="e">
        <f>+#REF!</f>
        <v>#REF!</v>
      </c>
      <c r="C44" s="1534"/>
      <c r="D44" s="543"/>
      <c r="E44" s="544"/>
      <c r="F44" s="544"/>
      <c r="H44" s="1150"/>
      <c r="I44" s="1151"/>
      <c r="J44" s="1150"/>
      <c r="K44" s="1152"/>
      <c r="L44" s="1152"/>
      <c r="M44" s="1152"/>
      <c r="N44" s="1152"/>
      <c r="O44" s="1152"/>
      <c r="P44" s="1152"/>
      <c r="Q44" s="1152"/>
      <c r="R44" s="1152"/>
      <c r="S44" s="1152"/>
      <c r="T44" s="1152"/>
      <c r="U44" s="1152"/>
      <c r="V44" s="1152"/>
      <c r="W44" s="1152"/>
      <c r="X44" s="1152"/>
      <c r="Y44" s="1152"/>
      <c r="Z44" s="1152"/>
      <c r="AA44" s="1152"/>
      <c r="AB44" s="1152"/>
      <c r="AC44" s="1152"/>
      <c r="AD44" s="1152"/>
      <c r="AE44" s="1152"/>
      <c r="AF44" s="1152"/>
      <c r="AG44" s="1152"/>
      <c r="AH44" s="1152"/>
      <c r="AI44" s="1152"/>
      <c r="AJ44" s="1152"/>
      <c r="AK44" s="1152"/>
      <c r="AL44" s="1152"/>
      <c r="AM44" s="1152"/>
      <c r="AN44" s="1152"/>
      <c r="AO44" s="1152"/>
      <c r="AP44" s="1152"/>
      <c r="AQ44" s="1152"/>
      <c r="AR44" s="1152"/>
      <c r="AS44" s="1152"/>
      <c r="AT44" s="1152"/>
      <c r="AU44" s="1152"/>
      <c r="AV44" s="1152"/>
      <c r="AW44" s="1152"/>
      <c r="AX44" s="1152"/>
      <c r="AY44" s="1152"/>
      <c r="AZ44" s="1152"/>
      <c r="BA44" s="1152"/>
      <c r="BB44" s="1152"/>
      <c r="BC44" s="1152"/>
      <c r="BD44" s="1152"/>
      <c r="BE44" s="1152"/>
      <c r="BF44" s="1152"/>
      <c r="BG44" s="1152"/>
      <c r="BH44" s="1152"/>
      <c r="BI44" s="1152"/>
      <c r="BJ44" s="1152"/>
      <c r="BK44" s="1152"/>
      <c r="BL44" s="1152"/>
      <c r="BM44" s="1152"/>
      <c r="BN44" s="1152"/>
      <c r="BO44" s="1152"/>
      <c r="BP44" s="1152"/>
      <c r="BQ44" s="1152"/>
      <c r="BR44" s="1152"/>
      <c r="BS44" s="1152"/>
      <c r="BT44" s="1152"/>
      <c r="BU44" s="1152"/>
      <c r="BV44" s="1152"/>
      <c r="BW44" s="1152"/>
      <c r="BX44" s="1152"/>
      <c r="BY44" s="1152"/>
      <c r="BZ44" s="1152"/>
      <c r="CA44" s="1152"/>
      <c r="CB44" s="1152"/>
      <c r="CC44" s="1152"/>
      <c r="CD44" s="1152"/>
      <c r="CE44" s="1152"/>
      <c r="CF44" s="1152"/>
      <c r="CG44" s="1152"/>
      <c r="CH44" s="1152"/>
      <c r="CI44" s="1152"/>
      <c r="CJ44" s="1152"/>
      <c r="CK44" s="1152"/>
      <c r="CL44" s="1152"/>
      <c r="CM44" s="1152"/>
      <c r="CN44" s="1152"/>
      <c r="CO44" s="1152"/>
      <c r="CP44" s="1152"/>
      <c r="CQ44" s="1152"/>
      <c r="CR44" s="1152"/>
      <c r="CS44" s="1152"/>
      <c r="CT44" s="1152"/>
      <c r="CU44" s="1152"/>
      <c r="CV44" s="1152"/>
      <c r="CW44" s="1152"/>
      <c r="CX44" s="1152"/>
      <c r="CY44" s="1152"/>
      <c r="CZ44" s="1152"/>
      <c r="DA44" s="1152"/>
      <c r="DB44" s="1152"/>
      <c r="DC44" s="1152"/>
      <c r="DD44" s="1152"/>
      <c r="DE44" s="1152"/>
      <c r="DF44" s="1152"/>
      <c r="DG44" s="1152"/>
      <c r="DH44" s="1152"/>
      <c r="DI44" s="1152"/>
      <c r="DJ44" s="1152"/>
      <c r="DK44" s="1152"/>
      <c r="DL44" s="1152"/>
      <c r="DM44" s="1152"/>
      <c r="DN44" s="1152"/>
      <c r="DO44" s="1152"/>
      <c r="DP44" s="1152"/>
      <c r="DQ44" s="1152"/>
      <c r="DR44" s="1152"/>
      <c r="DS44" s="1152"/>
      <c r="DT44" s="1152"/>
      <c r="DU44" s="1152"/>
      <c r="DV44" s="1152"/>
      <c r="DW44" s="1152"/>
      <c r="DX44" s="1152"/>
      <c r="DY44" s="1152"/>
      <c r="DZ44" s="1152"/>
      <c r="EA44" s="1152"/>
      <c r="EB44" s="1152"/>
      <c r="EC44" s="1152"/>
      <c r="ED44" s="1152"/>
      <c r="EE44" s="1152"/>
      <c r="EF44" s="1152"/>
      <c r="EG44" s="1152"/>
      <c r="EH44" s="1152"/>
      <c r="EI44" s="1152"/>
      <c r="EJ44" s="1152"/>
      <c r="EK44" s="1152"/>
      <c r="EL44" s="1152"/>
      <c r="EM44" s="1152"/>
      <c r="EN44" s="1152"/>
      <c r="EO44" s="1152"/>
      <c r="EP44" s="1152"/>
      <c r="EQ44" s="1152"/>
      <c r="ER44" s="1152"/>
      <c r="ES44" s="1152"/>
      <c r="ET44" s="1152"/>
      <c r="EU44" s="1152"/>
      <c r="EV44" s="1152"/>
      <c r="EW44" s="1152"/>
      <c r="EX44" s="1152"/>
      <c r="EY44" s="1152"/>
      <c r="EZ44" s="1152"/>
      <c r="FA44" s="1152"/>
      <c r="FB44" s="1152"/>
      <c r="FC44" s="1152"/>
      <c r="FD44" s="1152"/>
      <c r="FE44" s="1152"/>
      <c r="FF44" s="1152"/>
      <c r="FG44" s="1152"/>
      <c r="FH44" s="1152"/>
      <c r="FI44" s="1152"/>
      <c r="FJ44" s="1152"/>
      <c r="FK44" s="1152"/>
      <c r="FL44" s="1152"/>
      <c r="FM44" s="1152"/>
      <c r="FN44" s="1152"/>
      <c r="FO44" s="1152"/>
      <c r="FP44" s="1152"/>
      <c r="FQ44" s="1152"/>
      <c r="FR44" s="1152"/>
      <c r="FS44" s="1152"/>
      <c r="FT44" s="1152"/>
      <c r="FU44" s="1152"/>
      <c r="FV44" s="1152"/>
      <c r="FW44" s="1152"/>
      <c r="FX44" s="1152"/>
      <c r="FY44" s="1152"/>
      <c r="FZ44" s="1152"/>
      <c r="GA44" s="1152"/>
      <c r="GB44" s="1152"/>
      <c r="GC44" s="1152"/>
      <c r="GD44" s="1152"/>
      <c r="GE44" s="1152"/>
      <c r="GF44" s="1152"/>
      <c r="GG44" s="1152"/>
    </row>
    <row r="45" spans="1:189" s="1149" customFormat="1" ht="15.95" customHeight="1">
      <c r="A45" s="639"/>
      <c r="B45" s="467"/>
      <c r="C45" s="1554" t="e">
        <f>#REF!</f>
        <v>#REF!</v>
      </c>
      <c r="D45" s="1521">
        <v>1</v>
      </c>
      <c r="E45" s="547">
        <f>25672373*0.7</f>
        <v>17970661.099999998</v>
      </c>
      <c r="F45" s="547">
        <f>+D45*E45</f>
        <v>17970661.099999998</v>
      </c>
      <c r="H45" s="1150"/>
      <c r="I45" s="1151"/>
      <c r="J45" s="1150"/>
      <c r="K45" s="1152"/>
      <c r="L45" s="1152"/>
      <c r="M45" s="1152"/>
      <c r="N45" s="1152"/>
      <c r="O45" s="1152"/>
      <c r="P45" s="1152"/>
      <c r="Q45" s="1152"/>
      <c r="R45" s="1152"/>
      <c r="S45" s="1152"/>
      <c r="T45" s="1152"/>
      <c r="U45" s="1152"/>
      <c r="V45" s="1152"/>
      <c r="W45" s="1152"/>
      <c r="X45" s="1152"/>
      <c r="Y45" s="1152"/>
      <c r="Z45" s="1152"/>
      <c r="AA45" s="1152"/>
      <c r="AB45" s="1152"/>
      <c r="AC45" s="1152"/>
      <c r="AD45" s="1152"/>
      <c r="AE45" s="1152"/>
      <c r="AF45" s="1152"/>
      <c r="AG45" s="1152"/>
      <c r="AH45" s="1152"/>
      <c r="AI45" s="1152"/>
      <c r="AJ45" s="1152"/>
      <c r="AK45" s="1152"/>
      <c r="AL45" s="1152"/>
      <c r="AM45" s="1152"/>
      <c r="AN45" s="1152"/>
      <c r="AO45" s="1152"/>
      <c r="AP45" s="1152"/>
      <c r="AQ45" s="1152"/>
      <c r="AR45" s="1152"/>
      <c r="AS45" s="1152"/>
      <c r="AT45" s="1152"/>
      <c r="AU45" s="1152"/>
      <c r="AV45" s="1152"/>
      <c r="AW45" s="1152"/>
      <c r="AX45" s="1152"/>
      <c r="AY45" s="1152"/>
      <c r="AZ45" s="1152"/>
      <c r="BA45" s="1152"/>
      <c r="BB45" s="1152"/>
      <c r="BC45" s="1152"/>
      <c r="BD45" s="1152"/>
      <c r="BE45" s="1152"/>
      <c r="BF45" s="1152"/>
      <c r="BG45" s="1152"/>
      <c r="BH45" s="1152"/>
      <c r="BI45" s="1152"/>
      <c r="BJ45" s="1152"/>
      <c r="BK45" s="1152"/>
      <c r="BL45" s="1152"/>
      <c r="BM45" s="1152"/>
      <c r="BN45" s="1152"/>
      <c r="BO45" s="1152"/>
      <c r="BP45" s="1152"/>
      <c r="BQ45" s="1152"/>
      <c r="BR45" s="1152"/>
      <c r="BS45" s="1152"/>
      <c r="BT45" s="1152"/>
      <c r="BU45" s="1152"/>
      <c r="BV45" s="1152"/>
      <c r="BW45" s="1152"/>
      <c r="BX45" s="1152"/>
      <c r="BY45" s="1152"/>
      <c r="BZ45" s="1152"/>
      <c r="CA45" s="1152"/>
      <c r="CB45" s="1152"/>
      <c r="CC45" s="1152"/>
      <c r="CD45" s="1152"/>
      <c r="CE45" s="1152"/>
      <c r="CF45" s="1152"/>
      <c r="CG45" s="1152"/>
      <c r="CH45" s="1152"/>
      <c r="CI45" s="1152"/>
      <c r="CJ45" s="1152"/>
      <c r="CK45" s="1152"/>
      <c r="CL45" s="1152"/>
      <c r="CM45" s="1152"/>
      <c r="CN45" s="1152"/>
      <c r="CO45" s="1152"/>
      <c r="CP45" s="1152"/>
      <c r="CQ45" s="1152"/>
      <c r="CR45" s="1152"/>
      <c r="CS45" s="1152"/>
      <c r="CT45" s="1152"/>
      <c r="CU45" s="1152"/>
      <c r="CV45" s="1152"/>
      <c r="CW45" s="1152"/>
      <c r="CX45" s="1152"/>
      <c r="CY45" s="1152"/>
      <c r="CZ45" s="1152"/>
      <c r="DA45" s="1152"/>
      <c r="DB45" s="1152"/>
      <c r="DC45" s="1152"/>
      <c r="DD45" s="1152"/>
      <c r="DE45" s="1152"/>
      <c r="DF45" s="1152"/>
      <c r="DG45" s="1152"/>
      <c r="DH45" s="1152"/>
      <c r="DI45" s="1152"/>
      <c r="DJ45" s="1152"/>
      <c r="DK45" s="1152"/>
      <c r="DL45" s="1152"/>
      <c r="DM45" s="1152"/>
      <c r="DN45" s="1152"/>
      <c r="DO45" s="1152"/>
      <c r="DP45" s="1152"/>
      <c r="DQ45" s="1152"/>
      <c r="DR45" s="1152"/>
      <c r="DS45" s="1152"/>
      <c r="DT45" s="1152"/>
      <c r="DU45" s="1152"/>
      <c r="DV45" s="1152"/>
      <c r="DW45" s="1152"/>
      <c r="DX45" s="1152"/>
      <c r="DY45" s="1152"/>
      <c r="DZ45" s="1152"/>
      <c r="EA45" s="1152"/>
      <c r="EB45" s="1152"/>
      <c r="EC45" s="1152"/>
      <c r="ED45" s="1152"/>
      <c r="EE45" s="1152"/>
      <c r="EF45" s="1152"/>
      <c r="EG45" s="1152"/>
      <c r="EH45" s="1152"/>
      <c r="EI45" s="1152"/>
      <c r="EJ45" s="1152"/>
      <c r="EK45" s="1152"/>
      <c r="EL45" s="1152"/>
      <c r="EM45" s="1152"/>
      <c r="EN45" s="1152"/>
      <c r="EO45" s="1152"/>
      <c r="EP45" s="1152"/>
      <c r="EQ45" s="1152"/>
      <c r="ER45" s="1152"/>
      <c r="ES45" s="1152"/>
      <c r="ET45" s="1152"/>
      <c r="EU45" s="1152"/>
      <c r="EV45" s="1152"/>
      <c r="EW45" s="1152"/>
      <c r="EX45" s="1152"/>
      <c r="EY45" s="1152"/>
      <c r="EZ45" s="1152"/>
      <c r="FA45" s="1152"/>
      <c r="FB45" s="1152"/>
      <c r="FC45" s="1152"/>
      <c r="FD45" s="1152"/>
      <c r="FE45" s="1152"/>
      <c r="FF45" s="1152"/>
      <c r="FG45" s="1152"/>
      <c r="FH45" s="1152"/>
      <c r="FI45" s="1152"/>
      <c r="FJ45" s="1152"/>
      <c r="FK45" s="1152"/>
      <c r="FL45" s="1152"/>
      <c r="FM45" s="1152"/>
      <c r="FN45" s="1152"/>
      <c r="FO45" s="1152"/>
      <c r="FP45" s="1152"/>
      <c r="FQ45" s="1152"/>
      <c r="FR45" s="1152"/>
      <c r="FS45" s="1152"/>
      <c r="FT45" s="1152"/>
      <c r="FU45" s="1152"/>
      <c r="FV45" s="1152"/>
      <c r="FW45" s="1152"/>
      <c r="FX45" s="1152"/>
      <c r="FY45" s="1152"/>
      <c r="FZ45" s="1152"/>
      <c r="GA45" s="1152"/>
      <c r="GB45" s="1152"/>
      <c r="GC45" s="1152"/>
      <c r="GD45" s="1152"/>
      <c r="GE45" s="1152"/>
      <c r="GF45" s="1152"/>
      <c r="GG45" s="1152"/>
    </row>
    <row r="46" spans="1:189" s="1149" customFormat="1" ht="15.95" customHeight="1">
      <c r="A46" s="745" t="e">
        <f>+#REF!</f>
        <v>#REF!</v>
      </c>
      <c r="B46" s="768" t="e">
        <f>+#REF!</f>
        <v>#REF!</v>
      </c>
      <c r="C46" s="1534"/>
      <c r="D46" s="543"/>
      <c r="E46" s="544"/>
      <c r="F46" s="544"/>
      <c r="H46" s="1150"/>
      <c r="I46" s="1151"/>
      <c r="J46" s="1150"/>
      <c r="K46" s="1152"/>
      <c r="L46" s="1152"/>
      <c r="M46" s="1152"/>
      <c r="N46" s="1152"/>
      <c r="O46" s="1152"/>
      <c r="P46" s="1152"/>
      <c r="Q46" s="1152"/>
      <c r="R46" s="1152"/>
      <c r="S46" s="1152"/>
      <c r="T46" s="1152"/>
      <c r="U46" s="1152"/>
      <c r="V46" s="1152"/>
      <c r="W46" s="1152"/>
      <c r="X46" s="1152"/>
      <c r="Y46" s="1152"/>
      <c r="Z46" s="1152"/>
      <c r="AA46" s="1152"/>
      <c r="AB46" s="1152"/>
      <c r="AC46" s="1152"/>
      <c r="AD46" s="1152"/>
      <c r="AE46" s="1152"/>
      <c r="AF46" s="1152"/>
      <c r="AG46" s="1152"/>
      <c r="AH46" s="1152"/>
      <c r="AI46" s="1152"/>
      <c r="AJ46" s="1152"/>
      <c r="AK46" s="1152"/>
      <c r="AL46" s="1152"/>
      <c r="AM46" s="1152"/>
      <c r="AN46" s="1152"/>
      <c r="AO46" s="1152"/>
      <c r="AP46" s="1152"/>
      <c r="AQ46" s="1152"/>
      <c r="AR46" s="1152"/>
      <c r="AS46" s="1152"/>
      <c r="AT46" s="1152"/>
      <c r="AU46" s="1152"/>
      <c r="AV46" s="1152"/>
      <c r="AW46" s="1152"/>
      <c r="AX46" s="1152"/>
      <c r="AY46" s="1152"/>
      <c r="AZ46" s="1152"/>
      <c r="BA46" s="1152"/>
      <c r="BB46" s="1152"/>
      <c r="BC46" s="1152"/>
      <c r="BD46" s="1152"/>
      <c r="BE46" s="1152"/>
      <c r="BF46" s="1152"/>
      <c r="BG46" s="1152"/>
      <c r="BH46" s="1152"/>
      <c r="BI46" s="1152"/>
      <c r="BJ46" s="1152"/>
      <c r="BK46" s="1152"/>
      <c r="BL46" s="1152"/>
      <c r="BM46" s="1152"/>
      <c r="BN46" s="1152"/>
      <c r="BO46" s="1152"/>
      <c r="BP46" s="1152"/>
      <c r="BQ46" s="1152"/>
      <c r="BR46" s="1152"/>
      <c r="BS46" s="1152"/>
      <c r="BT46" s="1152"/>
      <c r="BU46" s="1152"/>
      <c r="BV46" s="1152"/>
      <c r="BW46" s="1152"/>
      <c r="BX46" s="1152"/>
      <c r="BY46" s="1152"/>
      <c r="BZ46" s="1152"/>
      <c r="CA46" s="1152"/>
      <c r="CB46" s="1152"/>
      <c r="CC46" s="1152"/>
      <c r="CD46" s="1152"/>
      <c r="CE46" s="1152"/>
      <c r="CF46" s="1152"/>
      <c r="CG46" s="1152"/>
      <c r="CH46" s="1152"/>
      <c r="CI46" s="1152"/>
      <c r="CJ46" s="1152"/>
      <c r="CK46" s="1152"/>
      <c r="CL46" s="1152"/>
      <c r="CM46" s="1152"/>
      <c r="CN46" s="1152"/>
      <c r="CO46" s="1152"/>
      <c r="CP46" s="1152"/>
      <c r="CQ46" s="1152"/>
      <c r="CR46" s="1152"/>
      <c r="CS46" s="1152"/>
      <c r="CT46" s="1152"/>
      <c r="CU46" s="1152"/>
      <c r="CV46" s="1152"/>
      <c r="CW46" s="1152"/>
      <c r="CX46" s="1152"/>
      <c r="CY46" s="1152"/>
      <c r="CZ46" s="1152"/>
      <c r="DA46" s="1152"/>
      <c r="DB46" s="1152"/>
      <c r="DC46" s="1152"/>
      <c r="DD46" s="1152"/>
      <c r="DE46" s="1152"/>
      <c r="DF46" s="1152"/>
      <c r="DG46" s="1152"/>
      <c r="DH46" s="1152"/>
      <c r="DI46" s="1152"/>
      <c r="DJ46" s="1152"/>
      <c r="DK46" s="1152"/>
      <c r="DL46" s="1152"/>
      <c r="DM46" s="1152"/>
      <c r="DN46" s="1152"/>
      <c r="DO46" s="1152"/>
      <c r="DP46" s="1152"/>
      <c r="DQ46" s="1152"/>
      <c r="DR46" s="1152"/>
      <c r="DS46" s="1152"/>
      <c r="DT46" s="1152"/>
      <c r="DU46" s="1152"/>
      <c r="DV46" s="1152"/>
      <c r="DW46" s="1152"/>
      <c r="DX46" s="1152"/>
      <c r="DY46" s="1152"/>
      <c r="DZ46" s="1152"/>
      <c r="EA46" s="1152"/>
      <c r="EB46" s="1152"/>
      <c r="EC46" s="1152"/>
      <c r="ED46" s="1152"/>
      <c r="EE46" s="1152"/>
      <c r="EF46" s="1152"/>
      <c r="EG46" s="1152"/>
      <c r="EH46" s="1152"/>
      <c r="EI46" s="1152"/>
      <c r="EJ46" s="1152"/>
      <c r="EK46" s="1152"/>
      <c r="EL46" s="1152"/>
      <c r="EM46" s="1152"/>
      <c r="EN46" s="1152"/>
      <c r="EO46" s="1152"/>
      <c r="EP46" s="1152"/>
      <c r="EQ46" s="1152"/>
      <c r="ER46" s="1152"/>
      <c r="ES46" s="1152"/>
      <c r="ET46" s="1152"/>
      <c r="EU46" s="1152"/>
      <c r="EV46" s="1152"/>
      <c r="EW46" s="1152"/>
      <c r="EX46" s="1152"/>
      <c r="EY46" s="1152"/>
      <c r="EZ46" s="1152"/>
      <c r="FA46" s="1152"/>
      <c r="FB46" s="1152"/>
      <c r="FC46" s="1152"/>
      <c r="FD46" s="1152"/>
      <c r="FE46" s="1152"/>
      <c r="FF46" s="1152"/>
      <c r="FG46" s="1152"/>
      <c r="FH46" s="1152"/>
      <c r="FI46" s="1152"/>
      <c r="FJ46" s="1152"/>
      <c r="FK46" s="1152"/>
      <c r="FL46" s="1152"/>
      <c r="FM46" s="1152"/>
      <c r="FN46" s="1152"/>
      <c r="FO46" s="1152"/>
      <c r="FP46" s="1152"/>
      <c r="FQ46" s="1152"/>
      <c r="FR46" s="1152"/>
      <c r="FS46" s="1152"/>
      <c r="FT46" s="1152"/>
      <c r="FU46" s="1152"/>
      <c r="FV46" s="1152"/>
      <c r="FW46" s="1152"/>
      <c r="FX46" s="1152"/>
      <c r="FY46" s="1152"/>
      <c r="FZ46" s="1152"/>
      <c r="GA46" s="1152"/>
      <c r="GB46" s="1152"/>
      <c r="GC46" s="1152"/>
      <c r="GD46" s="1152"/>
      <c r="GE46" s="1152"/>
      <c r="GF46" s="1152"/>
      <c r="GG46" s="1152"/>
    </row>
    <row r="47" spans="1:189" s="1149" customFormat="1" ht="15.95" customHeight="1">
      <c r="A47" s="1615" t="e">
        <f>+#REF!</f>
        <v>#REF!</v>
      </c>
      <c r="B47" s="467" t="e">
        <f>+#REF!</f>
        <v>#REF!</v>
      </c>
      <c r="C47" s="1554" t="e">
        <f>#REF!</f>
        <v>#REF!</v>
      </c>
      <c r="D47" s="1521">
        <f>J47</f>
        <v>30480</v>
      </c>
      <c r="E47" s="547" t="e">
        <f>#REF!</f>
        <v>#REF!</v>
      </c>
      <c r="F47" s="547" t="e">
        <f>+D47*E47</f>
        <v>#REF!</v>
      </c>
      <c r="H47" s="1153">
        <f>+H24*20</f>
        <v>25400</v>
      </c>
      <c r="I47" s="1151">
        <v>1.2</v>
      </c>
      <c r="J47" s="1150">
        <f>H47*I47</f>
        <v>30480</v>
      </c>
      <c r="K47" s="1152"/>
      <c r="L47" s="1152"/>
      <c r="M47" s="1152"/>
      <c r="N47" s="1152"/>
      <c r="O47" s="1152"/>
      <c r="P47" s="1152"/>
      <c r="Q47" s="1152"/>
      <c r="R47" s="1152"/>
      <c r="S47" s="1152"/>
      <c r="T47" s="1152"/>
      <c r="U47" s="1152"/>
      <c r="V47" s="1152"/>
      <c r="W47" s="1152"/>
      <c r="X47" s="1152"/>
      <c r="Y47" s="1152"/>
      <c r="Z47" s="1152"/>
      <c r="AA47" s="1152"/>
      <c r="AB47" s="1152"/>
      <c r="AC47" s="1152"/>
      <c r="AD47" s="1152"/>
      <c r="AE47" s="1152"/>
      <c r="AF47" s="1152"/>
      <c r="AG47" s="1152"/>
      <c r="AH47" s="1152"/>
      <c r="AI47" s="1152"/>
      <c r="AJ47" s="1152"/>
      <c r="AK47" s="1152"/>
      <c r="AL47" s="1152"/>
      <c r="AM47" s="1152"/>
      <c r="AN47" s="1152"/>
      <c r="AO47" s="1152"/>
      <c r="AP47" s="1152"/>
      <c r="AQ47" s="1152"/>
      <c r="AR47" s="1152"/>
      <c r="AS47" s="1152"/>
      <c r="AT47" s="1152"/>
      <c r="AU47" s="1152"/>
      <c r="AV47" s="1152"/>
      <c r="AW47" s="1152"/>
      <c r="AX47" s="1152"/>
      <c r="AY47" s="1152"/>
      <c r="AZ47" s="1152"/>
      <c r="BA47" s="1152"/>
      <c r="BB47" s="1152"/>
      <c r="BC47" s="1152"/>
      <c r="BD47" s="1152"/>
      <c r="BE47" s="1152"/>
      <c r="BF47" s="1152"/>
      <c r="BG47" s="1152"/>
      <c r="BH47" s="1152"/>
      <c r="BI47" s="1152"/>
      <c r="BJ47" s="1152"/>
      <c r="BK47" s="1152"/>
      <c r="BL47" s="1152"/>
      <c r="BM47" s="1152"/>
      <c r="BN47" s="1152"/>
      <c r="BO47" s="1152"/>
      <c r="BP47" s="1152"/>
      <c r="BQ47" s="1152"/>
      <c r="BR47" s="1152"/>
      <c r="BS47" s="1152"/>
      <c r="BT47" s="1152"/>
      <c r="BU47" s="1152"/>
      <c r="BV47" s="1152"/>
      <c r="BW47" s="1152"/>
      <c r="BX47" s="1152"/>
      <c r="BY47" s="1152"/>
      <c r="BZ47" s="1152"/>
      <c r="CA47" s="1152"/>
      <c r="CB47" s="1152"/>
      <c r="CC47" s="1152"/>
      <c r="CD47" s="1152"/>
      <c r="CE47" s="1152"/>
      <c r="CF47" s="1152"/>
      <c r="CG47" s="1152"/>
      <c r="CH47" s="1152"/>
      <c r="CI47" s="1152"/>
      <c r="CJ47" s="1152"/>
      <c r="CK47" s="1152"/>
      <c r="CL47" s="1152"/>
      <c r="CM47" s="1152"/>
      <c r="CN47" s="1152"/>
      <c r="CO47" s="1152"/>
      <c r="CP47" s="1152"/>
      <c r="CQ47" s="1152"/>
      <c r="CR47" s="1152"/>
      <c r="CS47" s="1152"/>
      <c r="CT47" s="1152"/>
      <c r="CU47" s="1152"/>
      <c r="CV47" s="1152"/>
      <c r="CW47" s="1152"/>
      <c r="CX47" s="1152"/>
      <c r="CY47" s="1152"/>
      <c r="CZ47" s="1152"/>
      <c r="DA47" s="1152"/>
      <c r="DB47" s="1152"/>
      <c r="DC47" s="1152"/>
      <c r="DD47" s="1152"/>
      <c r="DE47" s="1152"/>
      <c r="DF47" s="1152"/>
      <c r="DG47" s="1152"/>
      <c r="DH47" s="1152"/>
      <c r="DI47" s="1152"/>
      <c r="DJ47" s="1152"/>
      <c r="DK47" s="1152"/>
      <c r="DL47" s="1152"/>
      <c r="DM47" s="1152"/>
      <c r="DN47" s="1152"/>
      <c r="DO47" s="1152"/>
      <c r="DP47" s="1152"/>
      <c r="DQ47" s="1152"/>
      <c r="DR47" s="1152"/>
      <c r="DS47" s="1152"/>
      <c r="DT47" s="1152"/>
      <c r="DU47" s="1152"/>
      <c r="DV47" s="1152"/>
      <c r="DW47" s="1152"/>
      <c r="DX47" s="1152"/>
      <c r="DY47" s="1152"/>
      <c r="DZ47" s="1152"/>
      <c r="EA47" s="1152"/>
      <c r="EB47" s="1152"/>
      <c r="EC47" s="1152"/>
      <c r="ED47" s="1152"/>
      <c r="EE47" s="1152"/>
      <c r="EF47" s="1152"/>
      <c r="EG47" s="1152"/>
      <c r="EH47" s="1152"/>
      <c r="EI47" s="1152"/>
      <c r="EJ47" s="1152"/>
      <c r="EK47" s="1152"/>
      <c r="EL47" s="1152"/>
      <c r="EM47" s="1152"/>
      <c r="EN47" s="1152"/>
      <c r="EO47" s="1152"/>
      <c r="EP47" s="1152"/>
      <c r="EQ47" s="1152"/>
      <c r="ER47" s="1152"/>
      <c r="ES47" s="1152"/>
      <c r="ET47" s="1152"/>
      <c r="EU47" s="1152"/>
      <c r="EV47" s="1152"/>
      <c r="EW47" s="1152"/>
      <c r="EX47" s="1152"/>
      <c r="EY47" s="1152"/>
      <c r="EZ47" s="1152"/>
      <c r="FA47" s="1152"/>
      <c r="FB47" s="1152"/>
      <c r="FC47" s="1152"/>
      <c r="FD47" s="1152"/>
      <c r="FE47" s="1152"/>
      <c r="FF47" s="1152"/>
      <c r="FG47" s="1152"/>
      <c r="FH47" s="1152"/>
      <c r="FI47" s="1152"/>
      <c r="FJ47" s="1152"/>
      <c r="FK47" s="1152"/>
      <c r="FL47" s="1152"/>
      <c r="FM47" s="1152"/>
      <c r="FN47" s="1152"/>
      <c r="FO47" s="1152"/>
      <c r="FP47" s="1152"/>
      <c r="FQ47" s="1152"/>
      <c r="FR47" s="1152"/>
      <c r="FS47" s="1152"/>
      <c r="FT47" s="1152"/>
      <c r="FU47" s="1152"/>
      <c r="FV47" s="1152"/>
      <c r="FW47" s="1152"/>
      <c r="FX47" s="1152"/>
      <c r="FY47" s="1152"/>
      <c r="FZ47" s="1152"/>
      <c r="GA47" s="1152"/>
      <c r="GB47" s="1152"/>
      <c r="GC47" s="1152"/>
      <c r="GD47" s="1152"/>
      <c r="GE47" s="1152"/>
      <c r="GF47" s="1152"/>
      <c r="GG47" s="1152"/>
    </row>
    <row r="48" spans="1:189" s="1149" customFormat="1" ht="15.95" customHeight="1">
      <c r="A48" s="745" t="e">
        <f>+#REF!</f>
        <v>#REF!</v>
      </c>
      <c r="B48" s="768" t="e">
        <f>+#REF!</f>
        <v>#REF!</v>
      </c>
      <c r="C48" s="1534"/>
      <c r="D48" s="543"/>
      <c r="E48" s="544"/>
      <c r="F48" s="544"/>
      <c r="H48" s="1150"/>
      <c r="I48" s="1151"/>
      <c r="J48" s="1150"/>
      <c r="K48" s="1152"/>
      <c r="L48" s="1152"/>
      <c r="M48" s="1152"/>
      <c r="N48" s="1152"/>
      <c r="O48" s="1152"/>
      <c r="P48" s="1152"/>
      <c r="Q48" s="1152"/>
      <c r="R48" s="1152"/>
      <c r="S48" s="1152"/>
      <c r="T48" s="1152"/>
      <c r="U48" s="1152"/>
      <c r="V48" s="1152"/>
      <c r="W48" s="1152"/>
      <c r="X48" s="1152"/>
      <c r="Y48" s="1152"/>
      <c r="Z48" s="1152"/>
      <c r="AA48" s="1152"/>
      <c r="AB48" s="1152"/>
      <c r="AC48" s="1152"/>
      <c r="AD48" s="1152"/>
      <c r="AE48" s="1152"/>
      <c r="AF48" s="1152"/>
      <c r="AG48" s="1152"/>
      <c r="AH48" s="1152"/>
      <c r="AI48" s="1152"/>
      <c r="AJ48" s="1152"/>
      <c r="AK48" s="1152"/>
      <c r="AL48" s="1152"/>
      <c r="AM48" s="1152"/>
      <c r="AN48" s="1152"/>
      <c r="AO48" s="1152"/>
      <c r="AP48" s="1152"/>
      <c r="AQ48" s="1152"/>
      <c r="AR48" s="1152"/>
      <c r="AS48" s="1152"/>
      <c r="AT48" s="1152"/>
      <c r="AU48" s="1152"/>
      <c r="AV48" s="1152"/>
      <c r="AW48" s="1152"/>
      <c r="AX48" s="1152"/>
      <c r="AY48" s="1152"/>
      <c r="AZ48" s="1152"/>
      <c r="BA48" s="1152"/>
      <c r="BB48" s="1152"/>
      <c r="BC48" s="1152"/>
      <c r="BD48" s="1152"/>
      <c r="BE48" s="1152"/>
      <c r="BF48" s="1152"/>
      <c r="BG48" s="1152"/>
      <c r="BH48" s="1152"/>
      <c r="BI48" s="1152"/>
      <c r="BJ48" s="1152"/>
      <c r="BK48" s="1152"/>
      <c r="BL48" s="1152"/>
      <c r="BM48" s="1152"/>
      <c r="BN48" s="1152"/>
      <c r="BO48" s="1152"/>
      <c r="BP48" s="1152"/>
      <c r="BQ48" s="1152"/>
      <c r="BR48" s="1152"/>
      <c r="BS48" s="1152"/>
      <c r="BT48" s="1152"/>
      <c r="BU48" s="1152"/>
      <c r="BV48" s="1152"/>
      <c r="BW48" s="1152"/>
      <c r="BX48" s="1152"/>
      <c r="BY48" s="1152"/>
      <c r="BZ48" s="1152"/>
      <c r="CA48" s="1152"/>
      <c r="CB48" s="1152"/>
      <c r="CC48" s="1152"/>
      <c r="CD48" s="1152"/>
      <c r="CE48" s="1152"/>
      <c r="CF48" s="1152"/>
      <c r="CG48" s="1152"/>
      <c r="CH48" s="1152"/>
      <c r="CI48" s="1152"/>
      <c r="CJ48" s="1152"/>
      <c r="CK48" s="1152"/>
      <c r="CL48" s="1152"/>
      <c r="CM48" s="1152"/>
      <c r="CN48" s="1152"/>
      <c r="CO48" s="1152"/>
      <c r="CP48" s="1152"/>
      <c r="CQ48" s="1152"/>
      <c r="CR48" s="1152"/>
      <c r="CS48" s="1152"/>
      <c r="CT48" s="1152"/>
      <c r="CU48" s="1152"/>
      <c r="CV48" s="1152"/>
      <c r="CW48" s="1152"/>
      <c r="CX48" s="1152"/>
      <c r="CY48" s="1152"/>
      <c r="CZ48" s="1152"/>
      <c r="DA48" s="1152"/>
      <c r="DB48" s="1152"/>
      <c r="DC48" s="1152"/>
      <c r="DD48" s="1152"/>
      <c r="DE48" s="1152"/>
      <c r="DF48" s="1152"/>
      <c r="DG48" s="1152"/>
      <c r="DH48" s="1152"/>
      <c r="DI48" s="1152"/>
      <c r="DJ48" s="1152"/>
      <c r="DK48" s="1152"/>
      <c r="DL48" s="1152"/>
      <c r="DM48" s="1152"/>
      <c r="DN48" s="1152"/>
      <c r="DO48" s="1152"/>
      <c r="DP48" s="1152"/>
      <c r="DQ48" s="1152"/>
      <c r="DR48" s="1152"/>
      <c r="DS48" s="1152"/>
      <c r="DT48" s="1152"/>
      <c r="DU48" s="1152"/>
      <c r="DV48" s="1152"/>
      <c r="DW48" s="1152"/>
      <c r="DX48" s="1152"/>
      <c r="DY48" s="1152"/>
      <c r="DZ48" s="1152"/>
      <c r="EA48" s="1152"/>
      <c r="EB48" s="1152"/>
      <c r="EC48" s="1152"/>
      <c r="ED48" s="1152"/>
      <c r="EE48" s="1152"/>
      <c r="EF48" s="1152"/>
      <c r="EG48" s="1152"/>
      <c r="EH48" s="1152"/>
      <c r="EI48" s="1152"/>
      <c r="EJ48" s="1152"/>
      <c r="EK48" s="1152"/>
      <c r="EL48" s="1152"/>
      <c r="EM48" s="1152"/>
      <c r="EN48" s="1152"/>
      <c r="EO48" s="1152"/>
      <c r="EP48" s="1152"/>
      <c r="EQ48" s="1152"/>
      <c r="ER48" s="1152"/>
      <c r="ES48" s="1152"/>
      <c r="ET48" s="1152"/>
      <c r="EU48" s="1152"/>
      <c r="EV48" s="1152"/>
      <c r="EW48" s="1152"/>
      <c r="EX48" s="1152"/>
      <c r="EY48" s="1152"/>
      <c r="EZ48" s="1152"/>
      <c r="FA48" s="1152"/>
      <c r="FB48" s="1152"/>
      <c r="FC48" s="1152"/>
      <c r="FD48" s="1152"/>
      <c r="FE48" s="1152"/>
      <c r="FF48" s="1152"/>
      <c r="FG48" s="1152"/>
      <c r="FH48" s="1152"/>
      <c r="FI48" s="1152"/>
      <c r="FJ48" s="1152"/>
      <c r="FK48" s="1152"/>
      <c r="FL48" s="1152"/>
      <c r="FM48" s="1152"/>
      <c r="FN48" s="1152"/>
      <c r="FO48" s="1152"/>
      <c r="FP48" s="1152"/>
      <c r="FQ48" s="1152"/>
      <c r="FR48" s="1152"/>
      <c r="FS48" s="1152"/>
      <c r="FT48" s="1152"/>
      <c r="FU48" s="1152"/>
      <c r="FV48" s="1152"/>
      <c r="FW48" s="1152"/>
      <c r="FX48" s="1152"/>
      <c r="FY48" s="1152"/>
      <c r="FZ48" s="1152"/>
      <c r="GA48" s="1152"/>
      <c r="GB48" s="1152"/>
      <c r="GC48" s="1152"/>
      <c r="GD48" s="1152"/>
      <c r="GE48" s="1152"/>
      <c r="GF48" s="1152"/>
      <c r="GG48" s="1152"/>
    </row>
    <row r="49" spans="1:189" s="1149" customFormat="1" ht="15.95" customHeight="1">
      <c r="A49" s="639"/>
      <c r="B49" s="467"/>
      <c r="C49" s="1554" t="e">
        <f>#REF!</f>
        <v>#REF!</v>
      </c>
      <c r="D49" s="1521">
        <f>J49</f>
        <v>13.334999999999999</v>
      </c>
      <c r="E49" s="547" t="e">
        <f>#REF!</f>
        <v>#REF!</v>
      </c>
      <c r="F49" s="547" t="e">
        <f>+D49*E49</f>
        <v>#REF!</v>
      </c>
      <c r="H49" s="1150">
        <f>+H24/100</f>
        <v>12.7</v>
      </c>
      <c r="I49" s="1151">
        <v>1.05</v>
      </c>
      <c r="J49" s="1150">
        <f>H49*I49</f>
        <v>13.334999999999999</v>
      </c>
      <c r="K49" s="1152"/>
      <c r="L49" s="1152"/>
      <c r="M49" s="1152"/>
      <c r="N49" s="1152"/>
      <c r="O49" s="1152"/>
      <c r="P49" s="1152"/>
      <c r="Q49" s="1152"/>
      <c r="R49" s="1152"/>
      <c r="S49" s="1152"/>
      <c r="T49" s="1152"/>
      <c r="U49" s="1152"/>
      <c r="V49" s="1152"/>
      <c r="W49" s="1152"/>
      <c r="X49" s="1152"/>
      <c r="Y49" s="1152"/>
      <c r="Z49" s="1152"/>
      <c r="AA49" s="1152"/>
      <c r="AB49" s="1152"/>
      <c r="AC49" s="1152"/>
      <c r="AD49" s="1152"/>
      <c r="AE49" s="1152"/>
      <c r="AF49" s="1152"/>
      <c r="AG49" s="1152"/>
      <c r="AH49" s="1152"/>
      <c r="AI49" s="1152"/>
      <c r="AJ49" s="1152"/>
      <c r="AK49" s="1152"/>
      <c r="AL49" s="1152"/>
      <c r="AM49" s="1152"/>
      <c r="AN49" s="1152"/>
      <c r="AO49" s="1152"/>
      <c r="AP49" s="1152"/>
      <c r="AQ49" s="1152"/>
      <c r="AR49" s="1152"/>
      <c r="AS49" s="1152"/>
      <c r="AT49" s="1152"/>
      <c r="AU49" s="1152"/>
      <c r="AV49" s="1152"/>
      <c r="AW49" s="1152"/>
      <c r="AX49" s="1152"/>
      <c r="AY49" s="1152"/>
      <c r="AZ49" s="1152"/>
      <c r="BA49" s="1152"/>
      <c r="BB49" s="1152"/>
      <c r="BC49" s="1152"/>
      <c r="BD49" s="1152"/>
      <c r="BE49" s="1152"/>
      <c r="BF49" s="1152"/>
      <c r="BG49" s="1152"/>
      <c r="BH49" s="1152"/>
      <c r="BI49" s="1152"/>
      <c r="BJ49" s="1152"/>
      <c r="BK49" s="1152"/>
      <c r="BL49" s="1152"/>
      <c r="BM49" s="1152"/>
      <c r="BN49" s="1152"/>
      <c r="BO49" s="1152"/>
      <c r="BP49" s="1152"/>
      <c r="BQ49" s="1152"/>
      <c r="BR49" s="1152"/>
      <c r="BS49" s="1152"/>
      <c r="BT49" s="1152"/>
      <c r="BU49" s="1152"/>
      <c r="BV49" s="1152"/>
      <c r="BW49" s="1152"/>
      <c r="BX49" s="1152"/>
      <c r="BY49" s="1152"/>
      <c r="BZ49" s="1152"/>
      <c r="CA49" s="1152"/>
      <c r="CB49" s="1152"/>
      <c r="CC49" s="1152"/>
      <c r="CD49" s="1152"/>
      <c r="CE49" s="1152"/>
      <c r="CF49" s="1152"/>
      <c r="CG49" s="1152"/>
      <c r="CH49" s="1152"/>
      <c r="CI49" s="1152"/>
      <c r="CJ49" s="1152"/>
      <c r="CK49" s="1152"/>
      <c r="CL49" s="1152"/>
      <c r="CM49" s="1152"/>
      <c r="CN49" s="1152"/>
      <c r="CO49" s="1152"/>
      <c r="CP49" s="1152"/>
      <c r="CQ49" s="1152"/>
      <c r="CR49" s="1152"/>
      <c r="CS49" s="1152"/>
      <c r="CT49" s="1152"/>
      <c r="CU49" s="1152"/>
      <c r="CV49" s="1152"/>
      <c r="CW49" s="1152"/>
      <c r="CX49" s="1152"/>
      <c r="CY49" s="1152"/>
      <c r="CZ49" s="1152"/>
      <c r="DA49" s="1152"/>
      <c r="DB49" s="1152"/>
      <c r="DC49" s="1152"/>
      <c r="DD49" s="1152"/>
      <c r="DE49" s="1152"/>
      <c r="DF49" s="1152"/>
      <c r="DG49" s="1152"/>
      <c r="DH49" s="1152"/>
      <c r="DI49" s="1152"/>
      <c r="DJ49" s="1152"/>
      <c r="DK49" s="1152"/>
      <c r="DL49" s="1152"/>
      <c r="DM49" s="1152"/>
      <c r="DN49" s="1152"/>
      <c r="DO49" s="1152"/>
      <c r="DP49" s="1152"/>
      <c r="DQ49" s="1152"/>
      <c r="DR49" s="1152"/>
      <c r="DS49" s="1152"/>
      <c r="DT49" s="1152"/>
      <c r="DU49" s="1152"/>
      <c r="DV49" s="1152"/>
      <c r="DW49" s="1152"/>
      <c r="DX49" s="1152"/>
      <c r="DY49" s="1152"/>
      <c r="DZ49" s="1152"/>
      <c r="EA49" s="1152"/>
      <c r="EB49" s="1152"/>
      <c r="EC49" s="1152"/>
      <c r="ED49" s="1152"/>
      <c r="EE49" s="1152"/>
      <c r="EF49" s="1152"/>
      <c r="EG49" s="1152"/>
      <c r="EH49" s="1152"/>
      <c r="EI49" s="1152"/>
      <c r="EJ49" s="1152"/>
      <c r="EK49" s="1152"/>
      <c r="EL49" s="1152"/>
      <c r="EM49" s="1152"/>
      <c r="EN49" s="1152"/>
      <c r="EO49" s="1152"/>
      <c r="EP49" s="1152"/>
      <c r="EQ49" s="1152"/>
      <c r="ER49" s="1152"/>
      <c r="ES49" s="1152"/>
      <c r="ET49" s="1152"/>
      <c r="EU49" s="1152"/>
      <c r="EV49" s="1152"/>
      <c r="EW49" s="1152"/>
      <c r="EX49" s="1152"/>
      <c r="EY49" s="1152"/>
      <c r="EZ49" s="1152"/>
      <c r="FA49" s="1152"/>
      <c r="FB49" s="1152"/>
      <c r="FC49" s="1152"/>
      <c r="FD49" s="1152"/>
      <c r="FE49" s="1152"/>
      <c r="FF49" s="1152"/>
      <c r="FG49" s="1152"/>
      <c r="FH49" s="1152"/>
      <c r="FI49" s="1152"/>
      <c r="FJ49" s="1152"/>
      <c r="FK49" s="1152"/>
      <c r="FL49" s="1152"/>
      <c r="FM49" s="1152"/>
      <c r="FN49" s="1152"/>
      <c r="FO49" s="1152"/>
      <c r="FP49" s="1152"/>
      <c r="FQ49" s="1152"/>
      <c r="FR49" s="1152"/>
      <c r="FS49" s="1152"/>
      <c r="FT49" s="1152"/>
      <c r="FU49" s="1152"/>
      <c r="FV49" s="1152"/>
      <c r="FW49" s="1152"/>
      <c r="FX49" s="1152"/>
      <c r="FY49" s="1152"/>
      <c r="FZ49" s="1152"/>
      <c r="GA49" s="1152"/>
      <c r="GB49" s="1152"/>
      <c r="GC49" s="1152"/>
      <c r="GD49" s="1152"/>
      <c r="GE49" s="1152"/>
      <c r="GF49" s="1152"/>
      <c r="GG49" s="1152"/>
    </row>
    <row r="50" spans="1:189" s="1149" customFormat="1" ht="15.95" customHeight="1">
      <c r="A50" s="745" t="e">
        <f>+#REF!</f>
        <v>#REF!</v>
      </c>
      <c r="B50" s="768" t="e">
        <f>+#REF!</f>
        <v>#REF!</v>
      </c>
      <c r="C50" s="1617"/>
      <c r="D50" s="954"/>
      <c r="E50" s="954"/>
      <c r="F50" s="954"/>
      <c r="H50" s="1150"/>
      <c r="I50" s="1151"/>
      <c r="J50" s="1150"/>
      <c r="K50" s="1152"/>
      <c r="L50" s="1152"/>
      <c r="M50" s="1152"/>
      <c r="N50" s="1152"/>
      <c r="O50" s="1152"/>
      <c r="P50" s="1152"/>
      <c r="Q50" s="1152"/>
      <c r="R50" s="1152"/>
      <c r="S50" s="1152"/>
      <c r="T50" s="1152"/>
      <c r="U50" s="1152"/>
      <c r="V50" s="1152"/>
      <c r="W50" s="1152"/>
      <c r="X50" s="1152"/>
      <c r="Y50" s="1152"/>
      <c r="Z50" s="1152"/>
      <c r="AA50" s="1152"/>
      <c r="AB50" s="1152"/>
      <c r="AC50" s="1152"/>
      <c r="AD50" s="1152"/>
      <c r="AE50" s="1152"/>
      <c r="AF50" s="1152"/>
      <c r="AG50" s="1152"/>
      <c r="AH50" s="1152"/>
      <c r="AI50" s="1152"/>
      <c r="AJ50" s="1152"/>
      <c r="AK50" s="1152"/>
      <c r="AL50" s="1152"/>
      <c r="AM50" s="1152"/>
      <c r="AN50" s="1152"/>
      <c r="AO50" s="1152"/>
      <c r="AP50" s="1152"/>
      <c r="AQ50" s="1152"/>
      <c r="AR50" s="1152"/>
      <c r="AS50" s="1152"/>
      <c r="AT50" s="1152"/>
      <c r="AU50" s="1152"/>
      <c r="AV50" s="1152"/>
      <c r="AW50" s="1152"/>
      <c r="AX50" s="1152"/>
      <c r="AY50" s="1152"/>
      <c r="AZ50" s="1152"/>
      <c r="BA50" s="1152"/>
      <c r="BB50" s="1152"/>
      <c r="BC50" s="1152"/>
      <c r="BD50" s="1152"/>
      <c r="BE50" s="1152"/>
      <c r="BF50" s="1152"/>
      <c r="BG50" s="1152"/>
      <c r="BH50" s="1152"/>
      <c r="BI50" s="1152"/>
      <c r="BJ50" s="1152"/>
      <c r="BK50" s="1152"/>
      <c r="BL50" s="1152"/>
      <c r="BM50" s="1152"/>
      <c r="BN50" s="1152"/>
      <c r="BO50" s="1152"/>
      <c r="BP50" s="1152"/>
      <c r="BQ50" s="1152"/>
      <c r="BR50" s="1152"/>
      <c r="BS50" s="1152"/>
      <c r="BT50" s="1152"/>
      <c r="BU50" s="1152"/>
      <c r="BV50" s="1152"/>
      <c r="BW50" s="1152"/>
      <c r="BX50" s="1152"/>
      <c r="BY50" s="1152"/>
      <c r="BZ50" s="1152"/>
      <c r="CA50" s="1152"/>
      <c r="CB50" s="1152"/>
      <c r="CC50" s="1152"/>
      <c r="CD50" s="1152"/>
      <c r="CE50" s="1152"/>
      <c r="CF50" s="1152"/>
      <c r="CG50" s="1152"/>
      <c r="CH50" s="1152"/>
      <c r="CI50" s="1152"/>
      <c r="CJ50" s="1152"/>
      <c r="CK50" s="1152"/>
      <c r="CL50" s="1152"/>
      <c r="CM50" s="1152"/>
      <c r="CN50" s="1152"/>
      <c r="CO50" s="1152"/>
      <c r="CP50" s="1152"/>
      <c r="CQ50" s="1152"/>
      <c r="CR50" s="1152"/>
      <c r="CS50" s="1152"/>
      <c r="CT50" s="1152"/>
      <c r="CU50" s="1152"/>
      <c r="CV50" s="1152"/>
      <c r="CW50" s="1152"/>
      <c r="CX50" s="1152"/>
      <c r="CY50" s="1152"/>
      <c r="CZ50" s="1152"/>
      <c r="DA50" s="1152"/>
      <c r="DB50" s="1152"/>
      <c r="DC50" s="1152"/>
      <c r="DD50" s="1152"/>
      <c r="DE50" s="1152"/>
      <c r="DF50" s="1152"/>
      <c r="DG50" s="1152"/>
      <c r="DH50" s="1152"/>
      <c r="DI50" s="1152"/>
      <c r="DJ50" s="1152"/>
      <c r="DK50" s="1152"/>
      <c r="DL50" s="1152"/>
      <c r="DM50" s="1152"/>
      <c r="DN50" s="1152"/>
      <c r="DO50" s="1152"/>
      <c r="DP50" s="1152"/>
      <c r="DQ50" s="1152"/>
      <c r="DR50" s="1152"/>
      <c r="DS50" s="1152"/>
      <c r="DT50" s="1152"/>
      <c r="DU50" s="1152"/>
      <c r="DV50" s="1152"/>
      <c r="DW50" s="1152"/>
      <c r="DX50" s="1152"/>
      <c r="DY50" s="1152"/>
      <c r="DZ50" s="1152"/>
      <c r="EA50" s="1152"/>
      <c r="EB50" s="1152"/>
      <c r="EC50" s="1152"/>
      <c r="ED50" s="1152"/>
      <c r="EE50" s="1152"/>
      <c r="EF50" s="1152"/>
      <c r="EG50" s="1152"/>
      <c r="EH50" s="1152"/>
      <c r="EI50" s="1152"/>
      <c r="EJ50" s="1152"/>
      <c r="EK50" s="1152"/>
      <c r="EL50" s="1152"/>
      <c r="EM50" s="1152"/>
      <c r="EN50" s="1152"/>
      <c r="EO50" s="1152"/>
      <c r="EP50" s="1152"/>
      <c r="EQ50" s="1152"/>
      <c r="ER50" s="1152"/>
      <c r="ES50" s="1152"/>
      <c r="ET50" s="1152"/>
      <c r="EU50" s="1152"/>
      <c r="EV50" s="1152"/>
      <c r="EW50" s="1152"/>
      <c r="EX50" s="1152"/>
      <c r="EY50" s="1152"/>
      <c r="EZ50" s="1152"/>
      <c r="FA50" s="1152"/>
      <c r="FB50" s="1152"/>
      <c r="FC50" s="1152"/>
      <c r="FD50" s="1152"/>
      <c r="FE50" s="1152"/>
      <c r="FF50" s="1152"/>
      <c r="FG50" s="1152"/>
      <c r="FH50" s="1152"/>
      <c r="FI50" s="1152"/>
      <c r="FJ50" s="1152"/>
      <c r="FK50" s="1152"/>
      <c r="FL50" s="1152"/>
      <c r="FM50" s="1152"/>
      <c r="FN50" s="1152"/>
      <c r="FO50" s="1152"/>
      <c r="FP50" s="1152"/>
      <c r="FQ50" s="1152"/>
      <c r="FR50" s="1152"/>
      <c r="FS50" s="1152"/>
      <c r="FT50" s="1152"/>
      <c r="FU50" s="1152"/>
      <c r="FV50" s="1152"/>
      <c r="FW50" s="1152"/>
      <c r="FX50" s="1152"/>
      <c r="FY50" s="1152"/>
      <c r="FZ50" s="1152"/>
      <c r="GA50" s="1152"/>
      <c r="GB50" s="1152"/>
      <c r="GC50" s="1152"/>
      <c r="GD50" s="1152"/>
      <c r="GE50" s="1152"/>
      <c r="GF50" s="1152"/>
      <c r="GG50" s="1152"/>
    </row>
    <row r="51" spans="1:189" s="1149" customFormat="1" ht="15.95" customHeight="1">
      <c r="A51" s="638" t="e">
        <f>+#REF!</f>
        <v>#REF!</v>
      </c>
      <c r="B51" s="1616" t="e">
        <f>+#REF!</f>
        <v>#REF!</v>
      </c>
      <c r="C51" s="1553" t="e">
        <f>#REF!</f>
        <v>#REF!</v>
      </c>
      <c r="D51" s="1139">
        <v>1</v>
      </c>
      <c r="E51" s="1520">
        <f>35555625*0.7</f>
        <v>24888937.5</v>
      </c>
      <c r="F51" s="1520">
        <f>+D51*E51</f>
        <v>24888937.5</v>
      </c>
      <c r="H51" s="1151">
        <f>H24/1000</f>
        <v>1.27</v>
      </c>
      <c r="I51" s="1151">
        <f>1.05</f>
        <v>1.05</v>
      </c>
      <c r="J51" s="1151">
        <f>H51*I51</f>
        <v>1.3335000000000001</v>
      </c>
      <c r="K51" s="1152"/>
      <c r="L51" s="1152"/>
      <c r="M51" s="1152"/>
      <c r="N51" s="1152"/>
      <c r="O51" s="1152"/>
      <c r="P51" s="1152"/>
      <c r="Q51" s="1152"/>
      <c r="R51" s="1152"/>
      <c r="S51" s="1152"/>
      <c r="T51" s="1152"/>
      <c r="U51" s="1152"/>
      <c r="V51" s="1152"/>
      <c r="W51" s="1152"/>
      <c r="X51" s="1152"/>
      <c r="Y51" s="1152"/>
      <c r="Z51" s="1152"/>
      <c r="AA51" s="1152"/>
      <c r="AB51" s="1152"/>
      <c r="AC51" s="1152"/>
      <c r="AD51" s="1152"/>
      <c r="AE51" s="1152"/>
      <c r="AF51" s="1152"/>
      <c r="AG51" s="1152"/>
      <c r="AH51" s="1152"/>
      <c r="AI51" s="1152"/>
      <c r="AJ51" s="1152"/>
      <c r="AK51" s="1152"/>
      <c r="AL51" s="1152"/>
      <c r="AM51" s="1152"/>
      <c r="AN51" s="1152"/>
      <c r="AO51" s="1152"/>
      <c r="AP51" s="1152"/>
      <c r="AQ51" s="1152"/>
      <c r="AR51" s="1152"/>
      <c r="AS51" s="1152"/>
      <c r="AT51" s="1152"/>
      <c r="AU51" s="1152"/>
      <c r="AV51" s="1152"/>
      <c r="AW51" s="1152"/>
      <c r="AX51" s="1152"/>
      <c r="AY51" s="1152"/>
      <c r="AZ51" s="1152"/>
      <c r="BA51" s="1152"/>
      <c r="BB51" s="1152"/>
      <c r="BC51" s="1152"/>
      <c r="BD51" s="1152"/>
      <c r="BE51" s="1152"/>
      <c r="BF51" s="1152"/>
      <c r="BG51" s="1152"/>
      <c r="BH51" s="1152"/>
      <c r="BI51" s="1152"/>
      <c r="BJ51" s="1152"/>
      <c r="BK51" s="1152"/>
      <c r="BL51" s="1152"/>
      <c r="BM51" s="1152"/>
      <c r="BN51" s="1152"/>
      <c r="BO51" s="1152"/>
      <c r="BP51" s="1152"/>
      <c r="BQ51" s="1152"/>
      <c r="BR51" s="1152"/>
      <c r="BS51" s="1152"/>
      <c r="BT51" s="1152"/>
      <c r="BU51" s="1152"/>
      <c r="BV51" s="1152"/>
      <c r="BW51" s="1152"/>
      <c r="BX51" s="1152"/>
      <c r="BY51" s="1152"/>
      <c r="BZ51" s="1152"/>
      <c r="CA51" s="1152"/>
      <c r="CB51" s="1152"/>
      <c r="CC51" s="1152"/>
      <c r="CD51" s="1152"/>
      <c r="CE51" s="1152"/>
      <c r="CF51" s="1152"/>
      <c r="CG51" s="1152"/>
      <c r="CH51" s="1152"/>
      <c r="CI51" s="1152"/>
      <c r="CJ51" s="1152"/>
      <c r="CK51" s="1152"/>
      <c r="CL51" s="1152"/>
      <c r="CM51" s="1152"/>
      <c r="CN51" s="1152"/>
      <c r="CO51" s="1152"/>
      <c r="CP51" s="1152"/>
      <c r="CQ51" s="1152"/>
      <c r="CR51" s="1152"/>
      <c r="CS51" s="1152"/>
      <c r="CT51" s="1152"/>
      <c r="CU51" s="1152"/>
      <c r="CV51" s="1152"/>
      <c r="CW51" s="1152"/>
      <c r="CX51" s="1152"/>
      <c r="CY51" s="1152"/>
      <c r="CZ51" s="1152"/>
      <c r="DA51" s="1152"/>
      <c r="DB51" s="1152"/>
      <c r="DC51" s="1152"/>
      <c r="DD51" s="1152"/>
      <c r="DE51" s="1152"/>
      <c r="DF51" s="1152"/>
      <c r="DG51" s="1152"/>
      <c r="DH51" s="1152"/>
      <c r="DI51" s="1152"/>
      <c r="DJ51" s="1152"/>
      <c r="DK51" s="1152"/>
      <c r="DL51" s="1152"/>
      <c r="DM51" s="1152"/>
      <c r="DN51" s="1152"/>
      <c r="DO51" s="1152"/>
      <c r="DP51" s="1152"/>
      <c r="DQ51" s="1152"/>
      <c r="DR51" s="1152"/>
      <c r="DS51" s="1152"/>
      <c r="DT51" s="1152"/>
      <c r="DU51" s="1152"/>
      <c r="DV51" s="1152"/>
      <c r="DW51" s="1152"/>
      <c r="DX51" s="1152"/>
      <c r="DY51" s="1152"/>
      <c r="DZ51" s="1152"/>
      <c r="EA51" s="1152"/>
      <c r="EB51" s="1152"/>
      <c r="EC51" s="1152"/>
      <c r="ED51" s="1152"/>
      <c r="EE51" s="1152"/>
      <c r="EF51" s="1152"/>
      <c r="EG51" s="1152"/>
      <c r="EH51" s="1152"/>
      <c r="EI51" s="1152"/>
      <c r="EJ51" s="1152"/>
      <c r="EK51" s="1152"/>
      <c r="EL51" s="1152"/>
      <c r="EM51" s="1152"/>
      <c r="EN51" s="1152"/>
      <c r="EO51" s="1152"/>
      <c r="EP51" s="1152"/>
      <c r="EQ51" s="1152"/>
      <c r="ER51" s="1152"/>
      <c r="ES51" s="1152"/>
      <c r="ET51" s="1152"/>
      <c r="EU51" s="1152"/>
      <c r="EV51" s="1152"/>
      <c r="EW51" s="1152"/>
      <c r="EX51" s="1152"/>
      <c r="EY51" s="1152"/>
      <c r="EZ51" s="1152"/>
      <c r="FA51" s="1152"/>
      <c r="FB51" s="1152"/>
      <c r="FC51" s="1152"/>
      <c r="FD51" s="1152"/>
      <c r="FE51" s="1152"/>
      <c r="FF51" s="1152"/>
      <c r="FG51" s="1152"/>
      <c r="FH51" s="1152"/>
      <c r="FI51" s="1152"/>
      <c r="FJ51" s="1152"/>
      <c r="FK51" s="1152"/>
      <c r="FL51" s="1152"/>
      <c r="FM51" s="1152"/>
      <c r="FN51" s="1152"/>
      <c r="FO51" s="1152"/>
      <c r="FP51" s="1152"/>
      <c r="FQ51" s="1152"/>
      <c r="FR51" s="1152"/>
      <c r="FS51" s="1152"/>
      <c r="FT51" s="1152"/>
      <c r="FU51" s="1152"/>
      <c r="FV51" s="1152"/>
      <c r="FW51" s="1152"/>
      <c r="FX51" s="1152"/>
      <c r="FY51" s="1152"/>
      <c r="FZ51" s="1152"/>
      <c r="GA51" s="1152"/>
      <c r="GB51" s="1152"/>
      <c r="GC51" s="1152"/>
      <c r="GD51" s="1152"/>
      <c r="GE51" s="1152"/>
      <c r="GF51" s="1152"/>
      <c r="GG51" s="1152"/>
    </row>
    <row r="52" spans="1:189" s="1149" customFormat="1" ht="15.95" customHeight="1">
      <c r="A52" s="638" t="e">
        <f>+#REF!</f>
        <v>#REF!</v>
      </c>
      <c r="B52" s="1616" t="e">
        <f>+#REF!</f>
        <v>#REF!</v>
      </c>
      <c r="C52" s="1553" t="e">
        <f>#REF!</f>
        <v>#REF!</v>
      </c>
      <c r="D52" s="1139">
        <v>1</v>
      </c>
      <c r="E52" s="1520">
        <f>28444500*0.7</f>
        <v>19911150</v>
      </c>
      <c r="F52" s="1520">
        <f>+D52*E52</f>
        <v>19911150</v>
      </c>
      <c r="H52" s="1151">
        <f>H51</f>
        <v>1.27</v>
      </c>
      <c r="I52" s="1151">
        <f>1.05</f>
        <v>1.05</v>
      </c>
      <c r="J52" s="1151">
        <f>H52*I52</f>
        <v>1.3335000000000001</v>
      </c>
      <c r="K52" s="1152"/>
      <c r="L52" s="1152"/>
      <c r="M52" s="1152"/>
      <c r="N52" s="1152"/>
      <c r="O52" s="1152"/>
      <c r="P52" s="1152"/>
      <c r="Q52" s="1152"/>
      <c r="R52" s="1152"/>
      <c r="S52" s="1152"/>
      <c r="T52" s="1152"/>
      <c r="U52" s="1152"/>
      <c r="V52" s="1152"/>
      <c r="W52" s="1152"/>
      <c r="X52" s="1152"/>
      <c r="Y52" s="1152"/>
      <c r="Z52" s="1152"/>
      <c r="AA52" s="1152"/>
      <c r="AB52" s="1152"/>
      <c r="AC52" s="1152"/>
      <c r="AD52" s="1152"/>
      <c r="AE52" s="1152"/>
      <c r="AF52" s="1152"/>
      <c r="AG52" s="1152"/>
      <c r="AH52" s="1152"/>
      <c r="AI52" s="1152"/>
      <c r="AJ52" s="1152"/>
      <c r="AK52" s="1152"/>
      <c r="AL52" s="1152"/>
      <c r="AM52" s="1152"/>
      <c r="AN52" s="1152"/>
      <c r="AO52" s="1152"/>
      <c r="AP52" s="1152"/>
      <c r="AQ52" s="1152"/>
      <c r="AR52" s="1152"/>
      <c r="AS52" s="1152"/>
      <c r="AT52" s="1152"/>
      <c r="AU52" s="1152"/>
      <c r="AV52" s="1152"/>
      <c r="AW52" s="1152"/>
      <c r="AX52" s="1152"/>
      <c r="AY52" s="1152"/>
      <c r="AZ52" s="1152"/>
      <c r="BA52" s="1152"/>
      <c r="BB52" s="1152"/>
      <c r="BC52" s="1152"/>
      <c r="BD52" s="1152"/>
      <c r="BE52" s="1152"/>
      <c r="BF52" s="1152"/>
      <c r="BG52" s="1152"/>
      <c r="BH52" s="1152"/>
      <c r="BI52" s="1152"/>
      <c r="BJ52" s="1152"/>
      <c r="BK52" s="1152"/>
      <c r="BL52" s="1152"/>
      <c r="BM52" s="1152"/>
      <c r="BN52" s="1152"/>
      <c r="BO52" s="1152"/>
      <c r="BP52" s="1152"/>
      <c r="BQ52" s="1152"/>
      <c r="BR52" s="1152"/>
      <c r="BS52" s="1152"/>
      <c r="BT52" s="1152"/>
      <c r="BU52" s="1152"/>
      <c r="BV52" s="1152"/>
      <c r="BW52" s="1152"/>
      <c r="BX52" s="1152"/>
      <c r="BY52" s="1152"/>
      <c r="BZ52" s="1152"/>
      <c r="CA52" s="1152"/>
      <c r="CB52" s="1152"/>
      <c r="CC52" s="1152"/>
      <c r="CD52" s="1152"/>
      <c r="CE52" s="1152"/>
      <c r="CF52" s="1152"/>
      <c r="CG52" s="1152"/>
      <c r="CH52" s="1152"/>
      <c r="CI52" s="1152"/>
      <c r="CJ52" s="1152"/>
      <c r="CK52" s="1152"/>
      <c r="CL52" s="1152"/>
      <c r="CM52" s="1152"/>
      <c r="CN52" s="1152"/>
      <c r="CO52" s="1152"/>
      <c r="CP52" s="1152"/>
      <c r="CQ52" s="1152"/>
      <c r="CR52" s="1152"/>
      <c r="CS52" s="1152"/>
      <c r="CT52" s="1152"/>
      <c r="CU52" s="1152"/>
      <c r="CV52" s="1152"/>
      <c r="CW52" s="1152"/>
      <c r="CX52" s="1152"/>
      <c r="CY52" s="1152"/>
      <c r="CZ52" s="1152"/>
      <c r="DA52" s="1152"/>
      <c r="DB52" s="1152"/>
      <c r="DC52" s="1152"/>
      <c r="DD52" s="1152"/>
      <c r="DE52" s="1152"/>
      <c r="DF52" s="1152"/>
      <c r="DG52" s="1152"/>
      <c r="DH52" s="1152"/>
      <c r="DI52" s="1152"/>
      <c r="DJ52" s="1152"/>
      <c r="DK52" s="1152"/>
      <c r="DL52" s="1152"/>
      <c r="DM52" s="1152"/>
      <c r="DN52" s="1152"/>
      <c r="DO52" s="1152"/>
      <c r="DP52" s="1152"/>
      <c r="DQ52" s="1152"/>
      <c r="DR52" s="1152"/>
      <c r="DS52" s="1152"/>
      <c r="DT52" s="1152"/>
      <c r="DU52" s="1152"/>
      <c r="DV52" s="1152"/>
      <c r="DW52" s="1152"/>
      <c r="DX52" s="1152"/>
      <c r="DY52" s="1152"/>
      <c r="DZ52" s="1152"/>
      <c r="EA52" s="1152"/>
      <c r="EB52" s="1152"/>
      <c r="EC52" s="1152"/>
      <c r="ED52" s="1152"/>
      <c r="EE52" s="1152"/>
      <c r="EF52" s="1152"/>
      <c r="EG52" s="1152"/>
      <c r="EH52" s="1152"/>
      <c r="EI52" s="1152"/>
      <c r="EJ52" s="1152"/>
      <c r="EK52" s="1152"/>
      <c r="EL52" s="1152"/>
      <c r="EM52" s="1152"/>
      <c r="EN52" s="1152"/>
      <c r="EO52" s="1152"/>
      <c r="EP52" s="1152"/>
      <c r="EQ52" s="1152"/>
      <c r="ER52" s="1152"/>
      <c r="ES52" s="1152"/>
      <c r="ET52" s="1152"/>
      <c r="EU52" s="1152"/>
      <c r="EV52" s="1152"/>
      <c r="EW52" s="1152"/>
      <c r="EX52" s="1152"/>
      <c r="EY52" s="1152"/>
      <c r="EZ52" s="1152"/>
      <c r="FA52" s="1152"/>
      <c r="FB52" s="1152"/>
      <c r="FC52" s="1152"/>
      <c r="FD52" s="1152"/>
      <c r="FE52" s="1152"/>
      <c r="FF52" s="1152"/>
      <c r="FG52" s="1152"/>
      <c r="FH52" s="1152"/>
      <c r="FI52" s="1152"/>
      <c r="FJ52" s="1152"/>
      <c r="FK52" s="1152"/>
      <c r="FL52" s="1152"/>
      <c r="FM52" s="1152"/>
      <c r="FN52" s="1152"/>
      <c r="FO52" s="1152"/>
      <c r="FP52" s="1152"/>
      <c r="FQ52" s="1152"/>
      <c r="FR52" s="1152"/>
      <c r="FS52" s="1152"/>
      <c r="FT52" s="1152"/>
      <c r="FU52" s="1152"/>
      <c r="FV52" s="1152"/>
      <c r="FW52" s="1152"/>
      <c r="FX52" s="1152"/>
      <c r="FY52" s="1152"/>
      <c r="FZ52" s="1152"/>
      <c r="GA52" s="1152"/>
      <c r="GB52" s="1152"/>
      <c r="GC52" s="1152"/>
      <c r="GD52" s="1152"/>
      <c r="GE52" s="1152"/>
      <c r="GF52" s="1152"/>
      <c r="GG52" s="1152"/>
    </row>
    <row r="53" spans="1:189" s="1149" customFormat="1" ht="15.95" customHeight="1">
      <c r="A53" s="638" t="e">
        <f>+#REF!</f>
        <v>#REF!</v>
      </c>
      <c r="B53" s="1616" t="e">
        <f>+#REF!</f>
        <v>#REF!</v>
      </c>
      <c r="C53" s="1553" t="e">
        <f>#REF!</f>
        <v>#REF!</v>
      </c>
      <c r="D53" s="1520">
        <f>J53</f>
        <v>1778</v>
      </c>
      <c r="E53" s="1520" t="e">
        <f>#REF!</f>
        <v>#REF!</v>
      </c>
      <c r="F53" s="1520" t="e">
        <f>+D53*E53</f>
        <v>#REF!</v>
      </c>
      <c r="H53" s="1151">
        <f>+F15</f>
        <v>1270</v>
      </c>
      <c r="I53" s="1151">
        <v>1.4</v>
      </c>
      <c r="J53" s="1151">
        <f>ROUND(H53*I53,0)</f>
        <v>1778</v>
      </c>
      <c r="K53" s="1152"/>
      <c r="L53" s="1152"/>
      <c r="M53" s="1152"/>
      <c r="N53" s="1152"/>
      <c r="O53" s="1152"/>
      <c r="P53" s="1152"/>
      <c r="Q53" s="1152"/>
      <c r="R53" s="1152"/>
      <c r="S53" s="1152"/>
      <c r="T53" s="1152"/>
      <c r="U53" s="1152"/>
      <c r="V53" s="1152"/>
      <c r="W53" s="1152"/>
      <c r="X53" s="1152"/>
      <c r="Y53" s="1152"/>
      <c r="Z53" s="1152"/>
      <c r="AA53" s="1152"/>
      <c r="AB53" s="1152"/>
      <c r="AC53" s="1152"/>
      <c r="AD53" s="1152"/>
      <c r="AE53" s="1152"/>
      <c r="AF53" s="1152"/>
      <c r="AG53" s="1152"/>
      <c r="AH53" s="1152"/>
      <c r="AI53" s="1152"/>
      <c r="AJ53" s="1152"/>
      <c r="AK53" s="1152"/>
      <c r="AL53" s="1152"/>
      <c r="AM53" s="1152"/>
      <c r="AN53" s="1152"/>
      <c r="AO53" s="1152"/>
      <c r="AP53" s="1152"/>
      <c r="AQ53" s="1152"/>
      <c r="AR53" s="1152"/>
      <c r="AS53" s="1152"/>
      <c r="AT53" s="1152"/>
      <c r="AU53" s="1152"/>
      <c r="AV53" s="1152"/>
      <c r="AW53" s="1152"/>
      <c r="AX53" s="1152"/>
      <c r="AY53" s="1152"/>
      <c r="AZ53" s="1152"/>
      <c r="BA53" s="1152"/>
      <c r="BB53" s="1152"/>
      <c r="BC53" s="1152"/>
      <c r="BD53" s="1152"/>
      <c r="BE53" s="1152"/>
      <c r="BF53" s="1152"/>
      <c r="BG53" s="1152"/>
      <c r="BH53" s="1152"/>
      <c r="BI53" s="1152"/>
      <c r="BJ53" s="1152"/>
      <c r="BK53" s="1152"/>
      <c r="BL53" s="1152"/>
      <c r="BM53" s="1152"/>
      <c r="BN53" s="1152"/>
      <c r="BO53" s="1152"/>
      <c r="BP53" s="1152"/>
      <c r="BQ53" s="1152"/>
      <c r="BR53" s="1152"/>
      <c r="BS53" s="1152"/>
      <c r="BT53" s="1152"/>
      <c r="BU53" s="1152"/>
      <c r="BV53" s="1152"/>
      <c r="BW53" s="1152"/>
      <c r="BX53" s="1152"/>
      <c r="BY53" s="1152"/>
      <c r="BZ53" s="1152"/>
      <c r="CA53" s="1152"/>
      <c r="CB53" s="1152"/>
      <c r="CC53" s="1152"/>
      <c r="CD53" s="1152"/>
      <c r="CE53" s="1152"/>
      <c r="CF53" s="1152"/>
      <c r="CG53" s="1152"/>
      <c r="CH53" s="1152"/>
      <c r="CI53" s="1152"/>
      <c r="CJ53" s="1152"/>
      <c r="CK53" s="1152"/>
      <c r="CL53" s="1152"/>
      <c r="CM53" s="1152"/>
      <c r="CN53" s="1152"/>
      <c r="CO53" s="1152"/>
      <c r="CP53" s="1152"/>
      <c r="CQ53" s="1152"/>
      <c r="CR53" s="1152"/>
      <c r="CS53" s="1152"/>
      <c r="CT53" s="1152"/>
      <c r="CU53" s="1152"/>
      <c r="CV53" s="1152"/>
      <c r="CW53" s="1152"/>
      <c r="CX53" s="1152"/>
      <c r="CY53" s="1152"/>
      <c r="CZ53" s="1152"/>
      <c r="DA53" s="1152"/>
      <c r="DB53" s="1152"/>
      <c r="DC53" s="1152"/>
      <c r="DD53" s="1152"/>
      <c r="DE53" s="1152"/>
      <c r="DF53" s="1152"/>
      <c r="DG53" s="1152"/>
      <c r="DH53" s="1152"/>
      <c r="DI53" s="1152"/>
      <c r="DJ53" s="1152"/>
      <c r="DK53" s="1152"/>
      <c r="DL53" s="1152"/>
      <c r="DM53" s="1152"/>
      <c r="DN53" s="1152"/>
      <c r="DO53" s="1152"/>
      <c r="DP53" s="1152"/>
      <c r="DQ53" s="1152"/>
      <c r="DR53" s="1152"/>
      <c r="DS53" s="1152"/>
      <c r="DT53" s="1152"/>
      <c r="DU53" s="1152"/>
      <c r="DV53" s="1152"/>
      <c r="DW53" s="1152"/>
      <c r="DX53" s="1152"/>
      <c r="DY53" s="1152"/>
      <c r="DZ53" s="1152"/>
      <c r="EA53" s="1152"/>
      <c r="EB53" s="1152"/>
      <c r="EC53" s="1152"/>
      <c r="ED53" s="1152"/>
      <c r="EE53" s="1152"/>
      <c r="EF53" s="1152"/>
      <c r="EG53" s="1152"/>
      <c r="EH53" s="1152"/>
      <c r="EI53" s="1152"/>
      <c r="EJ53" s="1152"/>
      <c r="EK53" s="1152"/>
      <c r="EL53" s="1152"/>
      <c r="EM53" s="1152"/>
      <c r="EN53" s="1152"/>
      <c r="EO53" s="1152"/>
      <c r="EP53" s="1152"/>
      <c r="EQ53" s="1152"/>
      <c r="ER53" s="1152"/>
      <c r="ES53" s="1152"/>
      <c r="ET53" s="1152"/>
      <c r="EU53" s="1152"/>
      <c r="EV53" s="1152"/>
      <c r="EW53" s="1152"/>
      <c r="EX53" s="1152"/>
      <c r="EY53" s="1152"/>
      <c r="EZ53" s="1152"/>
      <c r="FA53" s="1152"/>
      <c r="FB53" s="1152"/>
      <c r="FC53" s="1152"/>
      <c r="FD53" s="1152"/>
      <c r="FE53" s="1152"/>
      <c r="FF53" s="1152"/>
      <c r="FG53" s="1152"/>
      <c r="FH53" s="1152"/>
      <c r="FI53" s="1152"/>
      <c r="FJ53" s="1152"/>
      <c r="FK53" s="1152"/>
      <c r="FL53" s="1152"/>
      <c r="FM53" s="1152"/>
      <c r="FN53" s="1152"/>
      <c r="FO53" s="1152"/>
      <c r="FP53" s="1152"/>
      <c r="FQ53" s="1152"/>
      <c r="FR53" s="1152"/>
      <c r="FS53" s="1152"/>
      <c r="FT53" s="1152"/>
      <c r="FU53" s="1152"/>
      <c r="FV53" s="1152"/>
      <c r="FW53" s="1152"/>
      <c r="FX53" s="1152"/>
      <c r="FY53" s="1152"/>
      <c r="FZ53" s="1152"/>
      <c r="GA53" s="1152"/>
      <c r="GB53" s="1152"/>
      <c r="GC53" s="1152"/>
      <c r="GD53" s="1152"/>
      <c r="GE53" s="1152"/>
      <c r="GF53" s="1152"/>
      <c r="GG53" s="1152"/>
    </row>
    <row r="54" spans="1:189" s="1149" customFormat="1" ht="15.95" customHeight="1">
      <c r="A54" s="639" t="e">
        <f>+#REF!</f>
        <v>#REF!</v>
      </c>
      <c r="B54" s="467" t="e">
        <f>+#REF!</f>
        <v>#REF!</v>
      </c>
      <c r="C54" s="1554" t="e">
        <f>#REF!</f>
        <v>#REF!</v>
      </c>
      <c r="D54" s="1140">
        <v>1</v>
      </c>
      <c r="E54" s="1521">
        <v>5835882.2130000005</v>
      </c>
      <c r="F54" s="1521">
        <f>+D54*E54</f>
        <v>5835882.2130000005</v>
      </c>
      <c r="H54" s="1151">
        <f>H52</f>
        <v>1.27</v>
      </c>
      <c r="I54" s="1151">
        <f>1.05</f>
        <v>1.05</v>
      </c>
      <c r="J54" s="1151">
        <f>H54*I54</f>
        <v>1.3335000000000001</v>
      </c>
      <c r="K54" s="1152"/>
      <c r="L54" s="1152"/>
      <c r="M54" s="1152"/>
      <c r="N54" s="1152"/>
      <c r="O54" s="1152"/>
      <c r="P54" s="1152"/>
      <c r="Q54" s="1152"/>
      <c r="R54" s="1152"/>
      <c r="S54" s="1152"/>
      <c r="T54" s="1152"/>
      <c r="U54" s="1152"/>
      <c r="V54" s="1152"/>
      <c r="W54" s="1152"/>
      <c r="X54" s="1152"/>
      <c r="Y54" s="1152"/>
      <c r="Z54" s="1152"/>
      <c r="AA54" s="1152"/>
      <c r="AB54" s="1152"/>
      <c r="AC54" s="1152"/>
      <c r="AD54" s="1152"/>
      <c r="AE54" s="1152"/>
      <c r="AF54" s="1152"/>
      <c r="AG54" s="1152"/>
      <c r="AH54" s="1152"/>
      <c r="AI54" s="1152"/>
      <c r="AJ54" s="1152"/>
      <c r="AK54" s="1152"/>
      <c r="AL54" s="1152"/>
      <c r="AM54" s="1152"/>
      <c r="AN54" s="1152"/>
      <c r="AO54" s="1152"/>
      <c r="AP54" s="1152"/>
      <c r="AQ54" s="1152"/>
      <c r="AR54" s="1152"/>
      <c r="AS54" s="1152"/>
      <c r="AT54" s="1152"/>
      <c r="AU54" s="1152"/>
      <c r="AV54" s="1152"/>
      <c r="AW54" s="1152"/>
      <c r="AX54" s="1152"/>
      <c r="AY54" s="1152"/>
      <c r="AZ54" s="1152"/>
      <c r="BA54" s="1152"/>
      <c r="BB54" s="1152"/>
      <c r="BC54" s="1152"/>
      <c r="BD54" s="1152"/>
      <c r="BE54" s="1152"/>
      <c r="BF54" s="1152"/>
      <c r="BG54" s="1152"/>
      <c r="BH54" s="1152"/>
      <c r="BI54" s="1152"/>
      <c r="BJ54" s="1152"/>
      <c r="BK54" s="1152"/>
      <c r="BL54" s="1152"/>
      <c r="BM54" s="1152"/>
      <c r="BN54" s="1152"/>
      <c r="BO54" s="1152"/>
      <c r="BP54" s="1152"/>
      <c r="BQ54" s="1152"/>
      <c r="BR54" s="1152"/>
      <c r="BS54" s="1152"/>
      <c r="BT54" s="1152"/>
      <c r="BU54" s="1152"/>
      <c r="BV54" s="1152"/>
      <c r="BW54" s="1152"/>
      <c r="BX54" s="1152"/>
      <c r="BY54" s="1152"/>
      <c r="BZ54" s="1152"/>
      <c r="CA54" s="1152"/>
      <c r="CB54" s="1152"/>
      <c r="CC54" s="1152"/>
      <c r="CD54" s="1152"/>
      <c r="CE54" s="1152"/>
      <c r="CF54" s="1152"/>
      <c r="CG54" s="1152"/>
      <c r="CH54" s="1152"/>
      <c r="CI54" s="1152"/>
      <c r="CJ54" s="1152"/>
      <c r="CK54" s="1152"/>
      <c r="CL54" s="1152"/>
      <c r="CM54" s="1152"/>
      <c r="CN54" s="1152"/>
      <c r="CO54" s="1152"/>
      <c r="CP54" s="1152"/>
      <c r="CQ54" s="1152"/>
      <c r="CR54" s="1152"/>
      <c r="CS54" s="1152"/>
      <c r="CT54" s="1152"/>
      <c r="CU54" s="1152"/>
      <c r="CV54" s="1152"/>
      <c r="CW54" s="1152"/>
      <c r="CX54" s="1152"/>
      <c r="CY54" s="1152"/>
      <c r="CZ54" s="1152"/>
      <c r="DA54" s="1152"/>
      <c r="DB54" s="1152"/>
      <c r="DC54" s="1152"/>
      <c r="DD54" s="1152"/>
      <c r="DE54" s="1152"/>
      <c r="DF54" s="1152"/>
      <c r="DG54" s="1152"/>
      <c r="DH54" s="1152"/>
      <c r="DI54" s="1152"/>
      <c r="DJ54" s="1152"/>
      <c r="DK54" s="1152"/>
      <c r="DL54" s="1152"/>
      <c r="DM54" s="1152"/>
      <c r="DN54" s="1152"/>
      <c r="DO54" s="1152"/>
      <c r="DP54" s="1152"/>
      <c r="DQ54" s="1152"/>
      <c r="DR54" s="1152"/>
      <c r="DS54" s="1152"/>
      <c r="DT54" s="1152"/>
      <c r="DU54" s="1152"/>
      <c r="DV54" s="1152"/>
      <c r="DW54" s="1152"/>
      <c r="DX54" s="1152"/>
      <c r="DY54" s="1152"/>
      <c r="DZ54" s="1152"/>
      <c r="EA54" s="1152"/>
      <c r="EB54" s="1152"/>
      <c r="EC54" s="1152"/>
      <c r="ED54" s="1152"/>
      <c r="EE54" s="1152"/>
      <c r="EF54" s="1152"/>
      <c r="EG54" s="1152"/>
      <c r="EH54" s="1152"/>
      <c r="EI54" s="1152"/>
      <c r="EJ54" s="1152"/>
      <c r="EK54" s="1152"/>
      <c r="EL54" s="1152"/>
      <c r="EM54" s="1152"/>
      <c r="EN54" s="1152"/>
      <c r="EO54" s="1152"/>
      <c r="EP54" s="1152"/>
      <c r="EQ54" s="1152"/>
      <c r="ER54" s="1152"/>
      <c r="ES54" s="1152"/>
      <c r="ET54" s="1152"/>
      <c r="EU54" s="1152"/>
      <c r="EV54" s="1152"/>
      <c r="EW54" s="1152"/>
      <c r="EX54" s="1152"/>
      <c r="EY54" s="1152"/>
      <c r="EZ54" s="1152"/>
      <c r="FA54" s="1152"/>
      <c r="FB54" s="1152"/>
      <c r="FC54" s="1152"/>
      <c r="FD54" s="1152"/>
      <c r="FE54" s="1152"/>
      <c r="FF54" s="1152"/>
      <c r="FG54" s="1152"/>
      <c r="FH54" s="1152"/>
      <c r="FI54" s="1152"/>
      <c r="FJ54" s="1152"/>
      <c r="FK54" s="1152"/>
      <c r="FL54" s="1152"/>
      <c r="FM54" s="1152"/>
      <c r="FN54" s="1152"/>
      <c r="FO54" s="1152"/>
      <c r="FP54" s="1152"/>
      <c r="FQ54" s="1152"/>
      <c r="FR54" s="1152"/>
      <c r="FS54" s="1152"/>
      <c r="FT54" s="1152"/>
      <c r="FU54" s="1152"/>
      <c r="FV54" s="1152"/>
      <c r="FW54" s="1152"/>
      <c r="FX54" s="1152"/>
      <c r="FY54" s="1152"/>
      <c r="FZ54" s="1152"/>
      <c r="GA54" s="1152"/>
      <c r="GB54" s="1152"/>
      <c r="GC54" s="1152"/>
      <c r="GD54" s="1152"/>
      <c r="GE54" s="1152"/>
      <c r="GF54" s="1152"/>
      <c r="GG54" s="1152"/>
    </row>
    <row r="55" spans="1:189" s="1152" customFormat="1" ht="15.95" customHeight="1">
      <c r="A55" s="745" t="e">
        <f>+#REF!</f>
        <v>#REF!</v>
      </c>
      <c r="B55" s="768" t="e">
        <f>+#REF!</f>
        <v>#REF!</v>
      </c>
      <c r="C55" s="1617"/>
      <c r="D55" s="954"/>
      <c r="E55" s="544"/>
      <c r="F55" s="544"/>
      <c r="G55" s="1149"/>
      <c r="H55" s="1150"/>
      <c r="I55" s="1151"/>
      <c r="J55" s="1150"/>
    </row>
    <row r="56" spans="1:189" s="1152" customFormat="1" ht="15.95" customHeight="1">
      <c r="A56" s="639"/>
      <c r="B56" s="465"/>
      <c r="C56" s="1554" t="e">
        <f>#REF!</f>
        <v>#REF!</v>
      </c>
      <c r="D56" s="1521">
        <f>J56</f>
        <v>13970.000000000002</v>
      </c>
      <c r="E56" s="547" t="e">
        <f>#REF!</f>
        <v>#REF!</v>
      </c>
      <c r="F56" s="547" t="e">
        <f>+D56*E56</f>
        <v>#REF!</v>
      </c>
      <c r="G56" s="1149"/>
      <c r="H56" s="1150">
        <f>+(F13/2+F15)*10</f>
        <v>12700</v>
      </c>
      <c r="I56" s="1151">
        <f>1.1</f>
        <v>1.1000000000000001</v>
      </c>
      <c r="J56" s="1150">
        <f>H56*I56</f>
        <v>13970.000000000002</v>
      </c>
    </row>
    <row r="57" spans="1:189" s="1152" customFormat="1" ht="15.95" customHeight="1">
      <c r="A57" s="745" t="e">
        <f>+#REF!</f>
        <v>#REF!</v>
      </c>
      <c r="B57" s="768" t="e">
        <f>+#REF!</f>
        <v>#REF!</v>
      </c>
      <c r="C57" s="1617"/>
      <c r="D57" s="954"/>
      <c r="E57" s="544"/>
      <c r="F57" s="544"/>
      <c r="G57" s="1149"/>
      <c r="H57" s="1150">
        <f>370+163*2</f>
        <v>696</v>
      </c>
      <c r="I57" s="1151"/>
      <c r="J57" s="1150"/>
    </row>
    <row r="58" spans="1:189" s="1152" customFormat="1" ht="15.95" customHeight="1">
      <c r="A58" s="639"/>
      <c r="B58" s="465"/>
      <c r="C58" s="1554" t="e">
        <f>#REF!</f>
        <v>#REF!</v>
      </c>
      <c r="D58" s="1521">
        <f>J58</f>
        <v>2794</v>
      </c>
      <c r="E58" s="547" t="e">
        <f>#REF!</f>
        <v>#REF!</v>
      </c>
      <c r="F58" s="547" t="e">
        <f>+D58*E58</f>
        <v>#REF!</v>
      </c>
      <c r="G58" s="1149"/>
      <c r="H58" s="1150">
        <f>+(F13/2+F15)*2</f>
        <v>2540</v>
      </c>
      <c r="I58" s="1151">
        <f>1.1</f>
        <v>1.1000000000000001</v>
      </c>
      <c r="J58" s="1150">
        <f>H58*I58</f>
        <v>2794</v>
      </c>
    </row>
    <row r="59" spans="1:189" s="1152" customFormat="1" ht="15.95" customHeight="1">
      <c r="A59" s="745" t="e">
        <f>+#REF!</f>
        <v>#REF!</v>
      </c>
      <c r="B59" s="768" t="e">
        <f>+#REF!</f>
        <v>#REF!</v>
      </c>
      <c r="C59" s="1617"/>
      <c r="D59" s="954"/>
      <c r="E59" s="544"/>
      <c r="F59" s="544"/>
      <c r="G59" s="1149"/>
      <c r="H59" s="1150"/>
      <c r="I59" s="1151"/>
      <c r="J59" s="1150"/>
    </row>
    <row r="60" spans="1:189" s="1152" customFormat="1" ht="15.95" customHeight="1">
      <c r="A60" s="1615" t="e">
        <f>+#REF!</f>
        <v>#REF!</v>
      </c>
      <c r="B60" s="467" t="e">
        <f>+#REF!</f>
        <v>#REF!</v>
      </c>
      <c r="C60" s="1618" t="e">
        <f>#REF!</f>
        <v>#REF!</v>
      </c>
      <c r="D60" s="1141">
        <f>J60</f>
        <v>1053.6500000000001</v>
      </c>
      <c r="E60" s="1112" t="e">
        <f>#REF!</f>
        <v>#REF!</v>
      </c>
      <c r="F60" s="547" t="e">
        <f>+D60*E60</f>
        <v>#REF!</v>
      </c>
      <c r="G60" s="1149"/>
      <c r="H60" s="1151">
        <f>120+1470+401+310+260+130+320+350+250+355+350+550+255+2160+1140+175+175+130+130+745+372+245+740+1060+345+550+263+475+300+913+790+777+395+320+123+120+396+322+200+206+506+180+270+95+95+240+255+230+200+204+110</f>
        <v>21073</v>
      </c>
      <c r="I60" s="1151">
        <f>0.5*0.1</f>
        <v>0.05</v>
      </c>
      <c r="J60" s="1150">
        <f>H60*I60</f>
        <v>1053.6500000000001</v>
      </c>
    </row>
    <row r="61" spans="1:189" s="1152" customFormat="1" ht="15.95" customHeight="1">
      <c r="A61" s="745" t="e">
        <f>+#REF!</f>
        <v>#REF!</v>
      </c>
      <c r="B61" s="768" t="e">
        <f>+#REF!</f>
        <v>#REF!</v>
      </c>
      <c r="C61" s="1617"/>
      <c r="D61" s="954"/>
      <c r="E61" s="544"/>
      <c r="F61" s="544"/>
      <c r="G61" s="1149"/>
      <c r="H61" s="1150"/>
      <c r="I61" s="1151"/>
      <c r="J61" s="1150"/>
    </row>
    <row r="62" spans="1:189" s="1152" customFormat="1" ht="15.95" customHeight="1">
      <c r="A62" s="639"/>
      <c r="B62" s="465"/>
      <c r="C62" s="1554" t="e">
        <f>#REF!</f>
        <v>#REF!</v>
      </c>
      <c r="D62" s="1521">
        <f>J62</f>
        <v>165</v>
      </c>
      <c r="E62" s="547" t="e">
        <f>#REF!</f>
        <v>#REF!</v>
      </c>
      <c r="F62" s="547" t="e">
        <f>+D62*E62</f>
        <v>#REF!</v>
      </c>
      <c r="G62" s="1149"/>
      <c r="H62" s="1150">
        <f>11*(14*0+15)</f>
        <v>165</v>
      </c>
      <c r="I62" s="1151">
        <v>1</v>
      </c>
      <c r="J62" s="1150">
        <f>H62*I62</f>
        <v>165</v>
      </c>
      <c r="K62" s="1152" t="s">
        <v>353</v>
      </c>
    </row>
    <row r="63" spans="1:189" s="1160" customFormat="1" ht="15.95" customHeight="1">
      <c r="A63" s="745" t="e">
        <f>+#REF!</f>
        <v>#REF!</v>
      </c>
      <c r="B63" s="768" t="e">
        <f>+#REF!</f>
        <v>#REF!</v>
      </c>
      <c r="C63" s="1617"/>
      <c r="D63" s="954"/>
      <c r="E63" s="544"/>
      <c r="F63" s="544"/>
      <c r="H63" s="1161"/>
      <c r="I63" s="1162"/>
      <c r="J63" s="1161"/>
    </row>
    <row r="64" spans="1:189" s="1160" customFormat="1" ht="15.95" customHeight="1">
      <c r="A64" s="639"/>
      <c r="B64" s="465"/>
      <c r="C64" s="1554" t="e">
        <f>#REF!</f>
        <v>#REF!</v>
      </c>
      <c r="D64" s="1521">
        <f>J64</f>
        <v>0</v>
      </c>
      <c r="E64" s="547" t="e">
        <f>#REF!</f>
        <v>#REF!</v>
      </c>
      <c r="F64" s="650" t="e">
        <f>+D64*E64</f>
        <v>#REF!</v>
      </c>
      <c r="H64" s="1161">
        <f>162*0</f>
        <v>0</v>
      </c>
      <c r="I64" s="1162">
        <v>1.1000000000000001</v>
      </c>
      <c r="J64" s="1161">
        <f>H64*I64</f>
        <v>0</v>
      </c>
    </row>
    <row r="65" spans="1:12" s="1152" customFormat="1" ht="18.75">
      <c r="A65" s="749"/>
      <c r="B65" s="1515"/>
      <c r="C65" s="1608"/>
      <c r="D65" s="636"/>
      <c r="E65" s="1609" t="s">
        <v>111</v>
      </c>
      <c r="F65" s="1122" t="e">
        <f>SUM(F44:F64)</f>
        <v>#REF!</v>
      </c>
      <c r="G65" s="1149"/>
      <c r="H65" s="1150"/>
      <c r="I65" s="1151"/>
      <c r="J65" s="1150"/>
    </row>
    <row r="66" spans="1:12" s="1146" customFormat="1" ht="15" customHeight="1">
      <c r="A66" s="1588"/>
      <c r="B66" s="1527"/>
      <c r="C66" s="1600"/>
      <c r="D66" s="410"/>
      <c r="E66" s="568"/>
      <c r="F66" s="568"/>
      <c r="G66" s="44"/>
      <c r="H66" s="1144"/>
      <c r="I66" s="1145"/>
      <c r="J66" s="1144"/>
    </row>
    <row r="67" spans="1:12" s="1146" customFormat="1" ht="24.95" customHeight="1">
      <c r="A67" s="1905" t="e">
        <f>+#REF!</f>
        <v>#REF!</v>
      </c>
      <c r="B67" s="1906"/>
      <c r="C67" s="1906"/>
      <c r="D67" s="1906"/>
      <c r="E67" s="1906"/>
      <c r="F67" s="1907"/>
      <c r="G67" s="44"/>
      <c r="H67" s="1144"/>
      <c r="I67" s="1145"/>
      <c r="J67" s="1144"/>
    </row>
    <row r="68" spans="1:12" s="1152" customFormat="1">
      <c r="A68" s="830" t="e">
        <f>+#REF!</f>
        <v>#REF!</v>
      </c>
      <c r="B68" s="768" t="e">
        <f>+#REF!</f>
        <v>#REF!</v>
      </c>
      <c r="C68" s="1478"/>
      <c r="D68" s="954"/>
      <c r="E68" s="544"/>
      <c r="F68" s="544"/>
      <c r="G68" s="1149"/>
      <c r="H68" s="1150"/>
      <c r="I68" s="1151"/>
      <c r="J68" s="1150"/>
    </row>
    <row r="69" spans="1:12" s="1152" customFormat="1">
      <c r="A69" s="1619" t="e">
        <f>+#REF!</f>
        <v>#REF!</v>
      </c>
      <c r="B69" s="467" t="e">
        <f>+#REF!</f>
        <v>#REF!</v>
      </c>
      <c r="C69" s="1523" t="e">
        <f>#REF!</f>
        <v>#REF!</v>
      </c>
      <c r="D69" s="1521">
        <f>J69</f>
        <v>9779</v>
      </c>
      <c r="E69" s="547" t="e">
        <f>#REF!</f>
        <v>#REF!</v>
      </c>
      <c r="F69" s="547" t="e">
        <f>+D69*E69</f>
        <v>#REF!</v>
      </c>
      <c r="G69" s="1149"/>
      <c r="H69" s="1163">
        <f>+F15*0.7*10</f>
        <v>8890</v>
      </c>
      <c r="I69" s="1151">
        <v>1.1000000000000001</v>
      </c>
      <c r="J69" s="1150">
        <f>H69*I69</f>
        <v>9779</v>
      </c>
      <c r="L69" s="1152" t="s">
        <v>354</v>
      </c>
    </row>
    <row r="70" spans="1:12" s="1152" customFormat="1">
      <c r="A70" s="830" t="e">
        <f>+#REF!</f>
        <v>#REF!</v>
      </c>
      <c r="B70" s="768" t="e">
        <f>+#REF!</f>
        <v>#REF!</v>
      </c>
      <c r="C70" s="1478"/>
      <c r="D70" s="954"/>
      <c r="E70" s="544"/>
      <c r="F70" s="544"/>
      <c r="G70" s="1149"/>
      <c r="H70" s="1150"/>
      <c r="I70" s="1151"/>
      <c r="J70" s="1150">
        <f>J69*0</f>
        <v>0</v>
      </c>
    </row>
    <row r="71" spans="1:12" s="1152" customFormat="1">
      <c r="A71" s="1615"/>
      <c r="B71" s="467"/>
      <c r="C71" s="1523" t="e">
        <f>#REF!</f>
        <v>#REF!</v>
      </c>
      <c r="D71" s="1521">
        <f>D69*0.1</f>
        <v>977.90000000000009</v>
      </c>
      <c r="E71" s="547" t="e">
        <f>#REF!</f>
        <v>#REF!</v>
      </c>
      <c r="F71" s="547" t="e">
        <f>+D71*E71</f>
        <v>#REF!</v>
      </c>
      <c r="G71" s="1149"/>
      <c r="H71" s="1150"/>
      <c r="I71" s="1151"/>
      <c r="J71" s="1150"/>
    </row>
    <row r="72" spans="1:12" s="1152" customFormat="1">
      <c r="A72" s="830" t="e">
        <f>+#REF!</f>
        <v>#REF!</v>
      </c>
      <c r="B72" s="768" t="e">
        <f>+#REF!</f>
        <v>#REF!</v>
      </c>
      <c r="C72" s="1478"/>
      <c r="D72" s="954"/>
      <c r="E72" s="544"/>
      <c r="F72" s="544"/>
      <c r="G72" s="1149"/>
      <c r="H72" s="1150"/>
      <c r="I72" s="1151"/>
      <c r="J72" s="1150"/>
    </row>
    <row r="73" spans="1:12" s="1152" customFormat="1">
      <c r="A73" s="1615"/>
      <c r="B73" s="467"/>
      <c r="C73" s="1523" t="e">
        <f>#REF!</f>
        <v>#REF!</v>
      </c>
      <c r="D73" s="1521">
        <f>+K73</f>
        <v>2933.7000000000003</v>
      </c>
      <c r="E73" s="547" t="e">
        <f>#REF!</f>
        <v>#REF!</v>
      </c>
      <c r="F73" s="547" t="e">
        <f>+D73*E73</f>
        <v>#REF!</v>
      </c>
      <c r="G73" s="1149"/>
      <c r="H73" s="1150">
        <f>+H69*0.3</f>
        <v>2667</v>
      </c>
      <c r="I73" s="1151">
        <v>1.1000000000000001</v>
      </c>
      <c r="J73" s="1150">
        <f>H73*I73</f>
        <v>2933.7000000000003</v>
      </c>
      <c r="K73" s="1152">
        <f>J73-J70</f>
        <v>2933.7000000000003</v>
      </c>
    </row>
    <row r="74" spans="1:12" s="1164" customFormat="1">
      <c r="A74" s="745" t="e">
        <f>+#REF!</f>
        <v>#REF!</v>
      </c>
      <c r="B74" s="768" t="e">
        <f>+#REF!</f>
        <v>#REF!</v>
      </c>
      <c r="C74" s="1478"/>
      <c r="D74" s="954"/>
      <c r="E74" s="544"/>
      <c r="F74" s="544"/>
      <c r="H74" s="1165"/>
      <c r="I74" s="1166"/>
      <c r="J74" s="1165"/>
    </row>
    <row r="75" spans="1:12" s="1164" customFormat="1">
      <c r="A75" s="1615"/>
      <c r="B75" s="467"/>
      <c r="C75" s="1523" t="e">
        <f>#REF!</f>
        <v>#REF!</v>
      </c>
      <c r="D75" s="1521">
        <f>+J75</f>
        <v>2508</v>
      </c>
      <c r="E75" s="1549" t="e">
        <f>+#REF!</f>
        <v>#REF!</v>
      </c>
      <c r="F75" s="547" t="e">
        <f t="shared" ref="F75" si="4">+D75*E75</f>
        <v>#REF!</v>
      </c>
      <c r="H75" s="1165">
        <f>+H160/0.2</f>
        <v>2280</v>
      </c>
      <c r="I75" s="1166">
        <v>1.1000000000000001</v>
      </c>
      <c r="J75" s="1165">
        <f>+H75*I75</f>
        <v>2508</v>
      </c>
    </row>
    <row r="76" spans="1:12" s="1152" customFormat="1" ht="18.75">
      <c r="A76" s="1586"/>
      <c r="B76" s="1587"/>
      <c r="C76" s="1608"/>
      <c r="D76" s="636"/>
      <c r="E76" s="1609" t="s">
        <v>110</v>
      </c>
      <c r="F76" s="1122" t="e">
        <f>SUM(F68:F75)</f>
        <v>#REF!</v>
      </c>
      <c r="G76" s="1149"/>
      <c r="H76" s="1150"/>
      <c r="I76" s="1151"/>
      <c r="J76" s="1150"/>
    </row>
    <row r="77" spans="1:12" s="1146" customFormat="1" ht="15.95" customHeight="1">
      <c r="A77" s="1584"/>
      <c r="B77" s="1629"/>
      <c r="C77" s="1069"/>
      <c r="D77" s="1114"/>
      <c r="E77" s="1069"/>
      <c r="F77" s="1632"/>
      <c r="G77" s="44"/>
      <c r="H77" s="1144"/>
      <c r="I77" s="1145"/>
      <c r="J77" s="1144"/>
    </row>
    <row r="78" spans="1:12" s="1146" customFormat="1" ht="24.95" customHeight="1">
      <c r="A78" s="1905" t="e">
        <f>+#REF!</f>
        <v>#REF!</v>
      </c>
      <c r="B78" s="1906"/>
      <c r="C78" s="1906"/>
      <c r="D78" s="1906"/>
      <c r="E78" s="1906"/>
      <c r="F78" s="1907"/>
      <c r="G78" s="44"/>
      <c r="H78" s="145">
        <f>+J85*0.15</f>
        <v>2433.1859999999997</v>
      </c>
      <c r="I78" s="1145">
        <v>1.05</v>
      </c>
      <c r="J78" s="1144">
        <f>H78*I78</f>
        <v>2554.8453</v>
      </c>
    </row>
    <row r="79" spans="1:12" s="1152" customFormat="1">
      <c r="A79" s="745" t="e">
        <f>+#REF!</f>
        <v>#REF!</v>
      </c>
      <c r="B79" s="1448" t="e">
        <f>+#REF!</f>
        <v>#REF!</v>
      </c>
      <c r="C79" s="1478"/>
      <c r="D79" s="543"/>
      <c r="E79" s="544"/>
      <c r="F79" s="544"/>
      <c r="G79" s="1149"/>
      <c r="H79" s="1150"/>
      <c r="I79" s="1151"/>
      <c r="J79" s="1150"/>
      <c r="K79" s="1152" t="s">
        <v>273</v>
      </c>
    </row>
    <row r="80" spans="1:12" s="1152" customFormat="1">
      <c r="A80" s="1615" t="e">
        <f>+#REF!</f>
        <v>#REF!</v>
      </c>
      <c r="B80" s="1280" t="e">
        <f>+#REF!</f>
        <v>#REF!</v>
      </c>
      <c r="C80" s="1523" t="e">
        <f>#REF!</f>
        <v>#REF!</v>
      </c>
      <c r="D80" s="1521">
        <f>J80</f>
        <v>8705.4282000000003</v>
      </c>
      <c r="E80" s="547" t="e">
        <f>#REF!</f>
        <v>#REF!</v>
      </c>
      <c r="F80" s="547" t="e">
        <f>+D80*E80</f>
        <v>#REF!</v>
      </c>
      <c r="G80" s="1149"/>
      <c r="H80" s="781">
        <f>+J85*0.35+J86*0.2</f>
        <v>8290.884</v>
      </c>
      <c r="I80" s="1151">
        <v>1.05</v>
      </c>
      <c r="J80" s="1150">
        <f>H80*I80</f>
        <v>8705.4282000000003</v>
      </c>
    </row>
    <row r="81" spans="1:10" s="1152" customFormat="1">
      <c r="A81" s="745" t="e">
        <f>+#REF!</f>
        <v>#REF!</v>
      </c>
      <c r="B81" s="830" t="e">
        <f>+#REF!</f>
        <v>#REF!</v>
      </c>
      <c r="C81" s="1478"/>
      <c r="D81" s="543"/>
      <c r="E81" s="544"/>
      <c r="F81" s="544"/>
      <c r="G81" s="1149"/>
      <c r="H81" s="1150"/>
      <c r="I81" s="1151"/>
      <c r="J81" s="1150"/>
    </row>
    <row r="82" spans="1:10" s="1152" customFormat="1">
      <c r="A82" s="1615"/>
      <c r="B82" s="1280"/>
      <c r="C82" s="1523" t="e">
        <f>#REF!</f>
        <v>#REF!</v>
      </c>
      <c r="D82" s="1521">
        <f>J82</f>
        <v>249097.41675</v>
      </c>
      <c r="E82" s="547" t="e">
        <f>#REF!</f>
        <v>#REF!</v>
      </c>
      <c r="F82" s="547" t="e">
        <f>+D82*E82</f>
        <v>#REF!</v>
      </c>
      <c r="G82" s="1149"/>
      <c r="H82" s="1150">
        <f>H78*1950*5%</f>
        <v>237235.63499999998</v>
      </c>
      <c r="I82" s="1151">
        <v>1.05</v>
      </c>
      <c r="J82" s="1150">
        <f>H82*I82</f>
        <v>249097.41675</v>
      </c>
    </row>
    <row r="83" spans="1:10" s="1152" customFormat="1">
      <c r="A83" s="745" t="e">
        <f>+#REF!</f>
        <v>#REF!</v>
      </c>
      <c r="B83" s="830" t="e">
        <f>+#REF!</f>
        <v>#REF!</v>
      </c>
      <c r="C83" s="1522"/>
      <c r="D83" s="650"/>
      <c r="E83" s="650"/>
      <c r="F83" s="650"/>
      <c r="G83" s="1149"/>
      <c r="H83" s="1150"/>
      <c r="I83" s="1151"/>
      <c r="J83" s="1150"/>
    </row>
    <row r="84" spans="1:10" s="1152" customFormat="1">
      <c r="A84" s="791" t="e">
        <f>+#REF!</f>
        <v>#REF!</v>
      </c>
      <c r="B84" s="824" t="e">
        <f>+#REF!</f>
        <v>#REF!</v>
      </c>
      <c r="C84" s="1522"/>
      <c r="D84" s="650"/>
      <c r="E84" s="650"/>
      <c r="F84" s="650"/>
      <c r="G84" s="1149"/>
      <c r="H84" s="1150"/>
      <c r="I84" s="1151"/>
      <c r="J84" s="1150"/>
    </row>
    <row r="85" spans="1:10" s="1152" customFormat="1">
      <c r="A85" s="484" t="e">
        <f>+#REF!</f>
        <v>#REF!</v>
      </c>
      <c r="B85" s="239" t="e">
        <f>+#REF!</f>
        <v>#REF!</v>
      </c>
      <c r="C85" s="1522" t="e">
        <f>#REF!</f>
        <v>#REF!</v>
      </c>
      <c r="D85" s="650">
        <f>+J85*0.91</f>
        <v>14761.3284</v>
      </c>
      <c r="E85" s="650" t="e">
        <f>+#REF!</f>
        <v>#REF!</v>
      </c>
      <c r="F85" s="650" t="e">
        <f>+D85*E85</f>
        <v>#REF!</v>
      </c>
      <c r="G85" s="1149"/>
      <c r="H85" s="698">
        <f>+H19</f>
        <v>15448.8</v>
      </c>
      <c r="I85" s="1151">
        <v>1.05</v>
      </c>
      <c r="J85" s="1150">
        <f>+H85*I85</f>
        <v>16221.24</v>
      </c>
    </row>
    <row r="86" spans="1:10" s="1152" customFormat="1">
      <c r="A86" s="484" t="e">
        <f>+#REF!</f>
        <v>#REF!</v>
      </c>
      <c r="B86" s="239" t="e">
        <f>+#REF!</f>
        <v>#REF!</v>
      </c>
      <c r="C86" s="1522" t="e">
        <f>#REF!</f>
        <v>#REF!</v>
      </c>
      <c r="D86" s="650">
        <f>+J86*0.83</f>
        <v>10845.817499999999</v>
      </c>
      <c r="E86" s="650" t="e">
        <f>+#REF!</f>
        <v>#REF!</v>
      </c>
      <c r="F86" s="650" t="e">
        <f t="shared" ref="F86:F105" si="5">+D86*E86</f>
        <v>#REF!</v>
      </c>
      <c r="G86" s="1149"/>
      <c r="H86" s="1150">
        <f>+J19</f>
        <v>12445</v>
      </c>
      <c r="I86" s="1151">
        <v>1.05</v>
      </c>
      <c r="J86" s="1150">
        <f>+H86*I86</f>
        <v>13067.25</v>
      </c>
    </row>
    <row r="87" spans="1:10" s="1152" customFormat="1">
      <c r="A87" s="791" t="e">
        <f>+#REF!</f>
        <v>#REF!</v>
      </c>
      <c r="B87" s="824" t="e">
        <f>+#REF!</f>
        <v>#REF!</v>
      </c>
      <c r="C87" s="1522"/>
      <c r="D87" s="1520"/>
      <c r="E87" s="650"/>
      <c r="F87" s="650"/>
      <c r="G87" s="1149"/>
      <c r="H87" s="1150"/>
      <c r="I87" s="1151">
        <v>1.05</v>
      </c>
      <c r="J87" s="1150">
        <f t="shared" ref="J87:J94" si="6">+H87*I87</f>
        <v>0</v>
      </c>
    </row>
    <row r="88" spans="1:10" s="1152" customFormat="1">
      <c r="A88" s="484" t="e">
        <f>+#REF!</f>
        <v>#REF!</v>
      </c>
      <c r="B88" s="239" t="e">
        <f>+#REF!</f>
        <v>#REF!</v>
      </c>
      <c r="C88" s="1522" t="e">
        <f>#REF!</f>
        <v>#REF!</v>
      </c>
      <c r="D88" s="1520">
        <f>+D85</f>
        <v>14761.3284</v>
      </c>
      <c r="E88" s="650" t="e">
        <f>+#REF!</f>
        <v>#REF!</v>
      </c>
      <c r="F88" s="650" t="e">
        <f t="shared" si="5"/>
        <v>#REF!</v>
      </c>
      <c r="G88" s="1149"/>
      <c r="H88" s="1150"/>
      <c r="I88" s="1151">
        <v>1.05</v>
      </c>
      <c r="J88" s="1150">
        <f t="shared" si="6"/>
        <v>0</v>
      </c>
    </row>
    <row r="89" spans="1:10" s="1152" customFormat="1">
      <c r="A89" s="1615" t="e">
        <f>+#REF!</f>
        <v>#REF!</v>
      </c>
      <c r="B89" s="1280" t="e">
        <f>+#REF!</f>
        <v>#REF!</v>
      </c>
      <c r="C89" s="1523" t="e">
        <f>#REF!</f>
        <v>#REF!</v>
      </c>
      <c r="D89" s="1521">
        <f>+D86</f>
        <v>10845.817499999999</v>
      </c>
      <c r="E89" s="547" t="e">
        <f>+#REF!</f>
        <v>#REF!</v>
      </c>
      <c r="F89" s="547" t="e">
        <f t="shared" si="5"/>
        <v>#REF!</v>
      </c>
      <c r="G89" s="1149"/>
      <c r="H89" s="1150"/>
      <c r="I89" s="1151">
        <v>1.05</v>
      </c>
      <c r="J89" s="1150">
        <f t="shared" si="6"/>
        <v>0</v>
      </c>
    </row>
    <row r="90" spans="1:10" s="1152" customFormat="1">
      <c r="A90" s="745" t="e">
        <f>+#REF!</f>
        <v>#REF!</v>
      </c>
      <c r="B90" s="830" t="e">
        <f>+#REF!</f>
        <v>#REF!</v>
      </c>
      <c r="C90" s="1522"/>
      <c r="D90" s="1520"/>
      <c r="E90" s="650"/>
      <c r="F90" s="962"/>
      <c r="G90" s="1149"/>
      <c r="H90" s="1150"/>
      <c r="I90" s="1151">
        <v>1.05</v>
      </c>
      <c r="J90" s="1150">
        <f t="shared" si="6"/>
        <v>0</v>
      </c>
    </row>
    <row r="91" spans="1:10" s="1152" customFormat="1">
      <c r="A91" s="791" t="e">
        <f>+#REF!</f>
        <v>#REF!</v>
      </c>
      <c r="B91" s="824" t="e">
        <f>+#REF!</f>
        <v>#REF!</v>
      </c>
      <c r="C91" s="1522"/>
      <c r="D91" s="1520"/>
      <c r="E91" s="650"/>
      <c r="F91" s="962"/>
      <c r="G91" s="1149"/>
      <c r="H91" s="1150"/>
      <c r="I91" s="1151">
        <v>1.05</v>
      </c>
      <c r="J91" s="1150">
        <f t="shared" si="6"/>
        <v>0</v>
      </c>
    </row>
    <row r="92" spans="1:10" s="1152" customFormat="1">
      <c r="A92" s="484" t="e">
        <f>+#REF!</f>
        <v>#REF!</v>
      </c>
      <c r="B92" s="239" t="e">
        <f>+#REF!</f>
        <v>#REF!</v>
      </c>
      <c r="C92" s="1522" t="e">
        <f>#REF!</f>
        <v>#REF!</v>
      </c>
      <c r="D92" s="1520">
        <f>+J92</f>
        <v>420</v>
      </c>
      <c r="E92" s="650" t="e">
        <f>+#REF!</f>
        <v>#REF!</v>
      </c>
      <c r="F92" s="962" t="e">
        <f t="shared" si="5"/>
        <v>#REF!</v>
      </c>
      <c r="G92" s="1149"/>
      <c r="H92" s="1150">
        <f>+F13+F14+20*20</f>
        <v>400</v>
      </c>
      <c r="I92" s="1151">
        <v>1.05</v>
      </c>
      <c r="J92" s="1150">
        <f t="shared" si="6"/>
        <v>420</v>
      </c>
    </row>
    <row r="93" spans="1:10" s="1152" customFormat="1">
      <c r="A93" s="484" t="e">
        <f>+#REF!</f>
        <v>#REF!</v>
      </c>
      <c r="B93" s="239" t="e">
        <f>+#REF!</f>
        <v>#REF!</v>
      </c>
      <c r="C93" s="1522" t="e">
        <f>#REF!</f>
        <v>#REF!</v>
      </c>
      <c r="D93" s="1520">
        <f>+J93</f>
        <v>3297</v>
      </c>
      <c r="E93" s="650" t="e">
        <f>+#REF!</f>
        <v>#REF!</v>
      </c>
      <c r="F93" s="962" t="e">
        <f t="shared" si="5"/>
        <v>#REF!</v>
      </c>
      <c r="G93" s="1149"/>
      <c r="H93" s="1150">
        <f>+F13+F14+F15*2+F16*2+F17*2+20*2*(50-35)</f>
        <v>3140</v>
      </c>
      <c r="I93" s="1151">
        <v>1.05</v>
      </c>
      <c r="J93" s="1150">
        <f t="shared" si="6"/>
        <v>3297</v>
      </c>
    </row>
    <row r="94" spans="1:10" s="1152" customFormat="1">
      <c r="A94" s="484" t="e">
        <f>+#REF!</f>
        <v>#REF!</v>
      </c>
      <c r="B94" s="239" t="e">
        <f>+#REF!</f>
        <v>#REF!</v>
      </c>
      <c r="C94" s="1522" t="e">
        <f>#REF!</f>
        <v>#REF!</v>
      </c>
      <c r="D94" s="1520">
        <f>+J94</f>
        <v>1963.5</v>
      </c>
      <c r="E94" s="650" t="e">
        <f>+#REF!</f>
        <v>#REF!</v>
      </c>
      <c r="F94" s="962" t="e">
        <f t="shared" si="5"/>
        <v>#REF!</v>
      </c>
      <c r="G94" s="1149"/>
      <c r="H94" s="1150">
        <f>+F13+F14+F15+F16*2+F17*2+20*(50-35)*2</f>
        <v>1870</v>
      </c>
      <c r="I94" s="1151">
        <v>1.05</v>
      </c>
      <c r="J94" s="1150">
        <f t="shared" si="6"/>
        <v>1963.5</v>
      </c>
    </row>
    <row r="95" spans="1:10" s="1152" customFormat="1">
      <c r="A95" s="791" t="e">
        <f>+#REF!</f>
        <v>#REF!</v>
      </c>
      <c r="B95" s="824" t="e">
        <f>+#REF!</f>
        <v>#REF!</v>
      </c>
      <c r="C95" s="1522"/>
      <c r="D95" s="1520"/>
      <c r="E95" s="650"/>
      <c r="F95" s="962"/>
      <c r="G95" s="1149"/>
      <c r="H95" s="1150"/>
      <c r="I95" s="1151"/>
      <c r="J95" s="1150"/>
    </row>
    <row r="96" spans="1:10" s="1152" customFormat="1">
      <c r="A96" s="484" t="e">
        <f>+#REF!</f>
        <v>#REF!</v>
      </c>
      <c r="B96" s="239" t="e">
        <f>+#REF!</f>
        <v>#REF!</v>
      </c>
      <c r="C96" s="1522" t="e">
        <f>#REF!</f>
        <v>#REF!</v>
      </c>
      <c r="D96" s="1520">
        <f>+D92</f>
        <v>420</v>
      </c>
      <c r="E96" s="650" t="e">
        <f>+#REF!</f>
        <v>#REF!</v>
      </c>
      <c r="F96" s="962" t="e">
        <f t="shared" si="5"/>
        <v>#REF!</v>
      </c>
      <c r="G96" s="1149"/>
      <c r="H96" s="1150"/>
      <c r="I96" s="1151"/>
      <c r="J96" s="1150"/>
    </row>
    <row r="97" spans="1:12" s="1152" customFormat="1">
      <c r="A97" s="484" t="e">
        <f>+#REF!</f>
        <v>#REF!</v>
      </c>
      <c r="B97" s="239" t="e">
        <f>+#REF!</f>
        <v>#REF!</v>
      </c>
      <c r="C97" s="1522" t="e">
        <f>#REF!</f>
        <v>#REF!</v>
      </c>
      <c r="D97" s="1520">
        <f>+D93</f>
        <v>3297</v>
      </c>
      <c r="E97" s="650" t="e">
        <f>+#REF!</f>
        <v>#REF!</v>
      </c>
      <c r="F97" s="962" t="e">
        <f t="shared" si="5"/>
        <v>#REF!</v>
      </c>
      <c r="G97" s="1149"/>
      <c r="H97" s="1150"/>
      <c r="I97" s="1151"/>
      <c r="J97" s="1150"/>
    </row>
    <row r="98" spans="1:12" s="1152" customFormat="1">
      <c r="A98" s="1615" t="e">
        <f>+#REF!</f>
        <v>#REF!</v>
      </c>
      <c r="B98" s="1280" t="e">
        <f>+#REF!</f>
        <v>#REF!</v>
      </c>
      <c r="C98" s="1523" t="e">
        <f>#REF!</f>
        <v>#REF!</v>
      </c>
      <c r="D98" s="1521">
        <f>+D94</f>
        <v>1963.5</v>
      </c>
      <c r="E98" s="547" t="e">
        <f>+#REF!</f>
        <v>#REF!</v>
      </c>
      <c r="F98" s="963" t="e">
        <f t="shared" si="5"/>
        <v>#REF!</v>
      </c>
      <c r="G98" s="1149"/>
      <c r="H98" s="1150"/>
      <c r="I98" s="1151"/>
      <c r="J98" s="1150"/>
    </row>
    <row r="99" spans="1:12" s="1152" customFormat="1" ht="30" customHeight="1">
      <c r="A99" s="745" t="e">
        <f>+#REF!</f>
        <v>#REF!</v>
      </c>
      <c r="B99" s="1614" t="e">
        <f>+#REF!</f>
        <v>#REF!</v>
      </c>
      <c r="C99" s="1522"/>
      <c r="D99" s="1520"/>
      <c r="E99" s="650"/>
      <c r="F99" s="962"/>
      <c r="G99" s="1149"/>
      <c r="H99" s="1150"/>
      <c r="I99" s="1151"/>
      <c r="J99" s="1150"/>
    </row>
    <row r="100" spans="1:12" s="1152" customFormat="1">
      <c r="A100" s="791" t="e">
        <f>+#REF!</f>
        <v>#REF!</v>
      </c>
      <c r="B100" s="1620" t="e">
        <f>+#REF!</f>
        <v>#REF!</v>
      </c>
      <c r="C100" s="1522"/>
      <c r="D100" s="1520"/>
      <c r="E100" s="650"/>
      <c r="F100" s="962"/>
      <c r="G100" s="1149"/>
      <c r="H100" s="1150"/>
      <c r="I100" s="1151"/>
      <c r="J100" s="1150"/>
    </row>
    <row r="101" spans="1:12" s="1152" customFormat="1">
      <c r="A101" s="484" t="e">
        <f>+#REF!</f>
        <v>#REF!</v>
      </c>
      <c r="B101" s="1616" t="e">
        <f>+#REF!</f>
        <v>#REF!</v>
      </c>
      <c r="C101" s="1522" t="e">
        <f>#REF!</f>
        <v>#REF!</v>
      </c>
      <c r="D101" s="1520">
        <f>+D85*0.1</f>
        <v>1476.1328400000002</v>
      </c>
      <c r="E101" s="650" t="e">
        <f>+#REF!</f>
        <v>#REF!</v>
      </c>
      <c r="F101" s="962" t="e">
        <f t="shared" si="5"/>
        <v>#REF!</v>
      </c>
      <c r="G101" s="1149"/>
      <c r="H101" s="1150"/>
      <c r="I101" s="1151"/>
      <c r="J101" s="1150"/>
    </row>
    <row r="102" spans="1:12" s="1152" customFormat="1">
      <c r="A102" s="484" t="e">
        <f>+#REF!</f>
        <v>#REF!</v>
      </c>
      <c r="B102" s="1616" t="e">
        <f>+#REF!</f>
        <v>#REF!</v>
      </c>
      <c r="C102" s="1522" t="e">
        <f>#REF!</f>
        <v>#REF!</v>
      </c>
      <c r="D102" s="1520">
        <f>+D86*0.2</f>
        <v>2169.1635000000001</v>
      </c>
      <c r="E102" s="650" t="e">
        <f>+#REF!</f>
        <v>#REF!</v>
      </c>
      <c r="F102" s="962" t="e">
        <f t="shared" si="5"/>
        <v>#REF!</v>
      </c>
      <c r="G102" s="1149"/>
      <c r="H102" s="1150"/>
      <c r="I102" s="1151"/>
      <c r="J102" s="1150"/>
    </row>
    <row r="103" spans="1:12" s="1152" customFormat="1">
      <c r="A103" s="791" t="e">
        <f>+#REF!</f>
        <v>#REF!</v>
      </c>
      <c r="B103" s="1620" t="e">
        <f>+#REF!</f>
        <v>#REF!</v>
      </c>
      <c r="C103" s="1522"/>
      <c r="D103" s="1520"/>
      <c r="E103" s="650"/>
      <c r="F103" s="962"/>
      <c r="G103" s="1149"/>
      <c r="H103" s="1150"/>
      <c r="I103" s="1151"/>
      <c r="J103" s="1150"/>
    </row>
    <row r="104" spans="1:12" s="1152" customFormat="1">
      <c r="A104" s="484" t="e">
        <f>+#REF!</f>
        <v>#REF!</v>
      </c>
      <c r="B104" s="1616" t="e">
        <f>+#REF!</f>
        <v>#REF!</v>
      </c>
      <c r="C104" s="1522" t="e">
        <f>#REF!</f>
        <v>#REF!</v>
      </c>
      <c r="D104" s="1520">
        <f>+D101</f>
        <v>1476.1328400000002</v>
      </c>
      <c r="E104" s="650" t="e">
        <f>+#REF!</f>
        <v>#REF!</v>
      </c>
      <c r="F104" s="962" t="e">
        <f t="shared" si="5"/>
        <v>#REF!</v>
      </c>
      <c r="G104" s="1149"/>
      <c r="H104" s="1150"/>
      <c r="I104" s="1151"/>
      <c r="J104" s="1150"/>
    </row>
    <row r="105" spans="1:12" s="1152" customFormat="1">
      <c r="A105" s="1615" t="e">
        <f>+#REF!</f>
        <v>#REF!</v>
      </c>
      <c r="B105" s="467" t="e">
        <f>+#REF!</f>
        <v>#REF!</v>
      </c>
      <c r="C105" s="1522" t="e">
        <f>#REF!</f>
        <v>#REF!</v>
      </c>
      <c r="D105" s="1520">
        <f>+D102</f>
        <v>2169.1635000000001</v>
      </c>
      <c r="E105" s="650" t="e">
        <f>+#REF!</f>
        <v>#REF!</v>
      </c>
      <c r="F105" s="962" t="e">
        <f t="shared" si="5"/>
        <v>#REF!</v>
      </c>
      <c r="G105" s="1149"/>
      <c r="H105" s="1150"/>
      <c r="I105" s="1151"/>
      <c r="J105" s="1150"/>
    </row>
    <row r="106" spans="1:12" s="1152" customFormat="1" ht="18.75">
      <c r="A106" s="749"/>
      <c r="B106" s="239"/>
      <c r="C106" s="1608"/>
      <c r="D106" s="636"/>
      <c r="E106" s="1609" t="s">
        <v>109</v>
      </c>
      <c r="F106" s="1122" t="e">
        <f>SUM(F79:F105)</f>
        <v>#REF!</v>
      </c>
      <c r="G106" s="1149"/>
      <c r="H106" s="1150"/>
      <c r="I106" s="1151"/>
      <c r="J106" s="1150"/>
    </row>
    <row r="107" spans="1:12" s="1146" customFormat="1" ht="15.95" customHeight="1">
      <c r="A107" s="1588"/>
      <c r="B107" s="182"/>
      <c r="C107" s="1600"/>
      <c r="D107" s="410"/>
      <c r="E107" s="1131"/>
      <c r="F107" s="1131"/>
      <c r="G107" s="44"/>
      <c r="H107" s="1144"/>
      <c r="I107" s="1145"/>
      <c r="J107" s="1144"/>
      <c r="L107" s="1146">
        <f>5.9/2</f>
        <v>2.95</v>
      </c>
    </row>
    <row r="108" spans="1:12" s="1146" customFormat="1" ht="24.95" customHeight="1">
      <c r="A108" s="1905" t="e">
        <f>+#REF!</f>
        <v>#REF!</v>
      </c>
      <c r="B108" s="1906"/>
      <c r="C108" s="1906"/>
      <c r="D108" s="1906"/>
      <c r="E108" s="1906"/>
      <c r="F108" s="1907"/>
      <c r="G108" s="44"/>
      <c r="H108" s="1144"/>
      <c r="I108" s="1145"/>
      <c r="J108" s="1144"/>
      <c r="L108" s="1146">
        <f>2.95*2</f>
        <v>5.9</v>
      </c>
    </row>
    <row r="109" spans="1:12" s="1146" customFormat="1">
      <c r="A109" s="1449" t="e">
        <f>+#REF!</f>
        <v>#REF!</v>
      </c>
      <c r="B109" s="1614" t="e">
        <f>+#REF!</f>
        <v>#REF!</v>
      </c>
      <c r="C109" s="1534"/>
      <c r="D109" s="543"/>
      <c r="E109" s="544"/>
      <c r="F109" s="1142"/>
      <c r="G109" s="44"/>
      <c r="H109" s="1144"/>
      <c r="I109" s="1145"/>
      <c r="J109" s="1144"/>
      <c r="L109" s="1146">
        <v>6.1</v>
      </c>
    </row>
    <row r="110" spans="1:12" s="1146" customFormat="1">
      <c r="A110" s="1621"/>
      <c r="B110" s="465"/>
      <c r="C110" s="1554" t="e">
        <f>#REF!</f>
        <v>#REF!</v>
      </c>
      <c r="D110" s="1521">
        <f>J110</f>
        <v>20797.920000000002</v>
      </c>
      <c r="E110" s="547" t="e">
        <f>#REF!</f>
        <v>#REF!</v>
      </c>
      <c r="F110" s="547" t="e">
        <f>+D110*E110</f>
        <v>#REF!</v>
      </c>
      <c r="G110" s="44"/>
      <c r="H110" s="1171">
        <f>(12752+14883+1217+950*2.8)*0.6</f>
        <v>18907.2</v>
      </c>
      <c r="I110" s="1145">
        <v>1.1000000000000001</v>
      </c>
      <c r="J110" s="1144">
        <f>H110*I110</f>
        <v>20797.920000000002</v>
      </c>
      <c r="L110" s="1146">
        <f>2*9</f>
        <v>18</v>
      </c>
    </row>
    <row r="111" spans="1:12" s="1146" customFormat="1">
      <c r="A111" s="1449" t="e">
        <f>+#REF!</f>
        <v>#REF!</v>
      </c>
      <c r="B111" s="1614" t="e">
        <f>+#REF!</f>
        <v>#REF!</v>
      </c>
      <c r="C111" s="1534"/>
      <c r="D111" s="543"/>
      <c r="E111" s="544"/>
      <c r="F111" s="1142"/>
      <c r="G111" s="44"/>
      <c r="H111" s="1144"/>
      <c r="I111" s="1145"/>
      <c r="J111" s="1144"/>
      <c r="L111" s="1146">
        <f>2*2</f>
        <v>4</v>
      </c>
    </row>
    <row r="112" spans="1:12" s="1146" customFormat="1">
      <c r="A112" s="1621"/>
      <c r="B112" s="465"/>
      <c r="C112" s="1554" t="e">
        <f>#REF!</f>
        <v>#REF!</v>
      </c>
      <c r="D112" s="1521">
        <f>J112</f>
        <v>14552.876250000001</v>
      </c>
      <c r="E112" s="547" t="e">
        <f>#REF!</f>
        <v>#REF!</v>
      </c>
      <c r="F112" s="547" t="e">
        <f>+D112*E112</f>
        <v>#REF!</v>
      </c>
      <c r="G112" s="44"/>
      <c r="H112" s="1171">
        <f>(H110-(6.3*2.4*F8)-(4.3*2.4*F3)-(1+0.25*2+0.1*2)*(1.5+0.25*2+0.1)*F9)*0.75</f>
        <v>13229.887500000001</v>
      </c>
      <c r="I112" s="1145">
        <v>1.1000000000000001</v>
      </c>
      <c r="J112" s="1144">
        <f>H112*I112</f>
        <v>14552.876250000001</v>
      </c>
      <c r="L112" s="1146">
        <f>2*3</f>
        <v>6</v>
      </c>
    </row>
    <row r="113" spans="1:14" s="1146" customFormat="1">
      <c r="A113" s="1449" t="e">
        <f>+#REF!</f>
        <v>#REF!</v>
      </c>
      <c r="B113" s="1614" t="e">
        <f>+#REF!</f>
        <v>#REF!</v>
      </c>
      <c r="C113" s="1534"/>
      <c r="D113" s="543"/>
      <c r="E113" s="544"/>
      <c r="F113" s="1142"/>
      <c r="G113" s="44"/>
      <c r="H113" s="1144"/>
      <c r="I113" s="1145"/>
      <c r="J113" s="1144"/>
    </row>
    <row r="114" spans="1:14" s="1146" customFormat="1">
      <c r="A114" s="1621"/>
      <c r="B114" s="465"/>
      <c r="C114" s="1554" t="e">
        <f>#REF!</f>
        <v>#REF!</v>
      </c>
      <c r="D114" s="1521">
        <f>100*0.6</f>
        <v>60</v>
      </c>
      <c r="E114" s="547" t="e">
        <f>#REF!</f>
        <v>#REF!</v>
      </c>
      <c r="F114" s="547" t="e">
        <f>+D114*E114</f>
        <v>#REF!</v>
      </c>
      <c r="G114" s="44"/>
      <c r="H114" s="1144"/>
      <c r="I114" s="1145"/>
      <c r="J114" s="1144"/>
    </row>
    <row r="115" spans="1:14" s="1146" customFormat="1">
      <c r="A115" s="1449" t="e">
        <f>+#REF!</f>
        <v>#REF!</v>
      </c>
      <c r="B115" s="1614" t="e">
        <f>+#REF!</f>
        <v>#REF!</v>
      </c>
      <c r="C115" s="1534"/>
      <c r="D115" s="543"/>
      <c r="E115" s="544"/>
      <c r="F115" s="1142"/>
      <c r="G115" s="44"/>
      <c r="H115" s="1144"/>
      <c r="I115" s="1145"/>
      <c r="J115" s="1144"/>
    </row>
    <row r="116" spans="1:14" s="1146" customFormat="1">
      <c r="A116" s="1621"/>
      <c r="B116" s="465"/>
      <c r="C116" s="1554" t="e">
        <f>#REF!</f>
        <v>#REF!</v>
      </c>
      <c r="D116" s="1521">
        <f>350*0.6</f>
        <v>210</v>
      </c>
      <c r="E116" s="547" t="e">
        <f>#REF!</f>
        <v>#REF!</v>
      </c>
      <c r="F116" s="547" t="e">
        <f>+D116*E116</f>
        <v>#REF!</v>
      </c>
      <c r="G116" s="44"/>
      <c r="H116" s="1144"/>
      <c r="I116" s="1145"/>
      <c r="J116" s="1144">
        <f>6.2+2</f>
        <v>8.1999999999999993</v>
      </c>
      <c r="K116" s="1146">
        <f>2</f>
        <v>2</v>
      </c>
    </row>
    <row r="117" spans="1:14" s="1146" customFormat="1">
      <c r="A117" s="1449" t="e">
        <f>+#REF!</f>
        <v>#REF!</v>
      </c>
      <c r="B117" s="1614" t="e">
        <f>+#REF!</f>
        <v>#REF!</v>
      </c>
      <c r="C117" s="1534"/>
      <c r="D117" s="543"/>
      <c r="E117" s="544"/>
      <c r="F117" s="1142"/>
      <c r="G117" s="44"/>
      <c r="H117" s="1144"/>
      <c r="I117" s="1145"/>
      <c r="J117" s="1144"/>
      <c r="K117" s="1146">
        <f>J116*K116/2</f>
        <v>8.1999999999999993</v>
      </c>
    </row>
    <row r="118" spans="1:14" s="1146" customFormat="1">
      <c r="A118" s="1621" t="e">
        <f>+#REF!</f>
        <v>#REF!</v>
      </c>
      <c r="B118" s="465" t="e">
        <f>+#REF!</f>
        <v>#REF!</v>
      </c>
      <c r="C118" s="1554" t="e">
        <f>#REF!</f>
        <v>#REF!</v>
      </c>
      <c r="D118" s="1521">
        <f>(D122)*110</f>
        <v>21450</v>
      </c>
      <c r="E118" s="547" t="e">
        <f>#REF!</f>
        <v>#REF!</v>
      </c>
      <c r="F118" s="547" t="e">
        <f>+D118*E118</f>
        <v>#REF!</v>
      </c>
      <c r="G118" s="44"/>
      <c r="H118" s="1144"/>
      <c r="I118" s="1145"/>
      <c r="J118" s="1144"/>
    </row>
    <row r="119" spans="1:14" s="1146" customFormat="1">
      <c r="A119" s="1449" t="e">
        <f>+#REF!</f>
        <v>#REF!</v>
      </c>
      <c r="B119" s="1614" t="e">
        <f>+#REF!</f>
        <v>#REF!</v>
      </c>
      <c r="C119" s="1534"/>
      <c r="D119" s="543"/>
      <c r="E119" s="544"/>
      <c r="F119" s="1142"/>
      <c r="G119" s="44"/>
      <c r="H119" s="1144"/>
      <c r="I119" s="1145"/>
      <c r="J119" s="1144"/>
      <c r="L119" s="1146">
        <f>0.1+0.25+0.25+0.25+0.1</f>
        <v>0.95</v>
      </c>
    </row>
    <row r="120" spans="1:14" s="1146" customFormat="1">
      <c r="A120" s="1621"/>
      <c r="B120" s="465"/>
      <c r="C120" s="1554" t="e">
        <f>#REF!</f>
        <v>#REF!</v>
      </c>
      <c r="D120" s="1521">
        <f>150*0.6</f>
        <v>90</v>
      </c>
      <c r="E120" s="547" t="e">
        <f>#REF!</f>
        <v>#REF!</v>
      </c>
      <c r="F120" s="547" t="e">
        <f>+D120*E120</f>
        <v>#REF!</v>
      </c>
      <c r="G120" s="44"/>
      <c r="H120" s="1144"/>
      <c r="I120" s="1145"/>
      <c r="J120" s="1144"/>
      <c r="L120" s="1146">
        <f>1*2+L119</f>
        <v>2.95</v>
      </c>
      <c r="N120" s="1146">
        <f>0.1+0.25+1.8+0.25</f>
        <v>2.4</v>
      </c>
    </row>
    <row r="121" spans="1:14" s="1146" customFormat="1">
      <c r="A121" s="1449" t="e">
        <f>+#REF!</f>
        <v>#REF!</v>
      </c>
      <c r="B121" s="1614" t="e">
        <f>+#REF!</f>
        <v>#REF!</v>
      </c>
      <c r="C121" s="1534"/>
      <c r="D121" s="543"/>
      <c r="E121" s="544"/>
      <c r="F121" s="1142"/>
      <c r="G121" s="44"/>
      <c r="H121" s="1144"/>
      <c r="I121" s="1145"/>
      <c r="J121" s="1144"/>
    </row>
    <row r="122" spans="1:14" s="1146" customFormat="1">
      <c r="A122" s="1621"/>
      <c r="B122" s="465"/>
      <c r="C122" s="1553" t="e">
        <f>#REF!</f>
        <v>#REF!</v>
      </c>
      <c r="D122" s="1520">
        <f>300*0.65</f>
        <v>195</v>
      </c>
      <c r="E122" s="650" t="e">
        <f>#REF!</f>
        <v>#REF!</v>
      </c>
      <c r="F122" s="650" t="e">
        <f>+D122*E122</f>
        <v>#REF!</v>
      </c>
      <c r="G122" s="44"/>
      <c r="H122" s="1144"/>
      <c r="I122" s="1145"/>
      <c r="J122" s="1144"/>
    </row>
    <row r="123" spans="1:14" s="1146" customFormat="1">
      <c r="A123" s="1449" t="e">
        <f>+#REF!</f>
        <v>#REF!</v>
      </c>
      <c r="B123" s="1614" t="e">
        <f>+#REF!</f>
        <v>#REF!</v>
      </c>
      <c r="C123" s="1617"/>
      <c r="D123" s="954"/>
      <c r="E123" s="544"/>
      <c r="F123" s="544"/>
      <c r="G123" s="44"/>
      <c r="H123" s="1144"/>
      <c r="I123" s="1145"/>
      <c r="J123" s="1144"/>
    </row>
    <row r="124" spans="1:14" s="1146" customFormat="1">
      <c r="A124" s="484" t="e">
        <f>+#REF!</f>
        <v>#REF!</v>
      </c>
      <c r="B124" s="1616" t="e">
        <f>+#REF!</f>
        <v>#REF!</v>
      </c>
      <c r="C124" s="1553" t="e">
        <f>#REF!</f>
        <v>#REF!</v>
      </c>
      <c r="D124" s="955">
        <f>J124</f>
        <v>31.609500000000001</v>
      </c>
      <c r="E124" s="650" t="e">
        <f>#REF!</f>
        <v>#REF!</v>
      </c>
      <c r="F124" s="650" t="e">
        <f>+D124*E124</f>
        <v>#REF!</v>
      </c>
      <c r="G124" s="44"/>
      <c r="H124" s="1144">
        <f>3%*J60</f>
        <v>31.609500000000001</v>
      </c>
      <c r="I124" s="1145">
        <v>1</v>
      </c>
      <c r="J124" s="1144">
        <f>H124*I124</f>
        <v>31.609500000000001</v>
      </c>
    </row>
    <row r="125" spans="1:14" s="1146" customFormat="1">
      <c r="A125" s="484" t="e">
        <f>+#REF!</f>
        <v>#REF!</v>
      </c>
      <c r="B125" s="1616" t="e">
        <f>+#REF!</f>
        <v>#REF!</v>
      </c>
      <c r="C125" s="1553" t="e">
        <f>#REF!</f>
        <v>#REF!</v>
      </c>
      <c r="D125" s="955">
        <f>J125</f>
        <v>105.36500000000001</v>
      </c>
      <c r="E125" s="650" t="e">
        <f>#REF!</f>
        <v>#REF!</v>
      </c>
      <c r="F125" s="650" t="e">
        <f>+D125*E125</f>
        <v>#REF!</v>
      </c>
      <c r="G125" s="44"/>
      <c r="H125" s="1144">
        <f>0.5%*H60</f>
        <v>105.36500000000001</v>
      </c>
      <c r="I125" s="1145">
        <v>1</v>
      </c>
      <c r="J125" s="1144">
        <f>H125*I125</f>
        <v>105.36500000000001</v>
      </c>
    </row>
    <row r="126" spans="1:14" s="1146" customFormat="1">
      <c r="A126" s="1615" t="e">
        <f>+#REF!</f>
        <v>#REF!</v>
      </c>
      <c r="B126" s="467" t="e">
        <f>+#REF!</f>
        <v>#REF!</v>
      </c>
      <c r="C126" s="1554" t="e">
        <f>#REF!</f>
        <v>#REF!</v>
      </c>
      <c r="D126" s="1143">
        <f>H126</f>
        <v>20</v>
      </c>
      <c r="E126" s="547" t="e">
        <f>#REF!</f>
        <v>#REF!</v>
      </c>
      <c r="F126" s="547" t="e">
        <f>+D126*E126</f>
        <v>#REF!</v>
      </c>
      <c r="G126" s="44"/>
      <c r="H126" s="1144">
        <f>10*2</f>
        <v>20</v>
      </c>
      <c r="I126" s="1145"/>
      <c r="J126" s="1144"/>
    </row>
    <row r="127" spans="1:14" s="1146" customFormat="1">
      <c r="A127" s="1449" t="e">
        <f>+#REF!</f>
        <v>#REF!</v>
      </c>
      <c r="B127" s="1614" t="e">
        <f>+#REF!</f>
        <v>#REF!</v>
      </c>
      <c r="C127" s="1534"/>
      <c r="D127" s="543"/>
      <c r="E127" s="544"/>
      <c r="F127" s="1142"/>
      <c r="G127" s="44"/>
      <c r="H127" s="1144"/>
      <c r="I127" s="1145"/>
      <c r="J127" s="1144"/>
      <c r="L127" s="1146">
        <f>+(10+7)*2*2</f>
        <v>68</v>
      </c>
    </row>
    <row r="128" spans="1:14">
      <c r="A128" s="1621" t="e">
        <f>+#REF!</f>
        <v>#REF!</v>
      </c>
      <c r="B128" s="465" t="e">
        <f>+#REF!</f>
        <v>#REF!</v>
      </c>
      <c r="C128" s="1553" t="e">
        <f>#REF!</f>
        <v>#REF!</v>
      </c>
      <c r="D128" s="1520">
        <f>5*60</f>
        <v>300</v>
      </c>
      <c r="E128" s="650" t="e">
        <f>#REF!</f>
        <v>#REF!</v>
      </c>
      <c r="F128" s="650" t="e">
        <f>+D128*E128</f>
        <v>#REF!</v>
      </c>
      <c r="L128" s="1172" t="e">
        <f>+#REF!+#REF!</f>
        <v>#REF!</v>
      </c>
    </row>
    <row r="129" spans="1:189" s="1158" customFormat="1">
      <c r="A129" s="1281" t="e">
        <f>+#REF!</f>
        <v>#REF!</v>
      </c>
      <c r="B129" s="1620" t="e">
        <f>+#REF!</f>
        <v>#REF!</v>
      </c>
      <c r="C129" s="1264"/>
      <c r="D129" s="1519"/>
      <c r="E129" s="544"/>
      <c r="F129" s="544"/>
      <c r="H129" s="1155"/>
      <c r="I129" s="1156"/>
      <c r="J129" s="1155"/>
      <c r="K129" s="1157"/>
      <c r="L129" s="1157"/>
      <c r="M129" s="1157"/>
      <c r="N129" s="1157"/>
      <c r="O129" s="1157"/>
      <c r="P129" s="1157"/>
      <c r="Q129" s="1157"/>
      <c r="R129" s="1157"/>
      <c r="S129" s="1157"/>
      <c r="T129" s="1157"/>
      <c r="U129" s="1157"/>
      <c r="V129" s="1157"/>
      <c r="W129" s="1157"/>
      <c r="X129" s="1157"/>
      <c r="Y129" s="1157"/>
      <c r="Z129" s="1157"/>
      <c r="AA129" s="1157"/>
      <c r="AB129" s="1157"/>
      <c r="AC129" s="1157"/>
      <c r="AD129" s="1157"/>
      <c r="AE129" s="1157"/>
      <c r="AF129" s="1157"/>
      <c r="AG129" s="1157"/>
      <c r="AH129" s="1157"/>
      <c r="AI129" s="1157"/>
      <c r="AJ129" s="1157"/>
      <c r="AK129" s="1157"/>
      <c r="AL129" s="1157"/>
      <c r="AM129" s="1157"/>
      <c r="AN129" s="1157"/>
      <c r="AO129" s="1157"/>
      <c r="AP129" s="1157"/>
      <c r="AQ129" s="1157"/>
      <c r="AR129" s="1157"/>
      <c r="AS129" s="1157"/>
      <c r="AT129" s="1157"/>
      <c r="AU129" s="1157"/>
      <c r="AV129" s="1157"/>
      <c r="AW129" s="1157"/>
      <c r="AX129" s="1157"/>
      <c r="AY129" s="1157"/>
      <c r="AZ129" s="1157"/>
      <c r="BA129" s="1157"/>
      <c r="BB129" s="1157"/>
      <c r="BC129" s="1157"/>
      <c r="BD129" s="1157"/>
      <c r="BE129" s="1157"/>
      <c r="BF129" s="1157"/>
      <c r="BG129" s="1157"/>
      <c r="BH129" s="1157"/>
      <c r="BI129" s="1157"/>
      <c r="BJ129" s="1157"/>
      <c r="BK129" s="1157"/>
      <c r="BL129" s="1157"/>
      <c r="BM129" s="1157"/>
      <c r="BN129" s="1157"/>
      <c r="BO129" s="1157"/>
      <c r="BP129" s="1157"/>
      <c r="BQ129" s="1157"/>
      <c r="BR129" s="1157"/>
      <c r="BS129" s="1157"/>
      <c r="BT129" s="1157"/>
      <c r="BU129" s="1157"/>
      <c r="BV129" s="1157"/>
      <c r="BW129" s="1157"/>
      <c r="BX129" s="1157"/>
      <c r="BY129" s="1157"/>
      <c r="BZ129" s="1157"/>
      <c r="CA129" s="1157"/>
      <c r="CB129" s="1157"/>
      <c r="CC129" s="1157"/>
      <c r="CD129" s="1157"/>
      <c r="CE129" s="1157"/>
      <c r="CF129" s="1157"/>
      <c r="CG129" s="1157"/>
      <c r="CH129" s="1157"/>
      <c r="CI129" s="1157"/>
      <c r="CJ129" s="1157"/>
      <c r="CK129" s="1157"/>
      <c r="CL129" s="1157"/>
      <c r="CM129" s="1157"/>
      <c r="CN129" s="1157"/>
      <c r="CO129" s="1157"/>
      <c r="CP129" s="1157"/>
      <c r="CQ129" s="1157"/>
      <c r="CR129" s="1157"/>
      <c r="CS129" s="1157"/>
      <c r="CT129" s="1157"/>
      <c r="CU129" s="1157"/>
      <c r="CV129" s="1157"/>
      <c r="CW129" s="1157"/>
      <c r="CX129" s="1157"/>
      <c r="CY129" s="1157"/>
      <c r="CZ129" s="1157"/>
      <c r="DA129" s="1157"/>
      <c r="DB129" s="1157"/>
      <c r="DC129" s="1157"/>
      <c r="DD129" s="1157"/>
      <c r="DE129" s="1157"/>
      <c r="DF129" s="1157"/>
      <c r="DG129" s="1157"/>
      <c r="DH129" s="1157"/>
      <c r="DI129" s="1157"/>
      <c r="DJ129" s="1157"/>
      <c r="DK129" s="1157"/>
      <c r="DL129" s="1157"/>
      <c r="DM129" s="1157"/>
      <c r="DN129" s="1157"/>
      <c r="DO129" s="1157"/>
      <c r="DP129" s="1157"/>
      <c r="DQ129" s="1157"/>
      <c r="DR129" s="1157"/>
      <c r="DS129" s="1157"/>
      <c r="DT129" s="1157"/>
      <c r="DU129" s="1157"/>
      <c r="DV129" s="1157"/>
      <c r="DW129" s="1157"/>
      <c r="DX129" s="1157"/>
      <c r="DY129" s="1157"/>
      <c r="DZ129" s="1157"/>
      <c r="EA129" s="1157"/>
      <c r="EB129" s="1157"/>
      <c r="EC129" s="1157"/>
      <c r="ED129" s="1157"/>
      <c r="EE129" s="1157"/>
      <c r="EF129" s="1157"/>
      <c r="EG129" s="1157"/>
      <c r="EH129" s="1157"/>
      <c r="EI129" s="1157"/>
      <c r="EJ129" s="1157"/>
      <c r="EK129" s="1157"/>
      <c r="EL129" s="1157"/>
      <c r="EM129" s="1157"/>
      <c r="EN129" s="1157"/>
      <c r="EO129" s="1157"/>
      <c r="EP129" s="1157"/>
      <c r="EQ129" s="1157"/>
      <c r="ER129" s="1157"/>
      <c r="ES129" s="1157"/>
      <c r="ET129" s="1157"/>
      <c r="EU129" s="1157"/>
      <c r="EV129" s="1157"/>
      <c r="EW129" s="1157"/>
      <c r="EX129" s="1157"/>
      <c r="EY129" s="1157"/>
      <c r="EZ129" s="1157"/>
      <c r="FA129" s="1157"/>
      <c r="FB129" s="1157"/>
      <c r="FC129" s="1157"/>
      <c r="FD129" s="1157"/>
      <c r="FE129" s="1157"/>
      <c r="FF129" s="1157"/>
      <c r="FG129" s="1157"/>
      <c r="FH129" s="1157"/>
      <c r="FI129" s="1157"/>
      <c r="FJ129" s="1157"/>
      <c r="FK129" s="1157"/>
      <c r="FL129" s="1157"/>
      <c r="FM129" s="1157"/>
      <c r="FN129" s="1157"/>
      <c r="FO129" s="1157"/>
      <c r="FP129" s="1157"/>
      <c r="FQ129" s="1157"/>
      <c r="FR129" s="1157"/>
      <c r="FS129" s="1157"/>
      <c r="FT129" s="1157"/>
      <c r="FU129" s="1157"/>
      <c r="FV129" s="1157"/>
      <c r="FW129" s="1157"/>
      <c r="FX129" s="1157"/>
      <c r="FY129" s="1157"/>
      <c r="FZ129" s="1157"/>
      <c r="GA129" s="1157"/>
      <c r="GB129" s="1157"/>
      <c r="GC129" s="1157"/>
      <c r="GD129" s="1157"/>
      <c r="GE129" s="1157"/>
      <c r="GF129" s="1157"/>
      <c r="GG129" s="1157"/>
    </row>
    <row r="130" spans="1:189" s="1158" customFormat="1">
      <c r="A130" s="484" t="e">
        <f>+#REF!</f>
        <v>#REF!</v>
      </c>
      <c r="B130" s="1616" t="e">
        <f>+#REF!</f>
        <v>#REF!</v>
      </c>
      <c r="C130" s="1522" t="e">
        <f>#REF!</f>
        <v>#REF!</v>
      </c>
      <c r="D130" s="1520">
        <f>J130</f>
        <v>1417.92</v>
      </c>
      <c r="E130" s="650" t="e">
        <f>#REF!</f>
        <v>#REF!</v>
      </c>
      <c r="F130" s="650" t="e">
        <f t="shared" ref="F130:F136" si="7">+D130*E130</f>
        <v>#REF!</v>
      </c>
      <c r="H130" s="1155">
        <f>F7</f>
        <v>1350.4</v>
      </c>
      <c r="I130" s="1156">
        <v>1.05</v>
      </c>
      <c r="J130" s="1155">
        <f t="shared" ref="J130:J136" si="8">H130*I130</f>
        <v>1417.92</v>
      </c>
      <c r="K130" s="1157"/>
      <c r="L130" s="1157"/>
      <c r="M130" s="1157"/>
      <c r="N130" s="1157"/>
      <c r="O130" s="1157"/>
      <c r="P130" s="1157"/>
      <c r="Q130" s="1157"/>
      <c r="R130" s="1157"/>
      <c r="S130" s="1157"/>
      <c r="T130" s="1157"/>
      <c r="U130" s="1157"/>
      <c r="V130" s="1157"/>
      <c r="W130" s="1157"/>
      <c r="X130" s="1157"/>
      <c r="Y130" s="1157"/>
      <c r="Z130" s="1157"/>
      <c r="AA130" s="1157"/>
      <c r="AB130" s="1157"/>
      <c r="AC130" s="1157"/>
      <c r="AD130" s="1157"/>
      <c r="AE130" s="1157"/>
      <c r="AF130" s="1157"/>
      <c r="AG130" s="1157"/>
      <c r="AH130" s="1157"/>
      <c r="AI130" s="1157"/>
      <c r="AJ130" s="1157"/>
      <c r="AK130" s="1157"/>
      <c r="AL130" s="1157"/>
      <c r="AM130" s="1157"/>
      <c r="AN130" s="1157"/>
      <c r="AO130" s="1157"/>
      <c r="AP130" s="1157"/>
      <c r="AQ130" s="1157"/>
      <c r="AR130" s="1157"/>
      <c r="AS130" s="1157"/>
      <c r="AT130" s="1157"/>
      <c r="AU130" s="1157"/>
      <c r="AV130" s="1157"/>
      <c r="AW130" s="1157"/>
      <c r="AX130" s="1157"/>
      <c r="AY130" s="1157"/>
      <c r="AZ130" s="1157"/>
      <c r="BA130" s="1157"/>
      <c r="BB130" s="1157"/>
      <c r="BC130" s="1157"/>
      <c r="BD130" s="1157"/>
      <c r="BE130" s="1157"/>
      <c r="BF130" s="1157"/>
      <c r="BG130" s="1157"/>
      <c r="BH130" s="1157"/>
      <c r="BI130" s="1157"/>
      <c r="BJ130" s="1157"/>
      <c r="BK130" s="1157"/>
      <c r="BL130" s="1157"/>
      <c r="BM130" s="1157"/>
      <c r="BN130" s="1157"/>
      <c r="BO130" s="1157"/>
      <c r="BP130" s="1157"/>
      <c r="BQ130" s="1157"/>
      <c r="BR130" s="1157"/>
      <c r="BS130" s="1157"/>
      <c r="BT130" s="1157"/>
      <c r="BU130" s="1157"/>
      <c r="BV130" s="1157"/>
      <c r="BW130" s="1157"/>
      <c r="BX130" s="1157"/>
      <c r="BY130" s="1157"/>
      <c r="BZ130" s="1157"/>
      <c r="CA130" s="1157"/>
      <c r="CB130" s="1157"/>
      <c r="CC130" s="1157"/>
      <c r="CD130" s="1157"/>
      <c r="CE130" s="1157"/>
      <c r="CF130" s="1157"/>
      <c r="CG130" s="1157"/>
      <c r="CH130" s="1157"/>
      <c r="CI130" s="1157"/>
      <c r="CJ130" s="1157"/>
      <c r="CK130" s="1157"/>
      <c r="CL130" s="1157"/>
      <c r="CM130" s="1157"/>
      <c r="CN130" s="1157"/>
      <c r="CO130" s="1157"/>
      <c r="CP130" s="1157"/>
      <c r="CQ130" s="1157"/>
      <c r="CR130" s="1157"/>
      <c r="CS130" s="1157"/>
      <c r="CT130" s="1157"/>
      <c r="CU130" s="1157"/>
      <c r="CV130" s="1157"/>
      <c r="CW130" s="1157"/>
      <c r="CX130" s="1157"/>
      <c r="CY130" s="1157"/>
      <c r="CZ130" s="1157"/>
      <c r="DA130" s="1157"/>
      <c r="DB130" s="1157"/>
      <c r="DC130" s="1157"/>
      <c r="DD130" s="1157"/>
      <c r="DE130" s="1157"/>
      <c r="DF130" s="1157"/>
      <c r="DG130" s="1157"/>
      <c r="DH130" s="1157"/>
      <c r="DI130" s="1157"/>
      <c r="DJ130" s="1157"/>
      <c r="DK130" s="1157"/>
      <c r="DL130" s="1157"/>
      <c r="DM130" s="1157"/>
      <c r="DN130" s="1157"/>
      <c r="DO130" s="1157"/>
      <c r="DP130" s="1157"/>
      <c r="DQ130" s="1157"/>
      <c r="DR130" s="1157"/>
      <c r="DS130" s="1157"/>
      <c r="DT130" s="1157"/>
      <c r="DU130" s="1157"/>
      <c r="DV130" s="1157"/>
      <c r="DW130" s="1157"/>
      <c r="DX130" s="1157"/>
      <c r="DY130" s="1157"/>
      <c r="DZ130" s="1157"/>
      <c r="EA130" s="1157"/>
      <c r="EB130" s="1157"/>
      <c r="EC130" s="1157"/>
      <c r="ED130" s="1157"/>
      <c r="EE130" s="1157"/>
      <c r="EF130" s="1157"/>
      <c r="EG130" s="1157"/>
      <c r="EH130" s="1157"/>
      <c r="EI130" s="1157"/>
      <c r="EJ130" s="1157"/>
      <c r="EK130" s="1157"/>
      <c r="EL130" s="1157"/>
      <c r="EM130" s="1157"/>
      <c r="EN130" s="1157"/>
      <c r="EO130" s="1157"/>
      <c r="EP130" s="1157"/>
      <c r="EQ130" s="1157"/>
      <c r="ER130" s="1157"/>
      <c r="ES130" s="1157"/>
      <c r="ET130" s="1157"/>
      <c r="EU130" s="1157"/>
      <c r="EV130" s="1157"/>
      <c r="EW130" s="1157"/>
      <c r="EX130" s="1157"/>
      <c r="EY130" s="1157"/>
      <c r="EZ130" s="1157"/>
      <c r="FA130" s="1157"/>
      <c r="FB130" s="1157"/>
      <c r="FC130" s="1157"/>
      <c r="FD130" s="1157"/>
      <c r="FE130" s="1157"/>
      <c r="FF130" s="1157"/>
      <c r="FG130" s="1157"/>
      <c r="FH130" s="1157"/>
      <c r="FI130" s="1157"/>
      <c r="FJ130" s="1157"/>
      <c r="FK130" s="1157"/>
      <c r="FL130" s="1157"/>
      <c r="FM130" s="1157"/>
      <c r="FN130" s="1157"/>
      <c r="FO130" s="1157"/>
      <c r="FP130" s="1157"/>
      <c r="FQ130" s="1157"/>
      <c r="FR130" s="1157"/>
      <c r="FS130" s="1157"/>
      <c r="FT130" s="1157"/>
      <c r="FU130" s="1157"/>
      <c r="FV130" s="1157"/>
      <c r="FW130" s="1157"/>
      <c r="FX130" s="1157"/>
      <c r="FY130" s="1157"/>
      <c r="FZ130" s="1157"/>
      <c r="GA130" s="1157"/>
      <c r="GB130" s="1157"/>
      <c r="GC130" s="1157"/>
      <c r="GD130" s="1157"/>
      <c r="GE130" s="1157"/>
      <c r="GF130" s="1157"/>
      <c r="GG130" s="1157"/>
    </row>
    <row r="131" spans="1:189" s="1158" customFormat="1">
      <c r="A131" s="484" t="e">
        <f>+#REF!</f>
        <v>#REF!</v>
      </c>
      <c r="B131" s="1616" t="e">
        <f>+#REF!</f>
        <v>#REF!</v>
      </c>
      <c r="C131" s="1522" t="e">
        <f>#REF!</f>
        <v>#REF!</v>
      </c>
      <c r="D131" s="1520">
        <f t="shared" ref="D131:D136" si="9">J131</f>
        <v>420</v>
      </c>
      <c r="E131" s="650" t="e">
        <f>#REF!</f>
        <v>#REF!</v>
      </c>
      <c r="F131" s="650" t="e">
        <f t="shared" si="7"/>
        <v>#REF!</v>
      </c>
      <c r="H131" s="1155">
        <f>F6</f>
        <v>400</v>
      </c>
      <c r="I131" s="1156">
        <v>1.05</v>
      </c>
      <c r="J131" s="1155">
        <f t="shared" si="8"/>
        <v>420</v>
      </c>
      <c r="K131" s="1157"/>
      <c r="L131" s="1157"/>
      <c r="M131" s="1157"/>
      <c r="N131" s="1157"/>
      <c r="O131" s="1157"/>
      <c r="P131" s="1157"/>
      <c r="Q131" s="1157"/>
      <c r="R131" s="1157"/>
      <c r="S131" s="1157"/>
      <c r="T131" s="1157"/>
      <c r="U131" s="1157"/>
      <c r="V131" s="1157"/>
      <c r="W131" s="1157"/>
      <c r="X131" s="1157"/>
      <c r="Y131" s="1157"/>
      <c r="Z131" s="1157"/>
      <c r="AA131" s="1157"/>
      <c r="AB131" s="1157"/>
      <c r="AC131" s="1157"/>
      <c r="AD131" s="1157"/>
      <c r="AE131" s="1157"/>
      <c r="AF131" s="1157"/>
      <c r="AG131" s="1157"/>
      <c r="AH131" s="1157"/>
      <c r="AI131" s="1157"/>
      <c r="AJ131" s="1157"/>
      <c r="AK131" s="1157"/>
      <c r="AL131" s="1157"/>
      <c r="AM131" s="1157"/>
      <c r="AN131" s="1157"/>
      <c r="AO131" s="1157"/>
      <c r="AP131" s="1157"/>
      <c r="AQ131" s="1157"/>
      <c r="AR131" s="1157"/>
      <c r="AS131" s="1157"/>
      <c r="AT131" s="1157"/>
      <c r="AU131" s="1157"/>
      <c r="AV131" s="1157"/>
      <c r="AW131" s="1157"/>
      <c r="AX131" s="1157"/>
      <c r="AY131" s="1157"/>
      <c r="AZ131" s="1157"/>
      <c r="BA131" s="1157"/>
      <c r="BB131" s="1157"/>
      <c r="BC131" s="1157"/>
      <c r="BD131" s="1157"/>
      <c r="BE131" s="1157"/>
      <c r="BF131" s="1157"/>
      <c r="BG131" s="1157"/>
      <c r="BH131" s="1157"/>
      <c r="BI131" s="1157"/>
      <c r="BJ131" s="1157"/>
      <c r="BK131" s="1157"/>
      <c r="BL131" s="1157"/>
      <c r="BM131" s="1157"/>
      <c r="BN131" s="1157"/>
      <c r="BO131" s="1157"/>
      <c r="BP131" s="1157"/>
      <c r="BQ131" s="1157"/>
      <c r="BR131" s="1157"/>
      <c r="BS131" s="1157"/>
      <c r="BT131" s="1157"/>
      <c r="BU131" s="1157"/>
      <c r="BV131" s="1157"/>
      <c r="BW131" s="1157"/>
      <c r="BX131" s="1157"/>
      <c r="BY131" s="1157"/>
      <c r="BZ131" s="1157"/>
      <c r="CA131" s="1157"/>
      <c r="CB131" s="1157"/>
      <c r="CC131" s="1157"/>
      <c r="CD131" s="1157"/>
      <c r="CE131" s="1157"/>
      <c r="CF131" s="1157"/>
      <c r="CG131" s="1157"/>
      <c r="CH131" s="1157"/>
      <c r="CI131" s="1157"/>
      <c r="CJ131" s="1157"/>
      <c r="CK131" s="1157"/>
      <c r="CL131" s="1157"/>
      <c r="CM131" s="1157"/>
      <c r="CN131" s="1157"/>
      <c r="CO131" s="1157"/>
      <c r="CP131" s="1157"/>
      <c r="CQ131" s="1157"/>
      <c r="CR131" s="1157"/>
      <c r="CS131" s="1157"/>
      <c r="CT131" s="1157"/>
      <c r="CU131" s="1157"/>
      <c r="CV131" s="1157"/>
      <c r="CW131" s="1157"/>
      <c r="CX131" s="1157"/>
      <c r="CY131" s="1157"/>
      <c r="CZ131" s="1157"/>
      <c r="DA131" s="1157"/>
      <c r="DB131" s="1157"/>
      <c r="DC131" s="1157"/>
      <c r="DD131" s="1157"/>
      <c r="DE131" s="1157"/>
      <c r="DF131" s="1157"/>
      <c r="DG131" s="1157"/>
      <c r="DH131" s="1157"/>
      <c r="DI131" s="1157"/>
      <c r="DJ131" s="1157"/>
      <c r="DK131" s="1157"/>
      <c r="DL131" s="1157"/>
      <c r="DM131" s="1157"/>
      <c r="DN131" s="1157"/>
      <c r="DO131" s="1157"/>
      <c r="DP131" s="1157"/>
      <c r="DQ131" s="1157"/>
      <c r="DR131" s="1157"/>
      <c r="DS131" s="1157"/>
      <c r="DT131" s="1157"/>
      <c r="DU131" s="1157"/>
      <c r="DV131" s="1157"/>
      <c r="DW131" s="1157"/>
      <c r="DX131" s="1157"/>
      <c r="DY131" s="1157"/>
      <c r="DZ131" s="1157"/>
      <c r="EA131" s="1157"/>
      <c r="EB131" s="1157"/>
      <c r="EC131" s="1157"/>
      <c r="ED131" s="1157"/>
      <c r="EE131" s="1157"/>
      <c r="EF131" s="1157"/>
      <c r="EG131" s="1157"/>
      <c r="EH131" s="1157"/>
      <c r="EI131" s="1157"/>
      <c r="EJ131" s="1157"/>
      <c r="EK131" s="1157"/>
      <c r="EL131" s="1157"/>
      <c r="EM131" s="1157"/>
      <c r="EN131" s="1157"/>
      <c r="EO131" s="1157"/>
      <c r="EP131" s="1157"/>
      <c r="EQ131" s="1157"/>
      <c r="ER131" s="1157"/>
      <c r="ES131" s="1157"/>
      <c r="ET131" s="1157"/>
      <c r="EU131" s="1157"/>
      <c r="EV131" s="1157"/>
      <c r="EW131" s="1157"/>
      <c r="EX131" s="1157"/>
      <c r="EY131" s="1157"/>
      <c r="EZ131" s="1157"/>
      <c r="FA131" s="1157"/>
      <c r="FB131" s="1157"/>
      <c r="FC131" s="1157"/>
      <c r="FD131" s="1157"/>
      <c r="FE131" s="1157"/>
      <c r="FF131" s="1157"/>
      <c r="FG131" s="1157"/>
      <c r="FH131" s="1157"/>
      <c r="FI131" s="1157"/>
      <c r="FJ131" s="1157"/>
      <c r="FK131" s="1157"/>
      <c r="FL131" s="1157"/>
      <c r="FM131" s="1157"/>
      <c r="FN131" s="1157"/>
      <c r="FO131" s="1157"/>
      <c r="FP131" s="1157"/>
      <c r="FQ131" s="1157"/>
      <c r="FR131" s="1157"/>
      <c r="FS131" s="1157"/>
      <c r="FT131" s="1157"/>
      <c r="FU131" s="1157"/>
      <c r="FV131" s="1157"/>
      <c r="FW131" s="1157"/>
      <c r="FX131" s="1157"/>
      <c r="FY131" s="1157"/>
      <c r="FZ131" s="1157"/>
      <c r="GA131" s="1157"/>
      <c r="GB131" s="1157"/>
      <c r="GC131" s="1157"/>
      <c r="GD131" s="1157"/>
      <c r="GE131" s="1157"/>
      <c r="GF131" s="1157"/>
      <c r="GG131" s="1157"/>
    </row>
    <row r="132" spans="1:189" s="1174" customFormat="1">
      <c r="A132" s="484" t="e">
        <f>+#REF!</f>
        <v>#REF!</v>
      </c>
      <c r="B132" s="1616" t="e">
        <f>+#REF!</f>
        <v>#REF!</v>
      </c>
      <c r="C132" s="1522" t="e">
        <f>#REF!</f>
        <v>#REF!</v>
      </c>
      <c r="D132" s="1520">
        <f t="shared" si="9"/>
        <v>0</v>
      </c>
      <c r="E132" s="650" t="e">
        <f>#REF!</f>
        <v>#REF!</v>
      </c>
      <c r="F132" s="650" t="e">
        <f t="shared" si="7"/>
        <v>#REF!</v>
      </c>
      <c r="H132" s="1175">
        <f>F5</f>
        <v>0</v>
      </c>
      <c r="I132" s="1176">
        <v>1.05</v>
      </c>
      <c r="J132" s="1175">
        <f t="shared" si="8"/>
        <v>0</v>
      </c>
    </row>
    <row r="133" spans="1:189" s="1174" customFormat="1">
      <c r="A133" s="484" t="e">
        <f>+#REF!</f>
        <v>#REF!</v>
      </c>
      <c r="B133" s="1616" t="e">
        <f>+#REF!</f>
        <v>#REF!</v>
      </c>
      <c r="C133" s="1522" t="e">
        <f>#REF!</f>
        <v>#REF!</v>
      </c>
      <c r="D133" s="1520">
        <f t="shared" si="9"/>
        <v>0</v>
      </c>
      <c r="E133" s="650" t="e">
        <f>+#REF!</f>
        <v>#REF!</v>
      </c>
      <c r="F133" s="650" t="e">
        <f t="shared" si="7"/>
        <v>#REF!</v>
      </c>
      <c r="H133" s="1175">
        <f>F4</f>
        <v>0</v>
      </c>
      <c r="I133" s="1176">
        <v>1.05</v>
      </c>
      <c r="J133" s="1175">
        <f t="shared" si="8"/>
        <v>0</v>
      </c>
    </row>
    <row r="134" spans="1:189" s="1174" customFormat="1">
      <c r="A134" s="1615" t="e">
        <f>+#REF!</f>
        <v>#REF!</v>
      </c>
      <c r="B134" s="467" t="e">
        <f>+#REF!</f>
        <v>#REF!</v>
      </c>
      <c r="C134" s="1523" t="e">
        <f>#REF!</f>
        <v>#REF!</v>
      </c>
      <c r="D134" s="1521">
        <f t="shared" si="9"/>
        <v>0</v>
      </c>
      <c r="E134" s="547" t="e">
        <f>+#REF!</f>
        <v>#REF!</v>
      </c>
      <c r="F134" s="547" t="e">
        <f t="shared" si="7"/>
        <v>#REF!</v>
      </c>
      <c r="H134" s="1175">
        <f>F3</f>
        <v>0</v>
      </c>
      <c r="I134" s="1176">
        <v>1.05</v>
      </c>
      <c r="J134" s="1175">
        <f t="shared" si="8"/>
        <v>0</v>
      </c>
    </row>
    <row r="135" spans="1:189" s="1174" customFormat="1">
      <c r="A135" s="1449" t="e">
        <f>+#REF!</f>
        <v>#REF!</v>
      </c>
      <c r="B135" s="1614" t="e">
        <f>+#REF!</f>
        <v>#REF!</v>
      </c>
      <c r="C135" s="1264"/>
      <c r="D135" s="1519"/>
      <c r="E135" s="544"/>
      <c r="F135" s="544"/>
      <c r="H135" s="1175"/>
      <c r="I135" s="1176"/>
      <c r="J135" s="1175"/>
    </row>
    <row r="136" spans="1:189" s="1174" customFormat="1">
      <c r="A136" s="484" t="e">
        <f>+#REF!</f>
        <v>#REF!</v>
      </c>
      <c r="B136" s="1616" t="e">
        <f>+#REF!</f>
        <v>#REF!</v>
      </c>
      <c r="C136" s="1522" t="e">
        <f>#REF!</f>
        <v>#REF!</v>
      </c>
      <c r="D136" s="1520">
        <f t="shared" si="9"/>
        <v>0</v>
      </c>
      <c r="E136" s="650" t="e">
        <f>+#REF!</f>
        <v>#REF!</v>
      </c>
      <c r="F136" s="650" t="e">
        <f t="shared" si="7"/>
        <v>#REF!</v>
      </c>
      <c r="H136" s="1175">
        <f>F8</f>
        <v>0</v>
      </c>
      <c r="I136" s="1176">
        <v>1.05</v>
      </c>
      <c r="J136" s="1175">
        <f t="shared" si="8"/>
        <v>0</v>
      </c>
    </row>
    <row r="137" spans="1:189" s="1158" customFormat="1">
      <c r="A137" s="484" t="e">
        <f>+#REF!</f>
        <v>#REF!</v>
      </c>
      <c r="B137" s="1616" t="e">
        <f>+#REF!</f>
        <v>#REF!</v>
      </c>
      <c r="C137" s="1522" t="e">
        <f>#REF!</f>
        <v>#REF!</v>
      </c>
      <c r="D137" s="1520">
        <f>J137</f>
        <v>372.75</v>
      </c>
      <c r="E137" s="650" t="e">
        <f>#REF!</f>
        <v>#REF!</v>
      </c>
      <c r="F137" s="650" t="e">
        <f>+D137*E137</f>
        <v>#REF!</v>
      </c>
      <c r="H137" s="1155">
        <f>F9</f>
        <v>355</v>
      </c>
      <c r="I137" s="1156">
        <v>1.05</v>
      </c>
      <c r="J137" s="1155">
        <f>H137*I137</f>
        <v>372.75</v>
      </c>
      <c r="K137" s="1157"/>
      <c r="L137" s="1157"/>
      <c r="M137" s="1157"/>
      <c r="N137" s="1157"/>
      <c r="O137" s="1157"/>
      <c r="P137" s="1157"/>
      <c r="Q137" s="1157"/>
      <c r="R137" s="1157"/>
      <c r="S137" s="1157"/>
      <c r="T137" s="1157"/>
      <c r="U137" s="1157"/>
      <c r="V137" s="1157"/>
      <c r="W137" s="1157"/>
      <c r="X137" s="1157"/>
      <c r="Y137" s="1157"/>
      <c r="Z137" s="1157"/>
      <c r="AA137" s="1157"/>
      <c r="AB137" s="1157"/>
      <c r="AC137" s="1157"/>
      <c r="AD137" s="1157"/>
      <c r="AE137" s="1157"/>
      <c r="AF137" s="1157"/>
      <c r="AG137" s="1157"/>
      <c r="AH137" s="1157"/>
      <c r="AI137" s="1157"/>
      <c r="AJ137" s="1157"/>
      <c r="AK137" s="1157"/>
      <c r="AL137" s="1157"/>
      <c r="AM137" s="1157"/>
      <c r="AN137" s="1157"/>
      <c r="AO137" s="1157"/>
      <c r="AP137" s="1157"/>
      <c r="AQ137" s="1157"/>
      <c r="AR137" s="1157"/>
      <c r="AS137" s="1157"/>
      <c r="AT137" s="1157"/>
      <c r="AU137" s="1157"/>
      <c r="AV137" s="1157"/>
      <c r="AW137" s="1157"/>
      <c r="AX137" s="1157"/>
      <c r="AY137" s="1157"/>
      <c r="AZ137" s="1157"/>
      <c r="BA137" s="1157"/>
      <c r="BB137" s="1157"/>
      <c r="BC137" s="1157"/>
      <c r="BD137" s="1157"/>
      <c r="BE137" s="1157"/>
      <c r="BF137" s="1157"/>
      <c r="BG137" s="1157"/>
      <c r="BH137" s="1157"/>
      <c r="BI137" s="1157"/>
      <c r="BJ137" s="1157"/>
      <c r="BK137" s="1157"/>
      <c r="BL137" s="1157"/>
      <c r="BM137" s="1157"/>
      <c r="BN137" s="1157"/>
      <c r="BO137" s="1157"/>
      <c r="BP137" s="1157"/>
      <c r="BQ137" s="1157"/>
      <c r="BR137" s="1157"/>
      <c r="BS137" s="1157"/>
      <c r="BT137" s="1157"/>
      <c r="BU137" s="1157"/>
      <c r="BV137" s="1157"/>
      <c r="BW137" s="1157"/>
      <c r="BX137" s="1157"/>
      <c r="BY137" s="1157"/>
      <c r="BZ137" s="1157"/>
      <c r="CA137" s="1157"/>
      <c r="CB137" s="1157"/>
      <c r="CC137" s="1157"/>
      <c r="CD137" s="1157"/>
      <c r="CE137" s="1157"/>
      <c r="CF137" s="1157"/>
      <c r="CG137" s="1157"/>
      <c r="CH137" s="1157"/>
      <c r="CI137" s="1157"/>
      <c r="CJ137" s="1157"/>
      <c r="CK137" s="1157"/>
      <c r="CL137" s="1157"/>
      <c r="CM137" s="1157"/>
      <c r="CN137" s="1157"/>
      <c r="CO137" s="1157"/>
      <c r="CP137" s="1157"/>
      <c r="CQ137" s="1157"/>
      <c r="CR137" s="1157"/>
      <c r="CS137" s="1157"/>
      <c r="CT137" s="1157"/>
      <c r="CU137" s="1157"/>
      <c r="CV137" s="1157"/>
      <c r="CW137" s="1157"/>
      <c r="CX137" s="1157"/>
      <c r="CY137" s="1157"/>
      <c r="CZ137" s="1157"/>
      <c r="DA137" s="1157"/>
      <c r="DB137" s="1157"/>
      <c r="DC137" s="1157"/>
      <c r="DD137" s="1157"/>
      <c r="DE137" s="1157"/>
      <c r="DF137" s="1157"/>
      <c r="DG137" s="1157"/>
      <c r="DH137" s="1157"/>
      <c r="DI137" s="1157"/>
      <c r="DJ137" s="1157"/>
      <c r="DK137" s="1157"/>
      <c r="DL137" s="1157"/>
      <c r="DM137" s="1157"/>
      <c r="DN137" s="1157"/>
      <c r="DO137" s="1157"/>
      <c r="DP137" s="1157"/>
      <c r="DQ137" s="1157"/>
      <c r="DR137" s="1157"/>
      <c r="DS137" s="1157"/>
      <c r="DT137" s="1157"/>
      <c r="DU137" s="1157"/>
      <c r="DV137" s="1157"/>
      <c r="DW137" s="1157"/>
      <c r="DX137" s="1157"/>
      <c r="DY137" s="1157"/>
      <c r="DZ137" s="1157"/>
      <c r="EA137" s="1157"/>
      <c r="EB137" s="1157"/>
      <c r="EC137" s="1157"/>
      <c r="ED137" s="1157"/>
      <c r="EE137" s="1157"/>
      <c r="EF137" s="1157"/>
      <c r="EG137" s="1157"/>
      <c r="EH137" s="1157"/>
      <c r="EI137" s="1157"/>
      <c r="EJ137" s="1157"/>
      <c r="EK137" s="1157"/>
      <c r="EL137" s="1157"/>
      <c r="EM137" s="1157"/>
      <c r="EN137" s="1157"/>
      <c r="EO137" s="1157"/>
      <c r="EP137" s="1157"/>
      <c r="EQ137" s="1157"/>
      <c r="ER137" s="1157"/>
      <c r="ES137" s="1157"/>
      <c r="ET137" s="1157"/>
      <c r="EU137" s="1157"/>
      <c r="EV137" s="1157"/>
      <c r="EW137" s="1157"/>
      <c r="EX137" s="1157"/>
      <c r="EY137" s="1157"/>
      <c r="EZ137" s="1157"/>
      <c r="FA137" s="1157"/>
      <c r="FB137" s="1157"/>
      <c r="FC137" s="1157"/>
      <c r="FD137" s="1157"/>
      <c r="FE137" s="1157"/>
      <c r="FF137" s="1157"/>
      <c r="FG137" s="1157"/>
      <c r="FH137" s="1157"/>
      <c r="FI137" s="1157"/>
      <c r="FJ137" s="1157"/>
      <c r="FK137" s="1157"/>
      <c r="FL137" s="1157"/>
      <c r="FM137" s="1157"/>
      <c r="FN137" s="1157"/>
      <c r="FO137" s="1157"/>
      <c r="FP137" s="1157"/>
      <c r="FQ137" s="1157"/>
      <c r="FR137" s="1157"/>
      <c r="FS137" s="1157"/>
      <c r="FT137" s="1157"/>
      <c r="FU137" s="1157"/>
      <c r="FV137" s="1157"/>
      <c r="FW137" s="1157"/>
      <c r="FX137" s="1157"/>
      <c r="FY137" s="1157"/>
      <c r="FZ137" s="1157"/>
      <c r="GA137" s="1157"/>
      <c r="GB137" s="1157"/>
      <c r="GC137" s="1157"/>
      <c r="GD137" s="1157"/>
      <c r="GE137" s="1157"/>
      <c r="GF137" s="1157"/>
      <c r="GG137" s="1157"/>
    </row>
    <row r="138" spans="1:189" s="1158" customFormat="1">
      <c r="A138" s="484" t="e">
        <f>+#REF!</f>
        <v>#REF!</v>
      </c>
      <c r="B138" s="1616" t="e">
        <f>+#REF!</f>
        <v>#REF!</v>
      </c>
      <c r="C138" s="1522" t="e">
        <f>#REF!</f>
        <v>#REF!</v>
      </c>
      <c r="D138" s="1520">
        <f>+J138</f>
        <v>336</v>
      </c>
      <c r="E138" s="650" t="e">
        <f>+#REF!</f>
        <v>#REF!</v>
      </c>
      <c r="F138" s="650" t="e">
        <f>+D138*E138</f>
        <v>#REF!</v>
      </c>
      <c r="H138" s="1155">
        <f>+F10</f>
        <v>320</v>
      </c>
      <c r="I138" s="1156">
        <v>1.05</v>
      </c>
      <c r="J138" s="1155">
        <f>H138*I138</f>
        <v>336</v>
      </c>
      <c r="K138" s="1157"/>
      <c r="L138" s="1157"/>
      <c r="M138" s="1157"/>
      <c r="N138" s="1157"/>
      <c r="O138" s="1157"/>
      <c r="P138" s="1157"/>
      <c r="Q138" s="1157"/>
      <c r="R138" s="1157"/>
      <c r="S138" s="1157"/>
      <c r="T138" s="1157"/>
      <c r="U138" s="1157"/>
      <c r="V138" s="1157"/>
      <c r="W138" s="1157"/>
      <c r="X138" s="1157"/>
      <c r="Y138" s="1157"/>
      <c r="Z138" s="1157"/>
      <c r="AA138" s="1157"/>
      <c r="AB138" s="1157"/>
      <c r="AC138" s="1157"/>
      <c r="AD138" s="1157"/>
      <c r="AE138" s="1157"/>
      <c r="AF138" s="1157"/>
      <c r="AG138" s="1157"/>
      <c r="AH138" s="1157"/>
      <c r="AI138" s="1157"/>
      <c r="AJ138" s="1157"/>
      <c r="AK138" s="1157"/>
      <c r="AL138" s="1157"/>
      <c r="AM138" s="1157"/>
      <c r="AN138" s="1157"/>
      <c r="AO138" s="1157"/>
      <c r="AP138" s="1157"/>
      <c r="AQ138" s="1157"/>
      <c r="AR138" s="1157"/>
      <c r="AS138" s="1157"/>
      <c r="AT138" s="1157"/>
      <c r="AU138" s="1157"/>
      <c r="AV138" s="1157"/>
      <c r="AW138" s="1157"/>
      <c r="AX138" s="1157"/>
      <c r="AY138" s="1157"/>
      <c r="AZ138" s="1157"/>
      <c r="BA138" s="1157"/>
      <c r="BB138" s="1157"/>
      <c r="BC138" s="1157"/>
      <c r="BD138" s="1157"/>
      <c r="BE138" s="1157"/>
      <c r="BF138" s="1157"/>
      <c r="BG138" s="1157"/>
      <c r="BH138" s="1157"/>
      <c r="BI138" s="1157"/>
      <c r="BJ138" s="1157"/>
      <c r="BK138" s="1157"/>
      <c r="BL138" s="1157"/>
      <c r="BM138" s="1157"/>
      <c r="BN138" s="1157"/>
      <c r="BO138" s="1157"/>
      <c r="BP138" s="1157"/>
      <c r="BQ138" s="1157"/>
      <c r="BR138" s="1157"/>
      <c r="BS138" s="1157"/>
      <c r="BT138" s="1157"/>
      <c r="BU138" s="1157"/>
      <c r="BV138" s="1157"/>
      <c r="BW138" s="1157"/>
      <c r="BX138" s="1157"/>
      <c r="BY138" s="1157"/>
      <c r="BZ138" s="1157"/>
      <c r="CA138" s="1157"/>
      <c r="CB138" s="1157"/>
      <c r="CC138" s="1157"/>
      <c r="CD138" s="1157"/>
      <c r="CE138" s="1157"/>
      <c r="CF138" s="1157"/>
      <c r="CG138" s="1157"/>
      <c r="CH138" s="1157"/>
      <c r="CI138" s="1157"/>
      <c r="CJ138" s="1157"/>
      <c r="CK138" s="1157"/>
      <c r="CL138" s="1157"/>
      <c r="CM138" s="1157"/>
      <c r="CN138" s="1157"/>
      <c r="CO138" s="1157"/>
      <c r="CP138" s="1157"/>
      <c r="CQ138" s="1157"/>
      <c r="CR138" s="1157"/>
      <c r="CS138" s="1157"/>
      <c r="CT138" s="1157"/>
      <c r="CU138" s="1157"/>
      <c r="CV138" s="1157"/>
      <c r="CW138" s="1157"/>
      <c r="CX138" s="1157"/>
      <c r="CY138" s="1157"/>
      <c r="CZ138" s="1157"/>
      <c r="DA138" s="1157"/>
      <c r="DB138" s="1157"/>
      <c r="DC138" s="1157"/>
      <c r="DD138" s="1157"/>
      <c r="DE138" s="1157"/>
      <c r="DF138" s="1157"/>
      <c r="DG138" s="1157"/>
      <c r="DH138" s="1157"/>
      <c r="DI138" s="1157"/>
      <c r="DJ138" s="1157"/>
      <c r="DK138" s="1157"/>
      <c r="DL138" s="1157"/>
      <c r="DM138" s="1157"/>
      <c r="DN138" s="1157"/>
      <c r="DO138" s="1157"/>
      <c r="DP138" s="1157"/>
      <c r="DQ138" s="1157"/>
      <c r="DR138" s="1157"/>
      <c r="DS138" s="1157"/>
      <c r="DT138" s="1157"/>
      <c r="DU138" s="1157"/>
      <c r="DV138" s="1157"/>
      <c r="DW138" s="1157"/>
      <c r="DX138" s="1157"/>
      <c r="DY138" s="1157"/>
      <c r="DZ138" s="1157"/>
      <c r="EA138" s="1157"/>
      <c r="EB138" s="1157"/>
      <c r="EC138" s="1157"/>
      <c r="ED138" s="1157"/>
      <c r="EE138" s="1157"/>
      <c r="EF138" s="1157"/>
      <c r="EG138" s="1157"/>
      <c r="EH138" s="1157"/>
      <c r="EI138" s="1157"/>
      <c r="EJ138" s="1157"/>
      <c r="EK138" s="1157"/>
      <c r="EL138" s="1157"/>
      <c r="EM138" s="1157"/>
      <c r="EN138" s="1157"/>
      <c r="EO138" s="1157"/>
      <c r="EP138" s="1157"/>
      <c r="EQ138" s="1157"/>
      <c r="ER138" s="1157"/>
      <c r="ES138" s="1157"/>
      <c r="ET138" s="1157"/>
      <c r="EU138" s="1157"/>
      <c r="EV138" s="1157"/>
      <c r="EW138" s="1157"/>
      <c r="EX138" s="1157"/>
      <c r="EY138" s="1157"/>
      <c r="EZ138" s="1157"/>
      <c r="FA138" s="1157"/>
      <c r="FB138" s="1157"/>
      <c r="FC138" s="1157"/>
      <c r="FD138" s="1157"/>
      <c r="FE138" s="1157"/>
      <c r="FF138" s="1157"/>
      <c r="FG138" s="1157"/>
      <c r="FH138" s="1157"/>
      <c r="FI138" s="1157"/>
      <c r="FJ138" s="1157"/>
      <c r="FK138" s="1157"/>
      <c r="FL138" s="1157"/>
      <c r="FM138" s="1157"/>
      <c r="FN138" s="1157"/>
      <c r="FO138" s="1157"/>
      <c r="FP138" s="1157"/>
      <c r="FQ138" s="1157"/>
      <c r="FR138" s="1157"/>
      <c r="FS138" s="1157"/>
      <c r="FT138" s="1157"/>
      <c r="FU138" s="1157"/>
      <c r="FV138" s="1157"/>
      <c r="FW138" s="1157"/>
      <c r="FX138" s="1157"/>
      <c r="FY138" s="1157"/>
      <c r="FZ138" s="1157"/>
      <c r="GA138" s="1157"/>
      <c r="GB138" s="1157"/>
      <c r="GC138" s="1157"/>
      <c r="GD138" s="1157"/>
      <c r="GE138" s="1157"/>
      <c r="GF138" s="1157"/>
      <c r="GG138" s="1157"/>
    </row>
    <row r="139" spans="1:189" s="1158" customFormat="1">
      <c r="A139" s="1615" t="e">
        <f>+#REF!</f>
        <v>#REF!</v>
      </c>
      <c r="B139" s="467" t="e">
        <f>+#REF!</f>
        <v>#REF!</v>
      </c>
      <c r="C139" s="1522" t="e">
        <f>#REF!</f>
        <v>#REF!</v>
      </c>
      <c r="D139" s="1520">
        <f>+J139</f>
        <v>483</v>
      </c>
      <c r="E139" s="650" t="e">
        <f>+#REF!</f>
        <v>#REF!</v>
      </c>
      <c r="F139" s="650" t="e">
        <f>+D139*E139</f>
        <v>#REF!</v>
      </c>
      <c r="H139" s="1155">
        <f>+F11</f>
        <v>460</v>
      </c>
      <c r="I139" s="1156">
        <v>1.05</v>
      </c>
      <c r="J139" s="1155">
        <f>H139*I139</f>
        <v>483</v>
      </c>
      <c r="K139" s="1157"/>
      <c r="L139" s="1157"/>
      <c r="M139" s="1157"/>
      <c r="N139" s="1157"/>
      <c r="O139" s="1157"/>
      <c r="P139" s="1157"/>
      <c r="Q139" s="1157"/>
      <c r="R139" s="1157"/>
      <c r="S139" s="1157"/>
      <c r="T139" s="1157"/>
      <c r="U139" s="1157"/>
      <c r="V139" s="1157"/>
      <c r="W139" s="1157"/>
      <c r="X139" s="1157"/>
      <c r="Y139" s="1157"/>
      <c r="Z139" s="1157"/>
      <c r="AA139" s="1157"/>
      <c r="AB139" s="1157"/>
      <c r="AC139" s="1157"/>
      <c r="AD139" s="1157"/>
      <c r="AE139" s="1157"/>
      <c r="AF139" s="1157"/>
      <c r="AG139" s="1157"/>
      <c r="AH139" s="1157"/>
      <c r="AI139" s="1157"/>
      <c r="AJ139" s="1157"/>
      <c r="AK139" s="1157"/>
      <c r="AL139" s="1157"/>
      <c r="AM139" s="1157"/>
      <c r="AN139" s="1157"/>
      <c r="AO139" s="1157"/>
      <c r="AP139" s="1157"/>
      <c r="AQ139" s="1157"/>
      <c r="AR139" s="1157"/>
      <c r="AS139" s="1157"/>
      <c r="AT139" s="1157"/>
      <c r="AU139" s="1157"/>
      <c r="AV139" s="1157"/>
      <c r="AW139" s="1157"/>
      <c r="AX139" s="1157"/>
      <c r="AY139" s="1157"/>
      <c r="AZ139" s="1157"/>
      <c r="BA139" s="1157"/>
      <c r="BB139" s="1157"/>
      <c r="BC139" s="1157"/>
      <c r="BD139" s="1157"/>
      <c r="BE139" s="1157"/>
      <c r="BF139" s="1157"/>
      <c r="BG139" s="1157"/>
      <c r="BH139" s="1157"/>
      <c r="BI139" s="1157"/>
      <c r="BJ139" s="1157"/>
      <c r="BK139" s="1157"/>
      <c r="BL139" s="1157"/>
      <c r="BM139" s="1157"/>
      <c r="BN139" s="1157"/>
      <c r="BO139" s="1157"/>
      <c r="BP139" s="1157"/>
      <c r="BQ139" s="1157"/>
      <c r="BR139" s="1157"/>
      <c r="BS139" s="1157"/>
      <c r="BT139" s="1157"/>
      <c r="BU139" s="1157"/>
      <c r="BV139" s="1157"/>
      <c r="BW139" s="1157"/>
      <c r="BX139" s="1157"/>
      <c r="BY139" s="1157"/>
      <c r="BZ139" s="1157"/>
      <c r="CA139" s="1157"/>
      <c r="CB139" s="1157"/>
      <c r="CC139" s="1157"/>
      <c r="CD139" s="1157"/>
      <c r="CE139" s="1157"/>
      <c r="CF139" s="1157"/>
      <c r="CG139" s="1157"/>
      <c r="CH139" s="1157"/>
      <c r="CI139" s="1157"/>
      <c r="CJ139" s="1157"/>
      <c r="CK139" s="1157"/>
      <c r="CL139" s="1157"/>
      <c r="CM139" s="1157"/>
      <c r="CN139" s="1157"/>
      <c r="CO139" s="1157"/>
      <c r="CP139" s="1157"/>
      <c r="CQ139" s="1157"/>
      <c r="CR139" s="1157"/>
      <c r="CS139" s="1157"/>
      <c r="CT139" s="1157"/>
      <c r="CU139" s="1157"/>
      <c r="CV139" s="1157"/>
      <c r="CW139" s="1157"/>
      <c r="CX139" s="1157"/>
      <c r="CY139" s="1157"/>
      <c r="CZ139" s="1157"/>
      <c r="DA139" s="1157"/>
      <c r="DB139" s="1157"/>
      <c r="DC139" s="1157"/>
      <c r="DD139" s="1157"/>
      <c r="DE139" s="1157"/>
      <c r="DF139" s="1157"/>
      <c r="DG139" s="1157"/>
      <c r="DH139" s="1157"/>
      <c r="DI139" s="1157"/>
      <c r="DJ139" s="1157"/>
      <c r="DK139" s="1157"/>
      <c r="DL139" s="1157"/>
      <c r="DM139" s="1157"/>
      <c r="DN139" s="1157"/>
      <c r="DO139" s="1157"/>
      <c r="DP139" s="1157"/>
      <c r="DQ139" s="1157"/>
      <c r="DR139" s="1157"/>
      <c r="DS139" s="1157"/>
      <c r="DT139" s="1157"/>
      <c r="DU139" s="1157"/>
      <c r="DV139" s="1157"/>
      <c r="DW139" s="1157"/>
      <c r="DX139" s="1157"/>
      <c r="DY139" s="1157"/>
      <c r="DZ139" s="1157"/>
      <c r="EA139" s="1157"/>
      <c r="EB139" s="1157"/>
      <c r="EC139" s="1157"/>
      <c r="ED139" s="1157"/>
      <c r="EE139" s="1157"/>
      <c r="EF139" s="1157"/>
      <c r="EG139" s="1157"/>
      <c r="EH139" s="1157"/>
      <c r="EI139" s="1157"/>
      <c r="EJ139" s="1157"/>
      <c r="EK139" s="1157"/>
      <c r="EL139" s="1157"/>
      <c r="EM139" s="1157"/>
      <c r="EN139" s="1157"/>
      <c r="EO139" s="1157"/>
      <c r="EP139" s="1157"/>
      <c r="EQ139" s="1157"/>
      <c r="ER139" s="1157"/>
      <c r="ES139" s="1157"/>
      <c r="ET139" s="1157"/>
      <c r="EU139" s="1157"/>
      <c r="EV139" s="1157"/>
      <c r="EW139" s="1157"/>
      <c r="EX139" s="1157"/>
      <c r="EY139" s="1157"/>
      <c r="EZ139" s="1157"/>
      <c r="FA139" s="1157"/>
      <c r="FB139" s="1157"/>
      <c r="FC139" s="1157"/>
      <c r="FD139" s="1157"/>
      <c r="FE139" s="1157"/>
      <c r="FF139" s="1157"/>
      <c r="FG139" s="1157"/>
      <c r="FH139" s="1157"/>
      <c r="FI139" s="1157"/>
      <c r="FJ139" s="1157"/>
      <c r="FK139" s="1157"/>
      <c r="FL139" s="1157"/>
      <c r="FM139" s="1157"/>
      <c r="FN139" s="1157"/>
      <c r="FO139" s="1157"/>
      <c r="FP139" s="1157"/>
      <c r="FQ139" s="1157"/>
      <c r="FR139" s="1157"/>
      <c r="FS139" s="1157"/>
      <c r="FT139" s="1157"/>
      <c r="FU139" s="1157"/>
      <c r="FV139" s="1157"/>
      <c r="FW139" s="1157"/>
      <c r="FX139" s="1157"/>
      <c r="FY139" s="1157"/>
      <c r="FZ139" s="1157"/>
      <c r="GA139" s="1157"/>
      <c r="GB139" s="1157"/>
      <c r="GC139" s="1157"/>
      <c r="GD139" s="1157"/>
      <c r="GE139" s="1157"/>
      <c r="GF139" s="1157"/>
      <c r="GG139" s="1157"/>
    </row>
    <row r="140" spans="1:189" s="1178" customFormat="1">
      <c r="A140" s="1449" t="e">
        <f>+#REF!</f>
        <v>#REF!</v>
      </c>
      <c r="B140" s="1614" t="e">
        <f>+#REF!</f>
        <v>#REF!</v>
      </c>
      <c r="C140" s="1264"/>
      <c r="D140" s="1519"/>
      <c r="E140" s="544"/>
      <c r="F140" s="544"/>
      <c r="G140" s="1158"/>
      <c r="H140" s="1155"/>
      <c r="I140" s="1156"/>
      <c r="J140" s="1155"/>
      <c r="K140" s="1177"/>
      <c r="L140" s="1177"/>
      <c r="M140" s="1177"/>
      <c r="N140" s="1177"/>
      <c r="O140" s="1177"/>
      <c r="P140" s="1177"/>
      <c r="Q140" s="1177"/>
      <c r="R140" s="1177"/>
      <c r="S140" s="1177"/>
      <c r="T140" s="1177"/>
      <c r="U140" s="1177"/>
      <c r="V140" s="1177"/>
      <c r="W140" s="1177"/>
      <c r="X140" s="1177"/>
      <c r="Y140" s="1177"/>
      <c r="Z140" s="1177"/>
      <c r="AA140" s="1177"/>
      <c r="AB140" s="1177"/>
      <c r="AC140" s="1177"/>
      <c r="AD140" s="1177"/>
      <c r="AE140" s="1177"/>
      <c r="AF140" s="1177"/>
      <c r="AG140" s="1177"/>
      <c r="AH140" s="1177"/>
      <c r="AI140" s="1177"/>
      <c r="AJ140" s="1177"/>
      <c r="AK140" s="1177"/>
      <c r="AL140" s="1177"/>
      <c r="AM140" s="1177"/>
      <c r="AN140" s="1177"/>
      <c r="AO140" s="1177"/>
      <c r="AP140" s="1177"/>
      <c r="AQ140" s="1177"/>
      <c r="AR140" s="1177"/>
      <c r="AS140" s="1177"/>
      <c r="AT140" s="1177"/>
      <c r="AU140" s="1177"/>
      <c r="AV140" s="1177"/>
      <c r="AW140" s="1177"/>
      <c r="AX140" s="1177"/>
      <c r="AY140" s="1177"/>
      <c r="AZ140" s="1177"/>
      <c r="BA140" s="1177"/>
      <c r="BB140" s="1177"/>
      <c r="BC140" s="1177"/>
      <c r="BD140" s="1177"/>
      <c r="BE140" s="1177"/>
      <c r="BF140" s="1177"/>
      <c r="BG140" s="1177"/>
      <c r="BH140" s="1177"/>
      <c r="BI140" s="1177"/>
      <c r="BJ140" s="1177"/>
      <c r="BK140" s="1177"/>
      <c r="BL140" s="1177"/>
      <c r="BM140" s="1177"/>
      <c r="BN140" s="1177"/>
      <c r="BO140" s="1177"/>
      <c r="BP140" s="1177"/>
      <c r="BQ140" s="1177"/>
      <c r="BR140" s="1177"/>
      <c r="BS140" s="1177"/>
      <c r="BT140" s="1177"/>
      <c r="BU140" s="1177"/>
      <c r="BV140" s="1177"/>
      <c r="BW140" s="1177"/>
      <c r="BX140" s="1177"/>
      <c r="BY140" s="1177"/>
      <c r="BZ140" s="1177"/>
      <c r="CA140" s="1177"/>
      <c r="CB140" s="1177"/>
      <c r="CC140" s="1177"/>
      <c r="CD140" s="1177"/>
      <c r="CE140" s="1177"/>
      <c r="CF140" s="1177"/>
      <c r="CG140" s="1177"/>
      <c r="CH140" s="1177"/>
      <c r="CI140" s="1177"/>
      <c r="CJ140" s="1177"/>
      <c r="CK140" s="1177"/>
      <c r="CL140" s="1177"/>
      <c r="CM140" s="1177"/>
      <c r="CN140" s="1177"/>
      <c r="CO140" s="1177"/>
      <c r="CP140" s="1177"/>
      <c r="CQ140" s="1177"/>
      <c r="CR140" s="1177"/>
      <c r="CS140" s="1177"/>
      <c r="CT140" s="1177"/>
      <c r="CU140" s="1177"/>
      <c r="CV140" s="1177"/>
      <c r="CW140" s="1177"/>
      <c r="CX140" s="1177"/>
      <c r="CY140" s="1177"/>
      <c r="CZ140" s="1177"/>
      <c r="DA140" s="1177"/>
      <c r="DB140" s="1177"/>
      <c r="DC140" s="1177"/>
      <c r="DD140" s="1177"/>
      <c r="DE140" s="1177"/>
      <c r="DF140" s="1177"/>
      <c r="DG140" s="1177"/>
      <c r="DH140" s="1177"/>
      <c r="DI140" s="1177"/>
      <c r="DJ140" s="1177"/>
      <c r="DK140" s="1177"/>
      <c r="DL140" s="1177"/>
      <c r="DM140" s="1177"/>
      <c r="DN140" s="1177"/>
      <c r="DO140" s="1177"/>
      <c r="DP140" s="1177"/>
      <c r="DQ140" s="1177"/>
      <c r="DR140" s="1177"/>
      <c r="DS140" s="1177"/>
      <c r="DT140" s="1177"/>
      <c r="DU140" s="1177"/>
      <c r="DV140" s="1177"/>
      <c r="DW140" s="1177"/>
      <c r="DX140" s="1177"/>
      <c r="DY140" s="1177"/>
      <c r="DZ140" s="1177"/>
      <c r="EA140" s="1177"/>
      <c r="EB140" s="1177"/>
      <c r="EC140" s="1177"/>
      <c r="ED140" s="1177"/>
      <c r="EE140" s="1177"/>
      <c r="EF140" s="1177"/>
      <c r="EG140" s="1177"/>
      <c r="EH140" s="1177"/>
      <c r="EI140" s="1177"/>
      <c r="EJ140" s="1177"/>
      <c r="EK140" s="1177"/>
      <c r="EL140" s="1177"/>
      <c r="EM140" s="1177"/>
      <c r="EN140" s="1177"/>
      <c r="EO140" s="1177"/>
      <c r="EP140" s="1177"/>
      <c r="EQ140" s="1177"/>
      <c r="ER140" s="1177"/>
      <c r="ES140" s="1177"/>
      <c r="ET140" s="1177"/>
      <c r="EU140" s="1177"/>
      <c r="EV140" s="1177"/>
      <c r="EW140" s="1177"/>
      <c r="EX140" s="1177"/>
      <c r="EY140" s="1177"/>
      <c r="EZ140" s="1177"/>
      <c r="FA140" s="1177"/>
      <c r="FB140" s="1177"/>
      <c r="FC140" s="1177"/>
      <c r="FD140" s="1177"/>
      <c r="FE140" s="1177"/>
      <c r="FF140" s="1177"/>
      <c r="FG140" s="1177"/>
      <c r="FH140" s="1177"/>
      <c r="FI140" s="1177"/>
      <c r="FJ140" s="1177"/>
      <c r="FK140" s="1177"/>
      <c r="FL140" s="1177"/>
      <c r="FM140" s="1177"/>
      <c r="FN140" s="1177"/>
      <c r="FO140" s="1177"/>
      <c r="FP140" s="1177"/>
      <c r="FQ140" s="1177"/>
      <c r="FR140" s="1177"/>
      <c r="FS140" s="1177"/>
      <c r="FT140" s="1177"/>
      <c r="FU140" s="1177"/>
      <c r="FV140" s="1177"/>
      <c r="FW140" s="1177"/>
      <c r="FX140" s="1177"/>
      <c r="FY140" s="1177"/>
      <c r="FZ140" s="1177"/>
      <c r="GA140" s="1177"/>
      <c r="GB140" s="1177"/>
      <c r="GC140" s="1177"/>
      <c r="GD140" s="1177"/>
      <c r="GE140" s="1177"/>
      <c r="GF140" s="1177"/>
      <c r="GG140" s="1177"/>
    </row>
    <row r="141" spans="1:189" s="1158" customFormat="1">
      <c r="A141" s="1622" t="e">
        <f>+#REF!</f>
        <v>#REF!</v>
      </c>
      <c r="B141" s="1623" t="e">
        <f>+#REF!</f>
        <v>#REF!</v>
      </c>
      <c r="C141" s="1523" t="e">
        <f>#REF!</f>
        <v>#REF!</v>
      </c>
      <c r="D141" s="1521">
        <f>J141</f>
        <v>390</v>
      </c>
      <c r="E141" s="547" t="e">
        <f>#REF!</f>
        <v>#REF!</v>
      </c>
      <c r="F141" s="547" t="e">
        <f>+D141*E141</f>
        <v>#REF!</v>
      </c>
      <c r="H141" s="1155">
        <f>F12</f>
        <v>390</v>
      </c>
      <c r="I141" s="1156">
        <v>1</v>
      </c>
      <c r="J141" s="1155">
        <f>H141*I141</f>
        <v>390</v>
      </c>
      <c r="K141" s="1157"/>
      <c r="L141" s="1157"/>
      <c r="M141" s="1157"/>
      <c r="N141" s="1157"/>
      <c r="O141" s="1157"/>
      <c r="P141" s="1157"/>
      <c r="Q141" s="1157"/>
      <c r="R141" s="1157"/>
      <c r="S141" s="1157"/>
      <c r="T141" s="1157"/>
      <c r="U141" s="1157"/>
      <c r="V141" s="1157"/>
      <c r="W141" s="1157"/>
      <c r="X141" s="1157"/>
      <c r="Y141" s="1157"/>
      <c r="Z141" s="1157"/>
      <c r="AA141" s="1157"/>
      <c r="AB141" s="1157"/>
      <c r="AC141" s="1157"/>
      <c r="AD141" s="1157"/>
      <c r="AE141" s="1157"/>
      <c r="AF141" s="1157"/>
      <c r="AG141" s="1157"/>
      <c r="AH141" s="1157"/>
      <c r="AI141" s="1157"/>
      <c r="AJ141" s="1157"/>
      <c r="AK141" s="1157"/>
      <c r="AL141" s="1157"/>
      <c r="AM141" s="1157"/>
      <c r="AN141" s="1157"/>
      <c r="AO141" s="1157"/>
      <c r="AP141" s="1157"/>
      <c r="AQ141" s="1157"/>
      <c r="AR141" s="1157"/>
      <c r="AS141" s="1157"/>
      <c r="AT141" s="1157"/>
      <c r="AU141" s="1157"/>
      <c r="AV141" s="1157"/>
      <c r="AW141" s="1157"/>
      <c r="AX141" s="1157"/>
      <c r="AY141" s="1157"/>
      <c r="AZ141" s="1157"/>
      <c r="BA141" s="1157"/>
      <c r="BB141" s="1157"/>
      <c r="BC141" s="1157"/>
      <c r="BD141" s="1157"/>
      <c r="BE141" s="1157"/>
      <c r="BF141" s="1157"/>
      <c r="BG141" s="1157"/>
      <c r="BH141" s="1157"/>
      <c r="BI141" s="1157"/>
      <c r="BJ141" s="1157"/>
      <c r="BK141" s="1157"/>
      <c r="BL141" s="1157"/>
      <c r="BM141" s="1157"/>
      <c r="BN141" s="1157"/>
      <c r="BO141" s="1157"/>
      <c r="BP141" s="1157"/>
      <c r="BQ141" s="1157"/>
      <c r="BR141" s="1157"/>
      <c r="BS141" s="1157"/>
      <c r="BT141" s="1157"/>
      <c r="BU141" s="1157"/>
      <c r="BV141" s="1157"/>
      <c r="BW141" s="1157"/>
      <c r="BX141" s="1157"/>
      <c r="BY141" s="1157"/>
      <c r="BZ141" s="1157"/>
      <c r="CA141" s="1157"/>
      <c r="CB141" s="1157"/>
      <c r="CC141" s="1157"/>
      <c r="CD141" s="1157"/>
      <c r="CE141" s="1157"/>
      <c r="CF141" s="1157"/>
      <c r="CG141" s="1157"/>
      <c r="CH141" s="1157"/>
      <c r="CI141" s="1157"/>
      <c r="CJ141" s="1157"/>
      <c r="CK141" s="1157"/>
      <c r="CL141" s="1157"/>
      <c r="CM141" s="1157"/>
      <c r="CN141" s="1157"/>
      <c r="CO141" s="1157"/>
      <c r="CP141" s="1157"/>
      <c r="CQ141" s="1157"/>
      <c r="CR141" s="1157"/>
      <c r="CS141" s="1157"/>
      <c r="CT141" s="1157"/>
      <c r="CU141" s="1157"/>
      <c r="CV141" s="1157"/>
      <c r="CW141" s="1157"/>
      <c r="CX141" s="1157"/>
      <c r="CY141" s="1157"/>
      <c r="CZ141" s="1157"/>
      <c r="DA141" s="1157"/>
      <c r="DB141" s="1157"/>
      <c r="DC141" s="1157"/>
      <c r="DD141" s="1157"/>
      <c r="DE141" s="1157"/>
      <c r="DF141" s="1157"/>
      <c r="DG141" s="1157"/>
      <c r="DH141" s="1157"/>
      <c r="DI141" s="1157"/>
      <c r="DJ141" s="1157"/>
      <c r="DK141" s="1157"/>
      <c r="DL141" s="1157"/>
      <c r="DM141" s="1157"/>
      <c r="DN141" s="1157"/>
      <c r="DO141" s="1157"/>
      <c r="DP141" s="1157"/>
      <c r="DQ141" s="1157"/>
      <c r="DR141" s="1157"/>
      <c r="DS141" s="1157"/>
      <c r="DT141" s="1157"/>
      <c r="DU141" s="1157"/>
      <c r="DV141" s="1157"/>
      <c r="DW141" s="1157"/>
      <c r="DX141" s="1157"/>
      <c r="DY141" s="1157"/>
      <c r="DZ141" s="1157"/>
      <c r="EA141" s="1157"/>
      <c r="EB141" s="1157"/>
      <c r="EC141" s="1157"/>
      <c r="ED141" s="1157"/>
      <c r="EE141" s="1157"/>
      <c r="EF141" s="1157"/>
      <c r="EG141" s="1157"/>
      <c r="EH141" s="1157"/>
      <c r="EI141" s="1157"/>
      <c r="EJ141" s="1157"/>
      <c r="EK141" s="1157"/>
      <c r="EL141" s="1157"/>
      <c r="EM141" s="1157"/>
      <c r="EN141" s="1157"/>
      <c r="EO141" s="1157"/>
      <c r="EP141" s="1157"/>
      <c r="EQ141" s="1157"/>
      <c r="ER141" s="1157"/>
      <c r="ES141" s="1157"/>
      <c r="ET141" s="1157"/>
      <c r="EU141" s="1157"/>
      <c r="EV141" s="1157"/>
      <c r="EW141" s="1157"/>
      <c r="EX141" s="1157"/>
      <c r="EY141" s="1157"/>
      <c r="EZ141" s="1157"/>
      <c r="FA141" s="1157"/>
      <c r="FB141" s="1157"/>
      <c r="FC141" s="1157"/>
      <c r="FD141" s="1157"/>
      <c r="FE141" s="1157"/>
      <c r="FF141" s="1157"/>
      <c r="FG141" s="1157"/>
      <c r="FH141" s="1157"/>
      <c r="FI141" s="1157"/>
      <c r="FJ141" s="1157"/>
      <c r="FK141" s="1157"/>
      <c r="FL141" s="1157"/>
      <c r="FM141" s="1157"/>
      <c r="FN141" s="1157"/>
      <c r="FO141" s="1157"/>
      <c r="FP141" s="1157"/>
      <c r="FQ141" s="1157"/>
      <c r="FR141" s="1157"/>
      <c r="FS141" s="1157"/>
      <c r="FT141" s="1157"/>
      <c r="FU141" s="1157"/>
      <c r="FV141" s="1157"/>
      <c r="FW141" s="1157"/>
      <c r="FX141" s="1157"/>
      <c r="FY141" s="1157"/>
      <c r="FZ141" s="1157"/>
      <c r="GA141" s="1157"/>
      <c r="GB141" s="1157"/>
      <c r="GC141" s="1157"/>
      <c r="GD141" s="1157"/>
      <c r="GE141" s="1157"/>
      <c r="GF141" s="1157"/>
      <c r="GG141" s="1157"/>
    </row>
    <row r="142" spans="1:189" s="1178" customFormat="1">
      <c r="A142" s="1449" t="e">
        <f>+#REF!</f>
        <v>#REF!</v>
      </c>
      <c r="B142" s="1614" t="e">
        <f>+#REF!</f>
        <v>#REF!</v>
      </c>
      <c r="C142" s="1264"/>
      <c r="D142" s="1519"/>
      <c r="E142" s="544"/>
      <c r="F142" s="544"/>
      <c r="G142" s="1158"/>
      <c r="H142" s="1155"/>
      <c r="I142" s="1156"/>
      <c r="J142" s="1155"/>
      <c r="K142" s="1177"/>
      <c r="L142" s="1177"/>
      <c r="M142" s="1177"/>
      <c r="N142" s="1177"/>
      <c r="O142" s="1177"/>
      <c r="P142" s="1177"/>
      <c r="Q142" s="1177"/>
      <c r="R142" s="1177"/>
      <c r="S142" s="1177"/>
      <c r="T142" s="1177"/>
      <c r="U142" s="1177"/>
      <c r="V142" s="1177"/>
      <c r="W142" s="1177"/>
      <c r="X142" s="1177"/>
      <c r="Y142" s="1177"/>
      <c r="Z142" s="1177"/>
      <c r="AA142" s="1177"/>
      <c r="AB142" s="1177"/>
      <c r="AC142" s="1177"/>
      <c r="AD142" s="1177"/>
      <c r="AE142" s="1177"/>
      <c r="AF142" s="1177"/>
      <c r="AG142" s="1177"/>
      <c r="AH142" s="1177"/>
      <c r="AI142" s="1177"/>
      <c r="AJ142" s="1177"/>
      <c r="AK142" s="1177"/>
      <c r="AL142" s="1177"/>
      <c r="AM142" s="1177"/>
      <c r="AN142" s="1177"/>
      <c r="AO142" s="1177"/>
      <c r="AP142" s="1177"/>
      <c r="AQ142" s="1177"/>
      <c r="AR142" s="1177"/>
      <c r="AS142" s="1177"/>
      <c r="AT142" s="1177"/>
      <c r="AU142" s="1177"/>
      <c r="AV142" s="1177"/>
      <c r="AW142" s="1177"/>
      <c r="AX142" s="1177"/>
      <c r="AY142" s="1177"/>
      <c r="AZ142" s="1177"/>
      <c r="BA142" s="1177"/>
      <c r="BB142" s="1177"/>
      <c r="BC142" s="1177"/>
      <c r="BD142" s="1177"/>
      <c r="BE142" s="1177"/>
      <c r="BF142" s="1177"/>
      <c r="BG142" s="1177"/>
      <c r="BH142" s="1177"/>
      <c r="BI142" s="1177"/>
      <c r="BJ142" s="1177"/>
      <c r="BK142" s="1177"/>
      <c r="BL142" s="1177"/>
      <c r="BM142" s="1177"/>
      <c r="BN142" s="1177"/>
      <c r="BO142" s="1177"/>
      <c r="BP142" s="1177"/>
      <c r="BQ142" s="1177"/>
      <c r="BR142" s="1177"/>
      <c r="BS142" s="1177"/>
      <c r="BT142" s="1177"/>
      <c r="BU142" s="1177"/>
      <c r="BV142" s="1177"/>
      <c r="BW142" s="1177"/>
      <c r="BX142" s="1177"/>
      <c r="BY142" s="1177"/>
      <c r="BZ142" s="1177"/>
      <c r="CA142" s="1177"/>
      <c r="CB142" s="1177"/>
      <c r="CC142" s="1177"/>
      <c r="CD142" s="1177"/>
      <c r="CE142" s="1177"/>
      <c r="CF142" s="1177"/>
      <c r="CG142" s="1177"/>
      <c r="CH142" s="1177"/>
      <c r="CI142" s="1177"/>
      <c r="CJ142" s="1177"/>
      <c r="CK142" s="1177"/>
      <c r="CL142" s="1177"/>
      <c r="CM142" s="1177"/>
      <c r="CN142" s="1177"/>
      <c r="CO142" s="1177"/>
      <c r="CP142" s="1177"/>
      <c r="CQ142" s="1177"/>
      <c r="CR142" s="1177"/>
      <c r="CS142" s="1177"/>
      <c r="CT142" s="1177"/>
      <c r="CU142" s="1177"/>
      <c r="CV142" s="1177"/>
      <c r="CW142" s="1177"/>
      <c r="CX142" s="1177"/>
      <c r="CY142" s="1177"/>
      <c r="CZ142" s="1177"/>
      <c r="DA142" s="1177"/>
      <c r="DB142" s="1177"/>
      <c r="DC142" s="1177"/>
      <c r="DD142" s="1177"/>
      <c r="DE142" s="1177"/>
      <c r="DF142" s="1177"/>
      <c r="DG142" s="1177"/>
      <c r="DH142" s="1177"/>
      <c r="DI142" s="1177"/>
      <c r="DJ142" s="1177"/>
      <c r="DK142" s="1177"/>
      <c r="DL142" s="1177"/>
      <c r="DM142" s="1177"/>
      <c r="DN142" s="1177"/>
      <c r="DO142" s="1177"/>
      <c r="DP142" s="1177"/>
      <c r="DQ142" s="1177"/>
      <c r="DR142" s="1177"/>
      <c r="DS142" s="1177"/>
      <c r="DT142" s="1177"/>
      <c r="DU142" s="1177"/>
      <c r="DV142" s="1177"/>
      <c r="DW142" s="1177"/>
      <c r="DX142" s="1177"/>
      <c r="DY142" s="1177"/>
      <c r="DZ142" s="1177"/>
      <c r="EA142" s="1177"/>
      <c r="EB142" s="1177"/>
      <c r="EC142" s="1177"/>
      <c r="ED142" s="1177"/>
      <c r="EE142" s="1177"/>
      <c r="EF142" s="1177"/>
      <c r="EG142" s="1177"/>
      <c r="EH142" s="1177"/>
      <c r="EI142" s="1177"/>
      <c r="EJ142" s="1177"/>
      <c r="EK142" s="1177"/>
      <c r="EL142" s="1177"/>
      <c r="EM142" s="1177"/>
      <c r="EN142" s="1177"/>
      <c r="EO142" s="1177"/>
      <c r="EP142" s="1177"/>
      <c r="EQ142" s="1177"/>
      <c r="ER142" s="1177"/>
      <c r="ES142" s="1177"/>
      <c r="ET142" s="1177"/>
      <c r="EU142" s="1177"/>
      <c r="EV142" s="1177"/>
      <c r="EW142" s="1177"/>
      <c r="EX142" s="1177"/>
      <c r="EY142" s="1177"/>
      <c r="EZ142" s="1177"/>
      <c r="FA142" s="1177"/>
      <c r="FB142" s="1177"/>
      <c r="FC142" s="1177"/>
      <c r="FD142" s="1177"/>
      <c r="FE142" s="1177"/>
      <c r="FF142" s="1177"/>
      <c r="FG142" s="1177"/>
      <c r="FH142" s="1177"/>
      <c r="FI142" s="1177"/>
      <c r="FJ142" s="1177"/>
      <c r="FK142" s="1177"/>
      <c r="FL142" s="1177"/>
      <c r="FM142" s="1177"/>
      <c r="FN142" s="1177"/>
      <c r="FO142" s="1177"/>
      <c r="FP142" s="1177"/>
      <c r="FQ142" s="1177"/>
      <c r="FR142" s="1177"/>
      <c r="FS142" s="1177"/>
      <c r="FT142" s="1177"/>
      <c r="FU142" s="1177"/>
      <c r="FV142" s="1177"/>
      <c r="FW142" s="1177"/>
      <c r="FX142" s="1177"/>
      <c r="FY142" s="1177"/>
      <c r="FZ142" s="1177"/>
      <c r="GA142" s="1177"/>
      <c r="GB142" s="1177"/>
      <c r="GC142" s="1177"/>
      <c r="GD142" s="1177"/>
      <c r="GE142" s="1177"/>
      <c r="GF142" s="1177"/>
      <c r="GG142" s="1177"/>
    </row>
    <row r="143" spans="1:189" s="1158" customFormat="1">
      <c r="A143" s="1615"/>
      <c r="B143" s="467"/>
      <c r="C143" s="1523" t="e">
        <f>#REF!</f>
        <v>#REF!</v>
      </c>
      <c r="D143" s="1521">
        <v>1</v>
      </c>
      <c r="E143" s="547" t="e">
        <f>#REF!</f>
        <v>#REF!</v>
      </c>
      <c r="F143" s="547" t="e">
        <f>+D143*E143</f>
        <v>#REF!</v>
      </c>
      <c r="H143" s="1155">
        <v>0</v>
      </c>
      <c r="I143" s="1156">
        <v>1</v>
      </c>
      <c r="J143" s="1155">
        <f>H143*I143</f>
        <v>0</v>
      </c>
      <c r="K143" s="1157"/>
      <c r="L143" s="1157"/>
      <c r="M143" s="1157"/>
      <c r="N143" s="1157"/>
      <c r="O143" s="1157"/>
      <c r="P143" s="1157"/>
      <c r="Q143" s="1157"/>
      <c r="R143" s="1157"/>
      <c r="S143" s="1157"/>
      <c r="T143" s="1157"/>
      <c r="U143" s="1157"/>
      <c r="V143" s="1157"/>
      <c r="W143" s="1157"/>
      <c r="X143" s="1157"/>
      <c r="Y143" s="1157"/>
      <c r="Z143" s="1157"/>
      <c r="AA143" s="1157"/>
      <c r="AB143" s="1157"/>
      <c r="AC143" s="1157"/>
      <c r="AD143" s="1157"/>
      <c r="AE143" s="1157"/>
      <c r="AF143" s="1157"/>
      <c r="AG143" s="1157"/>
      <c r="AH143" s="1157"/>
      <c r="AI143" s="1157"/>
      <c r="AJ143" s="1157"/>
      <c r="AK143" s="1157"/>
      <c r="AL143" s="1157"/>
      <c r="AM143" s="1157"/>
      <c r="AN143" s="1157"/>
      <c r="AO143" s="1157"/>
      <c r="AP143" s="1157"/>
      <c r="AQ143" s="1157"/>
      <c r="AR143" s="1157"/>
      <c r="AS143" s="1157"/>
      <c r="AT143" s="1157"/>
      <c r="AU143" s="1157"/>
      <c r="AV143" s="1157"/>
      <c r="AW143" s="1157"/>
      <c r="AX143" s="1157"/>
      <c r="AY143" s="1157"/>
      <c r="AZ143" s="1157"/>
      <c r="BA143" s="1157"/>
      <c r="BB143" s="1157"/>
      <c r="BC143" s="1157"/>
      <c r="BD143" s="1157"/>
      <c r="BE143" s="1157"/>
      <c r="BF143" s="1157"/>
      <c r="BG143" s="1157"/>
      <c r="BH143" s="1157"/>
      <c r="BI143" s="1157"/>
      <c r="BJ143" s="1157"/>
      <c r="BK143" s="1157"/>
      <c r="BL143" s="1157"/>
      <c r="BM143" s="1157"/>
      <c r="BN143" s="1157"/>
      <c r="BO143" s="1157"/>
      <c r="BP143" s="1157"/>
      <c r="BQ143" s="1157"/>
      <c r="BR143" s="1157"/>
      <c r="BS143" s="1157"/>
      <c r="BT143" s="1157"/>
      <c r="BU143" s="1157"/>
      <c r="BV143" s="1157"/>
      <c r="BW143" s="1157"/>
      <c r="BX143" s="1157"/>
      <c r="BY143" s="1157"/>
      <c r="BZ143" s="1157"/>
      <c r="CA143" s="1157"/>
      <c r="CB143" s="1157"/>
      <c r="CC143" s="1157"/>
      <c r="CD143" s="1157"/>
      <c r="CE143" s="1157"/>
      <c r="CF143" s="1157"/>
      <c r="CG143" s="1157"/>
      <c r="CH143" s="1157"/>
      <c r="CI143" s="1157"/>
      <c r="CJ143" s="1157"/>
      <c r="CK143" s="1157"/>
      <c r="CL143" s="1157"/>
      <c r="CM143" s="1157"/>
      <c r="CN143" s="1157"/>
      <c r="CO143" s="1157"/>
      <c r="CP143" s="1157"/>
      <c r="CQ143" s="1157"/>
      <c r="CR143" s="1157"/>
      <c r="CS143" s="1157"/>
      <c r="CT143" s="1157"/>
      <c r="CU143" s="1157"/>
      <c r="CV143" s="1157"/>
      <c r="CW143" s="1157"/>
      <c r="CX143" s="1157"/>
      <c r="CY143" s="1157"/>
      <c r="CZ143" s="1157"/>
      <c r="DA143" s="1157"/>
      <c r="DB143" s="1157"/>
      <c r="DC143" s="1157"/>
      <c r="DD143" s="1157"/>
      <c r="DE143" s="1157"/>
      <c r="DF143" s="1157"/>
      <c r="DG143" s="1157"/>
      <c r="DH143" s="1157"/>
      <c r="DI143" s="1157"/>
      <c r="DJ143" s="1157"/>
      <c r="DK143" s="1157"/>
      <c r="DL143" s="1157"/>
      <c r="DM143" s="1157"/>
      <c r="DN143" s="1157"/>
      <c r="DO143" s="1157"/>
      <c r="DP143" s="1157"/>
      <c r="DQ143" s="1157"/>
      <c r="DR143" s="1157"/>
      <c r="DS143" s="1157"/>
      <c r="DT143" s="1157"/>
      <c r="DU143" s="1157"/>
      <c r="DV143" s="1157"/>
      <c r="DW143" s="1157"/>
      <c r="DX143" s="1157"/>
      <c r="DY143" s="1157"/>
      <c r="DZ143" s="1157"/>
      <c r="EA143" s="1157"/>
      <c r="EB143" s="1157"/>
      <c r="EC143" s="1157"/>
      <c r="ED143" s="1157"/>
      <c r="EE143" s="1157"/>
      <c r="EF143" s="1157"/>
      <c r="EG143" s="1157"/>
      <c r="EH143" s="1157"/>
      <c r="EI143" s="1157"/>
      <c r="EJ143" s="1157"/>
      <c r="EK143" s="1157"/>
      <c r="EL143" s="1157"/>
      <c r="EM143" s="1157"/>
      <c r="EN143" s="1157"/>
      <c r="EO143" s="1157"/>
      <c r="EP143" s="1157"/>
      <c r="EQ143" s="1157"/>
      <c r="ER143" s="1157"/>
      <c r="ES143" s="1157"/>
      <c r="ET143" s="1157"/>
      <c r="EU143" s="1157"/>
      <c r="EV143" s="1157"/>
      <c r="EW143" s="1157"/>
      <c r="EX143" s="1157"/>
      <c r="EY143" s="1157"/>
      <c r="EZ143" s="1157"/>
      <c r="FA143" s="1157"/>
      <c r="FB143" s="1157"/>
      <c r="FC143" s="1157"/>
      <c r="FD143" s="1157"/>
      <c r="FE143" s="1157"/>
      <c r="FF143" s="1157"/>
      <c r="FG143" s="1157"/>
      <c r="FH143" s="1157"/>
      <c r="FI143" s="1157"/>
      <c r="FJ143" s="1157"/>
      <c r="FK143" s="1157"/>
      <c r="FL143" s="1157"/>
      <c r="FM143" s="1157"/>
      <c r="FN143" s="1157"/>
      <c r="FO143" s="1157"/>
      <c r="FP143" s="1157"/>
      <c r="FQ143" s="1157"/>
      <c r="FR143" s="1157"/>
      <c r="FS143" s="1157"/>
      <c r="FT143" s="1157"/>
      <c r="FU143" s="1157"/>
      <c r="FV143" s="1157"/>
      <c r="FW143" s="1157"/>
      <c r="FX143" s="1157"/>
      <c r="FY143" s="1157"/>
      <c r="FZ143" s="1157"/>
      <c r="GA143" s="1157"/>
      <c r="GB143" s="1157"/>
      <c r="GC143" s="1157"/>
      <c r="GD143" s="1157"/>
      <c r="GE143" s="1157"/>
      <c r="GF143" s="1157"/>
      <c r="GG143" s="1157"/>
    </row>
    <row r="144" spans="1:189" s="1158" customFormat="1">
      <c r="A144" s="1281" t="e">
        <f>+#REF!</f>
        <v>#REF!</v>
      </c>
      <c r="B144" s="1620" t="e">
        <f>+#REF!</f>
        <v>#REF!</v>
      </c>
      <c r="C144" s="1264"/>
      <c r="D144" s="1519"/>
      <c r="E144" s="544"/>
      <c r="F144" s="544"/>
      <c r="H144" s="1155"/>
      <c r="I144" s="1156"/>
      <c r="J144" s="1155"/>
      <c r="K144" s="1181" t="e">
        <f>+#REF!/#REF!</f>
        <v>#REF!</v>
      </c>
      <c r="L144" s="1157">
        <v>3</v>
      </c>
      <c r="M144" s="1157"/>
      <c r="N144" s="1157"/>
      <c r="O144" s="1157"/>
      <c r="P144" s="1157"/>
      <c r="Q144" s="1157"/>
      <c r="R144" s="1157"/>
      <c r="S144" s="1157"/>
      <c r="T144" s="1157"/>
      <c r="U144" s="1157"/>
      <c r="V144" s="1157"/>
      <c r="W144" s="1157"/>
      <c r="X144" s="1157"/>
      <c r="Y144" s="1157"/>
      <c r="Z144" s="1157"/>
      <c r="AA144" s="1157"/>
      <c r="AB144" s="1157"/>
      <c r="AC144" s="1157"/>
      <c r="AD144" s="1157"/>
      <c r="AE144" s="1157"/>
      <c r="AF144" s="1157"/>
      <c r="AG144" s="1157"/>
      <c r="AH144" s="1157"/>
      <c r="AI144" s="1157"/>
      <c r="AJ144" s="1157"/>
      <c r="AK144" s="1157"/>
      <c r="AL144" s="1157"/>
      <c r="AM144" s="1157"/>
      <c r="AN144" s="1157"/>
      <c r="AO144" s="1157"/>
      <c r="AP144" s="1157"/>
      <c r="AQ144" s="1157"/>
      <c r="AR144" s="1157"/>
      <c r="AS144" s="1157"/>
      <c r="AT144" s="1157"/>
      <c r="AU144" s="1157"/>
      <c r="AV144" s="1157"/>
      <c r="AW144" s="1157"/>
      <c r="AX144" s="1157"/>
      <c r="AY144" s="1157"/>
      <c r="AZ144" s="1157"/>
      <c r="BA144" s="1157"/>
      <c r="BB144" s="1157"/>
      <c r="BC144" s="1157"/>
      <c r="BD144" s="1157"/>
      <c r="BE144" s="1157"/>
      <c r="BF144" s="1157"/>
      <c r="BG144" s="1157"/>
      <c r="BH144" s="1157"/>
      <c r="BI144" s="1157"/>
      <c r="BJ144" s="1157"/>
      <c r="BK144" s="1157"/>
      <c r="BL144" s="1157"/>
      <c r="BM144" s="1157"/>
      <c r="BN144" s="1157"/>
      <c r="BO144" s="1157"/>
      <c r="BP144" s="1157"/>
      <c r="BQ144" s="1157"/>
      <c r="BR144" s="1157"/>
      <c r="BS144" s="1157"/>
      <c r="BT144" s="1157"/>
      <c r="BU144" s="1157"/>
      <c r="BV144" s="1157"/>
      <c r="BW144" s="1157"/>
      <c r="BX144" s="1157"/>
      <c r="BY144" s="1157"/>
      <c r="BZ144" s="1157"/>
      <c r="CA144" s="1157"/>
      <c r="CB144" s="1157"/>
      <c r="CC144" s="1157"/>
      <c r="CD144" s="1157"/>
      <c r="CE144" s="1157"/>
      <c r="CF144" s="1157"/>
      <c r="CG144" s="1157"/>
      <c r="CH144" s="1157"/>
      <c r="CI144" s="1157"/>
      <c r="CJ144" s="1157"/>
      <c r="CK144" s="1157"/>
      <c r="CL144" s="1157"/>
      <c r="CM144" s="1157"/>
      <c r="CN144" s="1157"/>
      <c r="CO144" s="1157"/>
      <c r="CP144" s="1157"/>
      <c r="CQ144" s="1157"/>
      <c r="CR144" s="1157"/>
      <c r="CS144" s="1157"/>
      <c r="CT144" s="1157"/>
      <c r="CU144" s="1157"/>
      <c r="CV144" s="1157"/>
      <c r="CW144" s="1157"/>
      <c r="CX144" s="1157"/>
      <c r="CY144" s="1157"/>
      <c r="CZ144" s="1157"/>
      <c r="DA144" s="1157"/>
      <c r="DB144" s="1157"/>
      <c r="DC144" s="1157"/>
      <c r="DD144" s="1157"/>
      <c r="DE144" s="1157"/>
      <c r="DF144" s="1157"/>
      <c r="DG144" s="1157"/>
      <c r="DH144" s="1157"/>
      <c r="DI144" s="1157"/>
      <c r="DJ144" s="1157"/>
      <c r="DK144" s="1157"/>
      <c r="DL144" s="1157"/>
      <c r="DM144" s="1157"/>
      <c r="DN144" s="1157"/>
      <c r="DO144" s="1157"/>
      <c r="DP144" s="1157"/>
      <c r="DQ144" s="1157"/>
      <c r="DR144" s="1157"/>
      <c r="DS144" s="1157"/>
      <c r="DT144" s="1157"/>
      <c r="DU144" s="1157"/>
      <c r="DV144" s="1157"/>
      <c r="DW144" s="1157"/>
      <c r="DX144" s="1157"/>
      <c r="DY144" s="1157"/>
      <c r="DZ144" s="1157"/>
      <c r="EA144" s="1157"/>
      <c r="EB144" s="1157"/>
      <c r="EC144" s="1157"/>
      <c r="ED144" s="1157"/>
      <c r="EE144" s="1157"/>
      <c r="EF144" s="1157"/>
      <c r="EG144" s="1157"/>
      <c r="EH144" s="1157"/>
      <c r="EI144" s="1157"/>
      <c r="EJ144" s="1157"/>
      <c r="EK144" s="1157"/>
      <c r="EL144" s="1157"/>
      <c r="EM144" s="1157"/>
      <c r="EN144" s="1157"/>
      <c r="EO144" s="1157"/>
      <c r="EP144" s="1157"/>
      <c r="EQ144" s="1157"/>
      <c r="ER144" s="1157"/>
      <c r="ES144" s="1157"/>
      <c r="ET144" s="1157"/>
      <c r="EU144" s="1157"/>
      <c r="EV144" s="1157"/>
      <c r="EW144" s="1157"/>
      <c r="EX144" s="1157"/>
      <c r="EY144" s="1157"/>
      <c r="EZ144" s="1157"/>
      <c r="FA144" s="1157"/>
      <c r="FB144" s="1157"/>
      <c r="FC144" s="1157"/>
      <c r="FD144" s="1157"/>
      <c r="FE144" s="1157"/>
      <c r="FF144" s="1157"/>
      <c r="FG144" s="1157"/>
      <c r="FH144" s="1157"/>
      <c r="FI144" s="1157"/>
      <c r="FJ144" s="1157"/>
      <c r="FK144" s="1157"/>
      <c r="FL144" s="1157"/>
      <c r="FM144" s="1157"/>
      <c r="FN144" s="1157"/>
      <c r="FO144" s="1157"/>
      <c r="FP144" s="1157"/>
      <c r="FQ144" s="1157"/>
      <c r="FR144" s="1157"/>
      <c r="FS144" s="1157"/>
      <c r="FT144" s="1157"/>
      <c r="FU144" s="1157"/>
      <c r="FV144" s="1157"/>
      <c r="FW144" s="1157"/>
      <c r="FX144" s="1157"/>
      <c r="FY144" s="1157"/>
      <c r="FZ144" s="1157"/>
      <c r="GA144" s="1157"/>
      <c r="GB144" s="1157"/>
      <c r="GC144" s="1157"/>
      <c r="GD144" s="1157"/>
      <c r="GE144" s="1157"/>
      <c r="GF144" s="1157"/>
      <c r="GG144" s="1157"/>
    </row>
    <row r="145" spans="1:189" s="1158" customFormat="1" ht="30" customHeight="1">
      <c r="A145" s="1624" t="e">
        <f>+#REF!</f>
        <v>#REF!</v>
      </c>
      <c r="B145" s="1625" t="e">
        <f>+#REF!</f>
        <v>#REF!</v>
      </c>
      <c r="C145" s="1522" t="e">
        <f>#REF!</f>
        <v>#REF!</v>
      </c>
      <c r="D145" s="1520">
        <f>J145</f>
        <v>37.274999999999999</v>
      </c>
      <c r="E145" s="650" t="e">
        <f>#REF!</f>
        <v>#REF!</v>
      </c>
      <c r="F145" s="650" t="e">
        <f>+D145*E145</f>
        <v>#REF!</v>
      </c>
      <c r="H145" s="1155">
        <f>SUM(H136:H141)/50+5</f>
        <v>35.5</v>
      </c>
      <c r="I145" s="1156">
        <v>1.05</v>
      </c>
      <c r="J145" s="1155">
        <f>H145*I145</f>
        <v>37.274999999999999</v>
      </c>
      <c r="K145" s="1157"/>
      <c r="L145" s="1184" t="e">
        <f>+#REF!/#REF!*L144</f>
        <v>#REF!</v>
      </c>
      <c r="M145" s="1157"/>
      <c r="N145" s="1157"/>
      <c r="O145" s="1157"/>
      <c r="P145" s="1157"/>
      <c r="Q145" s="1157"/>
      <c r="R145" s="1157"/>
      <c r="S145" s="1157"/>
      <c r="T145" s="1157"/>
      <c r="U145" s="1157"/>
      <c r="V145" s="1157"/>
      <c r="W145" s="1157"/>
      <c r="X145" s="1157"/>
      <c r="Y145" s="1157"/>
      <c r="Z145" s="1157"/>
      <c r="AA145" s="1157"/>
      <c r="AB145" s="1157"/>
      <c r="AC145" s="1157"/>
      <c r="AD145" s="1157"/>
      <c r="AE145" s="1157"/>
      <c r="AF145" s="1157"/>
      <c r="AG145" s="1157"/>
      <c r="AH145" s="1157"/>
      <c r="AI145" s="1157"/>
      <c r="AJ145" s="1157"/>
      <c r="AK145" s="1157"/>
      <c r="AL145" s="1157"/>
      <c r="AM145" s="1157"/>
      <c r="AN145" s="1157"/>
      <c r="AO145" s="1157"/>
      <c r="AP145" s="1157"/>
      <c r="AQ145" s="1157"/>
      <c r="AR145" s="1157"/>
      <c r="AS145" s="1157"/>
      <c r="AT145" s="1157"/>
      <c r="AU145" s="1157"/>
      <c r="AV145" s="1157"/>
      <c r="AW145" s="1157"/>
      <c r="AX145" s="1157"/>
      <c r="AY145" s="1157"/>
      <c r="AZ145" s="1157"/>
      <c r="BA145" s="1157"/>
      <c r="BB145" s="1157"/>
      <c r="BC145" s="1157"/>
      <c r="BD145" s="1157"/>
      <c r="BE145" s="1157"/>
      <c r="BF145" s="1157"/>
      <c r="BG145" s="1157"/>
      <c r="BH145" s="1157"/>
      <c r="BI145" s="1157"/>
      <c r="BJ145" s="1157"/>
      <c r="BK145" s="1157"/>
      <c r="BL145" s="1157"/>
      <c r="BM145" s="1157"/>
      <c r="BN145" s="1157"/>
      <c r="BO145" s="1157"/>
      <c r="BP145" s="1157"/>
      <c r="BQ145" s="1157"/>
      <c r="BR145" s="1157"/>
      <c r="BS145" s="1157"/>
      <c r="BT145" s="1157"/>
      <c r="BU145" s="1157"/>
      <c r="BV145" s="1157"/>
      <c r="BW145" s="1157"/>
      <c r="BX145" s="1157"/>
      <c r="BY145" s="1157"/>
      <c r="BZ145" s="1157"/>
      <c r="CA145" s="1157"/>
      <c r="CB145" s="1157"/>
      <c r="CC145" s="1157"/>
      <c r="CD145" s="1157"/>
      <c r="CE145" s="1157"/>
      <c r="CF145" s="1157"/>
      <c r="CG145" s="1157"/>
      <c r="CH145" s="1157"/>
      <c r="CI145" s="1157"/>
      <c r="CJ145" s="1157"/>
      <c r="CK145" s="1157"/>
      <c r="CL145" s="1157"/>
      <c r="CM145" s="1157"/>
      <c r="CN145" s="1157"/>
      <c r="CO145" s="1157"/>
      <c r="CP145" s="1157"/>
      <c r="CQ145" s="1157"/>
      <c r="CR145" s="1157"/>
      <c r="CS145" s="1157"/>
      <c r="CT145" s="1157"/>
      <c r="CU145" s="1157"/>
      <c r="CV145" s="1157"/>
      <c r="CW145" s="1157"/>
      <c r="CX145" s="1157"/>
      <c r="CY145" s="1157"/>
      <c r="CZ145" s="1157"/>
      <c r="DA145" s="1157"/>
      <c r="DB145" s="1157"/>
      <c r="DC145" s="1157"/>
      <c r="DD145" s="1157"/>
      <c r="DE145" s="1157"/>
      <c r="DF145" s="1157"/>
      <c r="DG145" s="1157"/>
      <c r="DH145" s="1157"/>
      <c r="DI145" s="1157"/>
      <c r="DJ145" s="1157"/>
      <c r="DK145" s="1157"/>
      <c r="DL145" s="1157"/>
      <c r="DM145" s="1157"/>
      <c r="DN145" s="1157"/>
      <c r="DO145" s="1157"/>
      <c r="DP145" s="1157"/>
      <c r="DQ145" s="1157"/>
      <c r="DR145" s="1157"/>
      <c r="DS145" s="1157"/>
      <c r="DT145" s="1157"/>
      <c r="DU145" s="1157"/>
      <c r="DV145" s="1157"/>
      <c r="DW145" s="1157"/>
      <c r="DX145" s="1157"/>
      <c r="DY145" s="1157"/>
      <c r="DZ145" s="1157"/>
      <c r="EA145" s="1157"/>
      <c r="EB145" s="1157"/>
      <c r="EC145" s="1157"/>
      <c r="ED145" s="1157"/>
      <c r="EE145" s="1157"/>
      <c r="EF145" s="1157"/>
      <c r="EG145" s="1157"/>
      <c r="EH145" s="1157"/>
      <c r="EI145" s="1157"/>
      <c r="EJ145" s="1157"/>
      <c r="EK145" s="1157"/>
      <c r="EL145" s="1157"/>
      <c r="EM145" s="1157"/>
      <c r="EN145" s="1157"/>
      <c r="EO145" s="1157"/>
      <c r="EP145" s="1157"/>
      <c r="EQ145" s="1157"/>
      <c r="ER145" s="1157"/>
      <c r="ES145" s="1157"/>
      <c r="ET145" s="1157"/>
      <c r="EU145" s="1157"/>
      <c r="EV145" s="1157"/>
      <c r="EW145" s="1157"/>
      <c r="EX145" s="1157"/>
      <c r="EY145" s="1157"/>
      <c r="EZ145" s="1157"/>
      <c r="FA145" s="1157"/>
      <c r="FB145" s="1157"/>
      <c r="FC145" s="1157"/>
      <c r="FD145" s="1157"/>
      <c r="FE145" s="1157"/>
      <c r="FF145" s="1157"/>
      <c r="FG145" s="1157"/>
      <c r="FH145" s="1157"/>
      <c r="FI145" s="1157"/>
      <c r="FJ145" s="1157"/>
      <c r="FK145" s="1157"/>
      <c r="FL145" s="1157"/>
      <c r="FM145" s="1157"/>
      <c r="FN145" s="1157"/>
      <c r="FO145" s="1157"/>
      <c r="FP145" s="1157"/>
      <c r="FQ145" s="1157"/>
      <c r="FR145" s="1157"/>
      <c r="FS145" s="1157"/>
      <c r="FT145" s="1157"/>
      <c r="FU145" s="1157"/>
      <c r="FV145" s="1157"/>
      <c r="FW145" s="1157"/>
      <c r="FX145" s="1157"/>
      <c r="FY145" s="1157"/>
      <c r="FZ145" s="1157"/>
      <c r="GA145" s="1157"/>
      <c r="GB145" s="1157"/>
      <c r="GC145" s="1157"/>
      <c r="GD145" s="1157"/>
      <c r="GE145" s="1157"/>
      <c r="GF145" s="1157"/>
      <c r="GG145" s="1157"/>
    </row>
    <row r="146" spans="1:189" s="1158" customFormat="1">
      <c r="A146" s="1624" t="e">
        <f>+#REF!</f>
        <v>#REF!</v>
      </c>
      <c r="B146" s="1625" t="e">
        <f>+#REF!</f>
        <v>#REF!</v>
      </c>
      <c r="C146" s="1522" t="e">
        <f>#REF!</f>
        <v>#REF!</v>
      </c>
      <c r="D146" s="1520">
        <f>J146</f>
        <v>154.38528000000002</v>
      </c>
      <c r="E146" s="650" t="e">
        <f>#REF!</f>
        <v>#REF!</v>
      </c>
      <c r="F146" s="650" t="e">
        <f>+D146*E146</f>
        <v>#REF!</v>
      </c>
      <c r="H146" s="1155">
        <f>SUM(J130:J134)/12.5</f>
        <v>147.03360000000001</v>
      </c>
      <c r="I146" s="1156">
        <v>1.05</v>
      </c>
      <c r="J146" s="1155">
        <f>H146*I146</f>
        <v>154.38528000000002</v>
      </c>
      <c r="K146" s="1157"/>
      <c r="L146" s="1157"/>
      <c r="M146" s="1157"/>
      <c r="N146" s="1157"/>
      <c r="O146" s="1157"/>
      <c r="P146" s="1157"/>
      <c r="Q146" s="1157"/>
      <c r="R146" s="1157"/>
      <c r="S146" s="1157"/>
      <c r="T146" s="1157"/>
      <c r="U146" s="1157"/>
      <c r="V146" s="1157"/>
      <c r="W146" s="1157"/>
      <c r="X146" s="1157"/>
      <c r="Y146" s="1157"/>
      <c r="Z146" s="1157"/>
      <c r="AA146" s="1157"/>
      <c r="AB146" s="1157"/>
      <c r="AC146" s="1157"/>
      <c r="AD146" s="1157"/>
      <c r="AE146" s="1157"/>
      <c r="AF146" s="1157"/>
      <c r="AG146" s="1157"/>
      <c r="AH146" s="1157"/>
      <c r="AI146" s="1157"/>
      <c r="AJ146" s="1157"/>
      <c r="AK146" s="1157"/>
      <c r="AL146" s="1157"/>
      <c r="AM146" s="1157"/>
      <c r="AN146" s="1157"/>
      <c r="AO146" s="1157"/>
      <c r="AP146" s="1157"/>
      <c r="AQ146" s="1157"/>
      <c r="AR146" s="1157"/>
      <c r="AS146" s="1157"/>
      <c r="AT146" s="1157"/>
      <c r="AU146" s="1157"/>
      <c r="AV146" s="1157"/>
      <c r="AW146" s="1157"/>
      <c r="AX146" s="1157"/>
      <c r="AY146" s="1157"/>
      <c r="AZ146" s="1157"/>
      <c r="BA146" s="1157"/>
      <c r="BB146" s="1157"/>
      <c r="BC146" s="1157"/>
      <c r="BD146" s="1157"/>
      <c r="BE146" s="1157"/>
      <c r="BF146" s="1157"/>
      <c r="BG146" s="1157"/>
      <c r="BH146" s="1157"/>
      <c r="BI146" s="1157"/>
      <c r="BJ146" s="1157"/>
      <c r="BK146" s="1157"/>
      <c r="BL146" s="1157"/>
      <c r="BM146" s="1157"/>
      <c r="BN146" s="1157"/>
      <c r="BO146" s="1157"/>
      <c r="BP146" s="1157"/>
      <c r="BQ146" s="1157"/>
      <c r="BR146" s="1157"/>
      <c r="BS146" s="1157"/>
      <c r="BT146" s="1157"/>
      <c r="BU146" s="1157"/>
      <c r="BV146" s="1157"/>
      <c r="BW146" s="1157"/>
      <c r="BX146" s="1157"/>
      <c r="BY146" s="1157"/>
      <c r="BZ146" s="1157"/>
      <c r="CA146" s="1157"/>
      <c r="CB146" s="1157"/>
      <c r="CC146" s="1157"/>
      <c r="CD146" s="1157"/>
      <c r="CE146" s="1157"/>
      <c r="CF146" s="1157"/>
      <c r="CG146" s="1157"/>
      <c r="CH146" s="1157"/>
      <c r="CI146" s="1157"/>
      <c r="CJ146" s="1157"/>
      <c r="CK146" s="1157"/>
      <c r="CL146" s="1157"/>
      <c r="CM146" s="1157"/>
      <c r="CN146" s="1157"/>
      <c r="CO146" s="1157"/>
      <c r="CP146" s="1157"/>
      <c r="CQ146" s="1157"/>
      <c r="CR146" s="1157"/>
      <c r="CS146" s="1157"/>
      <c r="CT146" s="1157"/>
      <c r="CU146" s="1157"/>
      <c r="CV146" s="1157"/>
      <c r="CW146" s="1157"/>
      <c r="CX146" s="1157"/>
      <c r="CY146" s="1157"/>
      <c r="CZ146" s="1157"/>
      <c r="DA146" s="1157"/>
      <c r="DB146" s="1157"/>
      <c r="DC146" s="1157"/>
      <c r="DD146" s="1157"/>
      <c r="DE146" s="1157"/>
      <c r="DF146" s="1157"/>
      <c r="DG146" s="1157"/>
      <c r="DH146" s="1157"/>
      <c r="DI146" s="1157"/>
      <c r="DJ146" s="1157"/>
      <c r="DK146" s="1157"/>
      <c r="DL146" s="1157"/>
      <c r="DM146" s="1157"/>
      <c r="DN146" s="1157"/>
      <c r="DO146" s="1157"/>
      <c r="DP146" s="1157"/>
      <c r="DQ146" s="1157"/>
      <c r="DR146" s="1157"/>
      <c r="DS146" s="1157"/>
      <c r="DT146" s="1157"/>
      <c r="DU146" s="1157"/>
      <c r="DV146" s="1157"/>
      <c r="DW146" s="1157"/>
      <c r="DX146" s="1157"/>
      <c r="DY146" s="1157"/>
      <c r="DZ146" s="1157"/>
      <c r="EA146" s="1157"/>
      <c r="EB146" s="1157"/>
      <c r="EC146" s="1157"/>
      <c r="ED146" s="1157"/>
      <c r="EE146" s="1157"/>
      <c r="EF146" s="1157"/>
      <c r="EG146" s="1157"/>
      <c r="EH146" s="1157"/>
      <c r="EI146" s="1157"/>
      <c r="EJ146" s="1157"/>
      <c r="EK146" s="1157"/>
      <c r="EL146" s="1157"/>
      <c r="EM146" s="1157"/>
      <c r="EN146" s="1157"/>
      <c r="EO146" s="1157"/>
      <c r="EP146" s="1157"/>
      <c r="EQ146" s="1157"/>
      <c r="ER146" s="1157"/>
      <c r="ES146" s="1157"/>
      <c r="ET146" s="1157"/>
      <c r="EU146" s="1157"/>
      <c r="EV146" s="1157"/>
      <c r="EW146" s="1157"/>
      <c r="EX146" s="1157"/>
      <c r="EY146" s="1157"/>
      <c r="EZ146" s="1157"/>
      <c r="FA146" s="1157"/>
      <c r="FB146" s="1157"/>
      <c r="FC146" s="1157"/>
      <c r="FD146" s="1157"/>
      <c r="FE146" s="1157"/>
      <c r="FF146" s="1157"/>
      <c r="FG146" s="1157"/>
      <c r="FH146" s="1157"/>
      <c r="FI146" s="1157"/>
      <c r="FJ146" s="1157"/>
      <c r="FK146" s="1157"/>
      <c r="FL146" s="1157"/>
      <c r="FM146" s="1157"/>
      <c r="FN146" s="1157"/>
      <c r="FO146" s="1157"/>
      <c r="FP146" s="1157"/>
      <c r="FQ146" s="1157"/>
      <c r="FR146" s="1157"/>
      <c r="FS146" s="1157"/>
      <c r="FT146" s="1157"/>
      <c r="FU146" s="1157"/>
      <c r="FV146" s="1157"/>
      <c r="FW146" s="1157"/>
      <c r="FX146" s="1157"/>
      <c r="FY146" s="1157"/>
      <c r="FZ146" s="1157"/>
      <c r="GA146" s="1157"/>
      <c r="GB146" s="1157"/>
      <c r="GC146" s="1157"/>
      <c r="GD146" s="1157"/>
      <c r="GE146" s="1157"/>
      <c r="GF146" s="1157"/>
      <c r="GG146" s="1157"/>
    </row>
    <row r="147" spans="1:189" s="1158" customFormat="1">
      <c r="A147" s="1615" t="e">
        <f>+#REF!</f>
        <v>#REF!</v>
      </c>
      <c r="B147" s="1626" t="e">
        <f>+#REF!</f>
        <v>#REF!</v>
      </c>
      <c r="C147" s="1523" t="e">
        <f>#REF!</f>
        <v>#REF!</v>
      </c>
      <c r="D147" s="1521">
        <v>1</v>
      </c>
      <c r="E147" s="547" t="e">
        <f>+#REF!</f>
        <v>#REF!</v>
      </c>
      <c r="F147" s="547" t="e">
        <f>+D147*E147</f>
        <v>#REF!</v>
      </c>
      <c r="H147" s="1155"/>
      <c r="I147" s="1156"/>
      <c r="J147" s="1155"/>
      <c r="K147" s="1157"/>
      <c r="L147" s="1157"/>
      <c r="M147" s="1157"/>
      <c r="N147" s="1157"/>
      <c r="O147" s="1157"/>
      <c r="P147" s="1157"/>
      <c r="Q147" s="1157"/>
      <c r="R147" s="1157"/>
      <c r="S147" s="1157"/>
      <c r="T147" s="1157"/>
      <c r="U147" s="1157"/>
      <c r="V147" s="1157"/>
      <c r="W147" s="1157"/>
      <c r="X147" s="1157"/>
      <c r="Y147" s="1157"/>
      <c r="Z147" s="1157"/>
      <c r="AA147" s="1157"/>
      <c r="AB147" s="1157"/>
      <c r="AC147" s="1157"/>
      <c r="AD147" s="1157"/>
      <c r="AE147" s="1157"/>
      <c r="AF147" s="1157"/>
      <c r="AG147" s="1157"/>
      <c r="AH147" s="1157"/>
      <c r="AI147" s="1157"/>
      <c r="AJ147" s="1157"/>
      <c r="AK147" s="1157"/>
      <c r="AL147" s="1157"/>
      <c r="AM147" s="1157"/>
      <c r="AN147" s="1157"/>
      <c r="AO147" s="1157"/>
      <c r="AP147" s="1157"/>
      <c r="AQ147" s="1157"/>
      <c r="AR147" s="1157"/>
      <c r="AS147" s="1157"/>
      <c r="AT147" s="1157"/>
      <c r="AU147" s="1157"/>
      <c r="AV147" s="1157"/>
      <c r="AW147" s="1157"/>
      <c r="AX147" s="1157"/>
      <c r="AY147" s="1157"/>
      <c r="AZ147" s="1157"/>
      <c r="BA147" s="1157"/>
      <c r="BB147" s="1157"/>
      <c r="BC147" s="1157"/>
      <c r="BD147" s="1157"/>
      <c r="BE147" s="1157"/>
      <c r="BF147" s="1157"/>
      <c r="BG147" s="1157"/>
      <c r="BH147" s="1157"/>
      <c r="BI147" s="1157"/>
      <c r="BJ147" s="1157"/>
      <c r="BK147" s="1157"/>
      <c r="BL147" s="1157"/>
      <c r="BM147" s="1157"/>
      <c r="BN147" s="1157"/>
      <c r="BO147" s="1157"/>
      <c r="BP147" s="1157"/>
      <c r="BQ147" s="1157"/>
      <c r="BR147" s="1157"/>
      <c r="BS147" s="1157"/>
      <c r="BT147" s="1157"/>
      <c r="BU147" s="1157"/>
      <c r="BV147" s="1157"/>
      <c r="BW147" s="1157"/>
      <c r="BX147" s="1157"/>
      <c r="BY147" s="1157"/>
      <c r="BZ147" s="1157"/>
      <c r="CA147" s="1157"/>
      <c r="CB147" s="1157"/>
      <c r="CC147" s="1157"/>
      <c r="CD147" s="1157"/>
      <c r="CE147" s="1157"/>
      <c r="CF147" s="1157"/>
      <c r="CG147" s="1157"/>
      <c r="CH147" s="1157"/>
      <c r="CI147" s="1157"/>
      <c r="CJ147" s="1157"/>
      <c r="CK147" s="1157"/>
      <c r="CL147" s="1157"/>
      <c r="CM147" s="1157"/>
      <c r="CN147" s="1157"/>
      <c r="CO147" s="1157"/>
      <c r="CP147" s="1157"/>
      <c r="CQ147" s="1157"/>
      <c r="CR147" s="1157"/>
      <c r="CS147" s="1157"/>
      <c r="CT147" s="1157"/>
      <c r="CU147" s="1157"/>
      <c r="CV147" s="1157"/>
      <c r="CW147" s="1157"/>
      <c r="CX147" s="1157"/>
      <c r="CY147" s="1157"/>
      <c r="CZ147" s="1157"/>
      <c r="DA147" s="1157"/>
      <c r="DB147" s="1157"/>
      <c r="DC147" s="1157"/>
      <c r="DD147" s="1157"/>
      <c r="DE147" s="1157"/>
      <c r="DF147" s="1157"/>
      <c r="DG147" s="1157"/>
      <c r="DH147" s="1157"/>
      <c r="DI147" s="1157"/>
      <c r="DJ147" s="1157"/>
      <c r="DK147" s="1157"/>
      <c r="DL147" s="1157"/>
      <c r="DM147" s="1157"/>
      <c r="DN147" s="1157"/>
      <c r="DO147" s="1157"/>
      <c r="DP147" s="1157"/>
      <c r="DQ147" s="1157"/>
      <c r="DR147" s="1157"/>
      <c r="DS147" s="1157"/>
      <c r="DT147" s="1157"/>
      <c r="DU147" s="1157"/>
      <c r="DV147" s="1157"/>
      <c r="DW147" s="1157"/>
      <c r="DX147" s="1157"/>
      <c r="DY147" s="1157"/>
      <c r="DZ147" s="1157"/>
      <c r="EA147" s="1157"/>
      <c r="EB147" s="1157"/>
      <c r="EC147" s="1157"/>
      <c r="ED147" s="1157"/>
      <c r="EE147" s="1157"/>
      <c r="EF147" s="1157"/>
      <c r="EG147" s="1157"/>
      <c r="EH147" s="1157"/>
      <c r="EI147" s="1157"/>
      <c r="EJ147" s="1157"/>
      <c r="EK147" s="1157"/>
      <c r="EL147" s="1157"/>
      <c r="EM147" s="1157"/>
      <c r="EN147" s="1157"/>
      <c r="EO147" s="1157"/>
      <c r="EP147" s="1157"/>
      <c r="EQ147" s="1157"/>
      <c r="ER147" s="1157"/>
      <c r="ES147" s="1157"/>
      <c r="ET147" s="1157"/>
      <c r="EU147" s="1157"/>
      <c r="EV147" s="1157"/>
      <c r="EW147" s="1157"/>
      <c r="EX147" s="1157"/>
      <c r="EY147" s="1157"/>
      <c r="EZ147" s="1157"/>
      <c r="FA147" s="1157"/>
      <c r="FB147" s="1157"/>
      <c r="FC147" s="1157"/>
      <c r="FD147" s="1157"/>
      <c r="FE147" s="1157"/>
      <c r="FF147" s="1157"/>
      <c r="FG147" s="1157"/>
      <c r="FH147" s="1157"/>
      <c r="FI147" s="1157"/>
      <c r="FJ147" s="1157"/>
      <c r="FK147" s="1157"/>
      <c r="FL147" s="1157"/>
      <c r="FM147" s="1157"/>
      <c r="FN147" s="1157"/>
      <c r="FO147" s="1157"/>
      <c r="FP147" s="1157"/>
      <c r="FQ147" s="1157"/>
      <c r="FR147" s="1157"/>
      <c r="FS147" s="1157"/>
      <c r="FT147" s="1157"/>
      <c r="FU147" s="1157"/>
      <c r="FV147" s="1157"/>
      <c r="FW147" s="1157"/>
      <c r="FX147" s="1157"/>
      <c r="FY147" s="1157"/>
      <c r="FZ147" s="1157"/>
      <c r="GA147" s="1157"/>
      <c r="GB147" s="1157"/>
      <c r="GC147" s="1157"/>
      <c r="GD147" s="1157"/>
      <c r="GE147" s="1157"/>
      <c r="GF147" s="1157"/>
      <c r="GG147" s="1157"/>
    </row>
    <row r="148" spans="1:189" s="1146" customFormat="1" ht="18.75">
      <c r="A148" s="1512"/>
      <c r="B148" s="239"/>
      <c r="C148" s="1608"/>
      <c r="D148" s="636"/>
      <c r="E148" s="1609" t="s">
        <v>113</v>
      </c>
      <c r="F148" s="1122" t="e">
        <f>SUM(F109:F147)</f>
        <v>#REF!</v>
      </c>
      <c r="G148" s="44"/>
      <c r="H148" s="1144"/>
      <c r="I148" s="1145"/>
      <c r="J148" s="1144"/>
    </row>
    <row r="149" spans="1:189" s="1146" customFormat="1" ht="20.100000000000001" customHeight="1">
      <c r="A149" s="1630"/>
      <c r="B149" s="239"/>
      <c r="C149" s="1069"/>
      <c r="D149" s="1114"/>
      <c r="E149" s="1633"/>
      <c r="F149" s="1632"/>
      <c r="G149" s="44"/>
      <c r="H149" s="1144"/>
      <c r="I149" s="1145"/>
      <c r="J149" s="1144"/>
    </row>
    <row r="150" spans="1:189" s="1152" customFormat="1" ht="24.95" customHeight="1">
      <c r="A150" s="1905" t="e">
        <f>+#REF!</f>
        <v>#REF!</v>
      </c>
      <c r="B150" s="1906"/>
      <c r="C150" s="1906"/>
      <c r="D150" s="1906"/>
      <c r="E150" s="1906"/>
      <c r="F150" s="1907"/>
      <c r="G150" s="1149"/>
      <c r="H150" s="1150"/>
      <c r="I150" s="1151"/>
      <c r="J150" s="1150"/>
    </row>
    <row r="151" spans="1:189" s="1146" customFormat="1">
      <c r="A151" s="1449" t="e">
        <f>+#REF!</f>
        <v>#REF!</v>
      </c>
      <c r="B151" s="1614" t="e">
        <f>+#REF!</f>
        <v>#REF!</v>
      </c>
      <c r="C151" s="1475"/>
      <c r="D151" s="210"/>
      <c r="E151" s="161"/>
      <c r="F151" s="204"/>
      <c r="G151" s="44"/>
      <c r="H151" s="1144"/>
      <c r="I151" s="1145"/>
      <c r="J151" s="1144"/>
    </row>
    <row r="152" spans="1:189" s="1146" customFormat="1">
      <c r="A152" s="956" t="e">
        <f>+#REF!</f>
        <v>#REF!</v>
      </c>
      <c r="B152" s="230" t="e">
        <f>+#REF!</f>
        <v>#REF!</v>
      </c>
      <c r="C152" s="235" t="e">
        <f>#REF!</f>
        <v>#REF!</v>
      </c>
      <c r="D152" s="235">
        <f>J152</f>
        <v>56</v>
      </c>
      <c r="E152" s="140" t="e">
        <f>#REF!</f>
        <v>#REF!</v>
      </c>
      <c r="F152" s="314" t="e">
        <f>+D152*E152</f>
        <v>#REF!</v>
      </c>
      <c r="G152" s="44"/>
      <c r="H152" s="1144">
        <f>SUM(F13:F17)/25</f>
        <v>50.8</v>
      </c>
      <c r="I152" s="1145">
        <v>1.1000000000000001</v>
      </c>
      <c r="J152" s="1144">
        <f>ROUND(H152*I152,0)</f>
        <v>56</v>
      </c>
    </row>
    <row r="153" spans="1:189" s="176" customFormat="1">
      <c r="A153" s="765" t="e">
        <f>+#REF!</f>
        <v>#REF!</v>
      </c>
      <c r="B153" s="766" t="e">
        <f>+#REF!</f>
        <v>#REF!</v>
      </c>
      <c r="C153" s="1135" t="e">
        <f>#REF!</f>
        <v>#REF!</v>
      </c>
      <c r="D153" s="185">
        <f>+J153</f>
        <v>0</v>
      </c>
      <c r="E153" s="185" t="e">
        <f>+#REF!</f>
        <v>#REF!</v>
      </c>
      <c r="F153" s="208" t="e">
        <f>+D153*E153</f>
        <v>#REF!</v>
      </c>
      <c r="H153" s="1189">
        <f>+F8</f>
        <v>0</v>
      </c>
      <c r="I153" s="1190">
        <v>1.5</v>
      </c>
      <c r="J153" s="1189">
        <f>+H153*I153</f>
        <v>0</v>
      </c>
    </row>
    <row r="154" spans="1:189" s="176" customFormat="1">
      <c r="A154" s="1449" t="e">
        <f>+#REF!</f>
        <v>#REF!</v>
      </c>
      <c r="B154" s="1614" t="e">
        <f>+#REF!</f>
        <v>#REF!</v>
      </c>
      <c r="C154" s="1475"/>
      <c r="D154" s="210"/>
      <c r="E154" s="161"/>
      <c r="F154" s="204"/>
      <c r="H154" s="1189"/>
      <c r="I154" s="1190"/>
      <c r="J154" s="1189"/>
    </row>
    <row r="155" spans="1:189" s="176" customFormat="1">
      <c r="A155" s="956" t="e">
        <f>+#REF!</f>
        <v>#REF!</v>
      </c>
      <c r="B155" s="230" t="e">
        <f>+#REF!</f>
        <v>#REF!</v>
      </c>
      <c r="C155" s="235" t="e">
        <f>#REF!</f>
        <v>#REF!</v>
      </c>
      <c r="D155" s="235">
        <f>+(45-30)</f>
        <v>15</v>
      </c>
      <c r="E155" s="140" t="e">
        <f>#REF!</f>
        <v>#REF!</v>
      </c>
      <c r="F155" s="314" t="e">
        <f>+D155*E155</f>
        <v>#REF!</v>
      </c>
      <c r="H155" s="1189"/>
      <c r="I155" s="1190"/>
      <c r="J155" s="1189"/>
    </row>
    <row r="156" spans="1:189" s="176" customFormat="1">
      <c r="A156" s="785" t="e">
        <f>+#REF!</f>
        <v>#REF!</v>
      </c>
      <c r="B156" s="786" t="e">
        <f>+#REF!</f>
        <v>#REF!</v>
      </c>
      <c r="C156" s="235" t="e">
        <f>#REF!</f>
        <v>#REF!</v>
      </c>
      <c r="D156" s="140">
        <f>4*0</f>
        <v>0</v>
      </c>
      <c r="E156" s="140" t="e">
        <f>#REF!</f>
        <v>#REF!</v>
      </c>
      <c r="F156" s="314" t="e">
        <f>+D156*E156</f>
        <v>#REF!</v>
      </c>
      <c r="H156" s="1189"/>
      <c r="I156" s="1190"/>
      <c r="J156" s="1189"/>
    </row>
    <row r="157" spans="1:189">
      <c r="A157" s="1449" t="e">
        <f>+#REF!</f>
        <v>#REF!</v>
      </c>
      <c r="B157" s="1614" t="e">
        <f>+#REF!</f>
        <v>#REF!</v>
      </c>
      <c r="C157" s="161"/>
      <c r="D157" s="161"/>
      <c r="E157" s="161"/>
      <c r="F157" s="161"/>
    </row>
    <row r="158" spans="1:189">
      <c r="A158" s="1627"/>
      <c r="B158" s="184"/>
      <c r="C158" s="1552" t="e">
        <f>#REF!</f>
        <v>#REF!</v>
      </c>
      <c r="D158" s="185">
        <f>J158</f>
        <v>5891</v>
      </c>
      <c r="E158" s="185" t="e">
        <f>#REF!</f>
        <v>#REF!</v>
      </c>
      <c r="F158" s="185" t="e">
        <f>+D158*E158</f>
        <v>#REF!</v>
      </c>
      <c r="H158" s="1144">
        <f>2115+ (2*5+4*2)*3*60</f>
        <v>5355</v>
      </c>
      <c r="I158" s="1145">
        <v>1.1000000000000001</v>
      </c>
      <c r="J158" s="1144">
        <f>ROUND(H158*I158,0)</f>
        <v>5891</v>
      </c>
    </row>
    <row r="159" spans="1:189">
      <c r="A159" s="1449" t="e">
        <f>+#REF!</f>
        <v>#REF!</v>
      </c>
      <c r="B159" s="1614" t="e">
        <f>+#REF!</f>
        <v>#REF!</v>
      </c>
      <c r="C159" s="1475"/>
      <c r="D159" s="161"/>
      <c r="E159" s="161"/>
      <c r="F159" s="161"/>
    </row>
    <row r="160" spans="1:189">
      <c r="A160" s="1627"/>
      <c r="B160" s="184"/>
      <c r="C160" s="1552" t="e">
        <f>#REF!</f>
        <v>#REF!</v>
      </c>
      <c r="D160" s="185">
        <f>+J160</f>
        <v>501.6</v>
      </c>
      <c r="E160" s="185" t="e">
        <f>#REF!</f>
        <v>#REF!</v>
      </c>
      <c r="F160" s="185" t="e">
        <f>+D160*E160</f>
        <v>#REF!</v>
      </c>
      <c r="H160" s="1144">
        <f>0.2*20*(20+10)*2+0.2*18*60</f>
        <v>456</v>
      </c>
      <c r="I160" s="1145">
        <v>1.1000000000000001</v>
      </c>
      <c r="J160" s="1144">
        <f>+H160*I160</f>
        <v>501.6</v>
      </c>
    </row>
    <row r="161" spans="1:48" ht="30" customHeight="1">
      <c r="A161" s="1449" t="e">
        <f>+#REF!</f>
        <v>#REF!</v>
      </c>
      <c r="B161" s="1614" t="e">
        <f>+#REF!</f>
        <v>#REF!</v>
      </c>
      <c r="C161" s="1475"/>
      <c r="D161" s="161"/>
      <c r="E161" s="161"/>
      <c r="F161" s="161"/>
      <c r="K161" s="1146">
        <f>10*7*2</f>
        <v>140</v>
      </c>
    </row>
    <row r="162" spans="1:48">
      <c r="A162" s="1627"/>
      <c r="B162" s="184"/>
      <c r="C162" s="1552" t="e">
        <f>#REF!</f>
        <v>#REF!</v>
      </c>
      <c r="D162" s="185">
        <v>1</v>
      </c>
      <c r="E162" s="185" t="e">
        <f>#REF!</f>
        <v>#REF!</v>
      </c>
      <c r="F162" s="185" t="e">
        <f>+D162*E162</f>
        <v>#REF!</v>
      </c>
    </row>
    <row r="163" spans="1:48" s="1146" customFormat="1" ht="18.75">
      <c r="A163" s="1113"/>
      <c r="B163" s="926"/>
      <c r="C163" s="1608"/>
      <c r="D163" s="636"/>
      <c r="E163" s="1609" t="s">
        <v>112</v>
      </c>
      <c r="F163" s="1122" t="e">
        <f>SUM(F151:F162)</f>
        <v>#REF!</v>
      </c>
      <c r="G163" s="44"/>
      <c r="H163" s="1144"/>
      <c r="I163" s="1145"/>
      <c r="J163" s="1144"/>
    </row>
    <row r="164" spans="1:48" s="1146" customFormat="1" ht="12" customHeight="1">
      <c r="A164" s="1113"/>
      <c r="B164" s="926"/>
      <c r="C164" s="1069"/>
      <c r="D164" s="1114"/>
      <c r="E164" s="1070"/>
      <c r="F164" s="1070"/>
      <c r="G164" s="44"/>
      <c r="H164" s="1144"/>
      <c r="I164" s="1145"/>
      <c r="J164" s="1144"/>
    </row>
    <row r="165" spans="1:48" s="1146" customFormat="1" ht="24.95" customHeight="1">
      <c r="A165" s="1113"/>
      <c r="B165" s="926"/>
      <c r="C165" s="1608"/>
      <c r="D165" s="636"/>
      <c r="E165" s="1609" t="s">
        <v>733</v>
      </c>
      <c r="F165" s="1122" t="e">
        <f>+F65+F76+F106+F148+F163</f>
        <v>#REF!</v>
      </c>
      <c r="G165" s="44"/>
      <c r="H165" s="1144"/>
      <c r="I165" s="1145"/>
      <c r="J165" s="1144"/>
    </row>
    <row r="166" spans="1:48">
      <c r="A166" s="1113"/>
      <c r="B166" s="926"/>
      <c r="C166" s="1069"/>
      <c r="D166" s="1069"/>
      <c r="E166" s="1069"/>
      <c r="F166" s="1069"/>
    </row>
    <row r="167" spans="1:48" s="1146" customFormat="1" ht="24.95" customHeight="1">
      <c r="A167" s="1113"/>
      <c r="B167" s="926"/>
      <c r="C167" s="1608"/>
      <c r="D167" s="636"/>
      <c r="E167" s="1609" t="s">
        <v>419</v>
      </c>
      <c r="F167" s="1122" t="e">
        <f>F165+F41</f>
        <v>#REF!</v>
      </c>
      <c r="G167" s="1193" t="e">
        <f>+F167-F39</f>
        <v>#REF!</v>
      </c>
      <c r="H167" s="1144"/>
      <c r="I167" s="1145"/>
      <c r="J167" s="1144"/>
    </row>
    <row r="170" spans="1:48">
      <c r="F170" s="1195">
        <v>10307446212.858688</v>
      </c>
      <c r="G170" s="1196">
        <v>6491945265.0130939</v>
      </c>
    </row>
    <row r="172" spans="1:48" s="1146" customFormat="1">
      <c r="A172" s="1194"/>
      <c r="B172" s="176"/>
      <c r="C172" s="176"/>
      <c r="D172" s="176"/>
      <c r="E172" s="176"/>
      <c r="F172" s="176"/>
      <c r="G172" s="44"/>
      <c r="H172" s="1144"/>
      <c r="I172" s="1145"/>
      <c r="J172" s="1144">
        <f>18500*17</f>
        <v>314500</v>
      </c>
    </row>
    <row r="176" spans="1:48" s="1146" customFormat="1">
      <c r="A176" s="1194"/>
      <c r="B176" s="176"/>
      <c r="C176" s="176"/>
      <c r="D176" s="176"/>
      <c r="E176" s="176"/>
      <c r="F176" s="176"/>
      <c r="G176" s="44"/>
      <c r="H176" s="1144"/>
      <c r="I176" s="1145"/>
      <c r="J176" s="1144"/>
      <c r="AV176" s="1146">
        <v>46200</v>
      </c>
    </row>
    <row r="177" spans="1:10" s="1146" customFormat="1" ht="15.75">
      <c r="A177" s="1105"/>
      <c r="B177" s="176"/>
      <c r="C177" s="176"/>
      <c r="D177" s="908"/>
      <c r="E177" s="908"/>
      <c r="F177" s="1197"/>
      <c r="G177" s="44"/>
      <c r="H177" s="1144"/>
      <c r="I177" s="1145"/>
      <c r="J177" s="1144"/>
    </row>
    <row r="178" spans="1:10" s="1146" customFormat="1" ht="26.25">
      <c r="A178" s="1194"/>
      <c r="B178" s="1925"/>
      <c r="C178" s="1925"/>
      <c r="D178" s="1925"/>
      <c r="E178" s="1925"/>
      <c r="F178" s="1925"/>
      <c r="G178" s="44"/>
      <c r="H178" s="1144"/>
      <c r="I178" s="1145"/>
      <c r="J178" s="1144"/>
    </row>
    <row r="191" spans="1:10">
      <c r="E191" s="176">
        <f>18500*17</f>
        <v>314500</v>
      </c>
    </row>
  </sheetData>
  <mergeCells count="10">
    <mergeCell ref="B178:F178"/>
    <mergeCell ref="A1:F1"/>
    <mergeCell ref="A2:F2"/>
    <mergeCell ref="A19:F19"/>
    <mergeCell ref="A26:F26"/>
    <mergeCell ref="A43:F43"/>
    <mergeCell ref="A67:F67"/>
    <mergeCell ref="A78:F78"/>
    <mergeCell ref="A108:F108"/>
    <mergeCell ref="A150:F150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  <rowBreaks count="1" manualBreakCount="1">
    <brk id="76" max="6" man="1"/>
  </rowBreaks>
  <colBreaks count="1" manualBreakCount="1">
    <brk id="6" max="1048575" man="1"/>
  </colBreaks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theme="1" tint="4.9989318521683403E-2"/>
  </sheetPr>
  <dimension ref="A1:GG169"/>
  <sheetViews>
    <sheetView topLeftCell="A36" workbookViewId="0">
      <selection activeCell="F170" sqref="F170"/>
    </sheetView>
  </sheetViews>
  <sheetFormatPr baseColWidth="10" defaultColWidth="9.140625" defaultRowHeight="15"/>
  <cols>
    <col min="1" max="1" width="14" style="1103" customWidth="1"/>
    <col min="2" max="2" width="72.7109375" style="114" customWidth="1"/>
    <col min="3" max="3" width="10" style="114" customWidth="1"/>
    <col min="4" max="4" width="13.7109375" style="114" customWidth="1"/>
    <col min="5" max="5" width="31.7109375" style="114" customWidth="1"/>
    <col min="6" max="6" width="18.140625" style="142" customWidth="1"/>
    <col min="7" max="7" width="16" style="255" bestFit="1" customWidth="1"/>
    <col min="8" max="8" width="15" style="262" bestFit="1" customWidth="1"/>
    <col min="9" max="9" width="16" style="255" bestFit="1" customWidth="1"/>
    <col min="10" max="10" width="21.42578125" style="129" bestFit="1" customWidth="1"/>
    <col min="11" max="11" width="18.85546875" style="129" customWidth="1"/>
    <col min="12" max="188" width="9.140625" style="129"/>
    <col min="189" max="16384" width="9.140625" style="142"/>
  </cols>
  <sheetData>
    <row r="1" spans="1:10" ht="19.5">
      <c r="A1" s="1939" t="s">
        <v>674</v>
      </c>
      <c r="B1" s="1940"/>
      <c r="C1" s="1940"/>
      <c r="D1" s="1940"/>
      <c r="E1" s="1941"/>
    </row>
    <row r="2" spans="1:10" ht="21.95" customHeight="1" thickBot="1">
      <c r="A2" s="1942" t="s">
        <v>667</v>
      </c>
      <c r="B2" s="1943"/>
      <c r="C2" s="1943"/>
      <c r="D2" s="1943"/>
      <c r="E2" s="1944"/>
      <c r="F2" s="119"/>
    </row>
    <row r="3" spans="1:10" s="129" customFormat="1" ht="17.100000000000001" hidden="1" customHeight="1">
      <c r="A3" s="1068"/>
      <c r="B3" s="1069"/>
      <c r="C3" s="1069"/>
      <c r="D3" s="1071" t="s">
        <v>344</v>
      </c>
      <c r="E3" s="966"/>
      <c r="F3" s="142"/>
      <c r="G3" s="255"/>
      <c r="H3" s="262"/>
      <c r="I3" s="255"/>
    </row>
    <row r="4" spans="1:10" s="129" customFormat="1" ht="17.100000000000001" hidden="1" customHeight="1">
      <c r="A4" s="1068"/>
      <c r="B4" s="1069"/>
      <c r="C4" s="1069"/>
      <c r="D4" s="1071" t="s">
        <v>362</v>
      </c>
      <c r="E4" s="966">
        <f>(940-710)*0</f>
        <v>0</v>
      </c>
      <c r="F4" s="142"/>
      <c r="G4" s="255"/>
      <c r="H4" s="262"/>
      <c r="I4" s="255"/>
    </row>
    <row r="5" spans="1:10" s="129" customFormat="1" ht="17.100000000000001" hidden="1" customHeight="1">
      <c r="A5" s="1068"/>
      <c r="B5" s="1069"/>
      <c r="C5" s="1069"/>
      <c r="D5" s="1071" t="s">
        <v>349</v>
      </c>
      <c r="E5" s="966">
        <f>(925-700+(403)*2 +950*1.2)*0</f>
        <v>0</v>
      </c>
      <c r="F5" s="142"/>
      <c r="G5" s="255"/>
      <c r="H5" s="262"/>
      <c r="I5" s="255"/>
    </row>
    <row r="6" spans="1:10" s="129" customFormat="1" ht="15.95" customHeight="1">
      <c r="A6" s="1068"/>
      <c r="B6" s="1069"/>
      <c r="C6" s="1069"/>
      <c r="D6" s="1071" t="s">
        <v>345</v>
      </c>
      <c r="E6" s="966">
        <f>(1225-925+(400-0)+(700-400))*0.4</f>
        <v>400</v>
      </c>
      <c r="F6" s="142"/>
      <c r="G6" s="255"/>
      <c r="H6" s="262"/>
      <c r="I6" s="255"/>
    </row>
    <row r="7" spans="1:10" s="129" customFormat="1" ht="15.95" customHeight="1">
      <c r="A7" s="1068"/>
      <c r="B7" s="1069"/>
      <c r="C7" s="1069"/>
      <c r="D7" s="1071" t="s">
        <v>347</v>
      </c>
      <c r="E7" s="1072">
        <f>(940-710+(150+143+120+74+42)*2+20*2*10)*0.8</f>
        <v>1350.4</v>
      </c>
      <c r="F7" s="142"/>
      <c r="G7" s="255"/>
      <c r="H7" s="262"/>
      <c r="I7" s="255"/>
    </row>
    <row r="8" spans="1:10" s="129" customFormat="1" ht="15.95" hidden="1" customHeight="1">
      <c r="A8" s="1068"/>
      <c r="B8" s="1069"/>
      <c r="C8" s="1069"/>
      <c r="D8" s="1071" t="s">
        <v>346</v>
      </c>
      <c r="E8" s="966"/>
      <c r="F8" s="142"/>
      <c r="G8" s="255"/>
      <c r="H8" s="262"/>
      <c r="I8" s="255"/>
      <c r="J8" s="129">
        <f>877*25/10</f>
        <v>2192.5</v>
      </c>
    </row>
    <row r="9" spans="1:10" s="129" customFormat="1" ht="15.95" customHeight="1">
      <c r="A9" s="1068"/>
      <c r="B9" s="1069"/>
      <c r="C9" s="1069"/>
      <c r="D9" s="1071" t="s">
        <v>592</v>
      </c>
      <c r="E9" s="966">
        <f>325+30</f>
        <v>355</v>
      </c>
      <c r="F9" s="142" t="s">
        <v>679</v>
      </c>
      <c r="G9" s="255"/>
      <c r="H9" s="262"/>
      <c r="I9" s="255"/>
    </row>
    <row r="10" spans="1:10" s="129" customFormat="1" ht="15.95" customHeight="1">
      <c r="A10" s="1068"/>
      <c r="B10" s="1069"/>
      <c r="C10" s="1069"/>
      <c r="D10" s="1071" t="s">
        <v>593</v>
      </c>
      <c r="E10" s="966">
        <f>675-E9</f>
        <v>320</v>
      </c>
      <c r="F10" s="142">
        <v>810</v>
      </c>
      <c r="G10" s="255"/>
      <c r="H10" s="262"/>
      <c r="I10" s="255"/>
    </row>
    <row r="11" spans="1:10" s="129" customFormat="1" ht="15.95" customHeight="1">
      <c r="A11" s="1068"/>
      <c r="B11" s="1069"/>
      <c r="C11" s="1069"/>
      <c r="D11" s="1071" t="s">
        <v>594</v>
      </c>
      <c r="E11" s="966">
        <f>1135-E10-E9</f>
        <v>460</v>
      </c>
      <c r="F11" s="142"/>
      <c r="G11" s="255" t="s">
        <v>659</v>
      </c>
      <c r="H11" s="262"/>
      <c r="I11" s="255" t="s">
        <v>660</v>
      </c>
    </row>
    <row r="12" spans="1:10" s="129" customFormat="1" ht="15.95" customHeight="1">
      <c r="A12" s="1068"/>
      <c r="B12" s="1069"/>
      <c r="C12" s="1069"/>
      <c r="D12" s="1071" t="s">
        <v>671</v>
      </c>
      <c r="E12" s="966">
        <f>1525-1135</f>
        <v>390</v>
      </c>
      <c r="F12" s="142"/>
      <c r="G12" s="255"/>
      <c r="H12" s="262">
        <f>840/30</f>
        <v>28</v>
      </c>
      <c r="I12" s="255"/>
    </row>
    <row r="13" spans="1:10" s="129" customFormat="1" ht="15.95" hidden="1" customHeight="1">
      <c r="A13" s="1068"/>
      <c r="B13" s="1069"/>
      <c r="C13" s="1069"/>
      <c r="D13" s="1071" t="s">
        <v>657</v>
      </c>
      <c r="E13" s="966"/>
      <c r="F13" s="142">
        <v>9.84</v>
      </c>
      <c r="G13" s="255">
        <f>+E13*F13</f>
        <v>0</v>
      </c>
      <c r="H13" s="262">
        <v>4</v>
      </c>
      <c r="I13" s="255">
        <f>+E13*H13</f>
        <v>0</v>
      </c>
    </row>
    <row r="14" spans="1:10" s="129" customFormat="1" ht="15.95" hidden="1" customHeight="1">
      <c r="A14" s="1068"/>
      <c r="B14" s="1069"/>
      <c r="C14" s="1069"/>
      <c r="D14" s="1071" t="s">
        <v>658</v>
      </c>
      <c r="E14" s="966"/>
      <c r="F14" s="142">
        <v>9.84</v>
      </c>
      <c r="G14" s="255">
        <f t="shared" ref="G14:G17" si="0">+E14*F14</f>
        <v>0</v>
      </c>
      <c r="H14" s="262">
        <v>5</v>
      </c>
      <c r="I14" s="255">
        <f t="shared" ref="I14:I21" si="1">+E14*H14</f>
        <v>0</v>
      </c>
    </row>
    <row r="15" spans="1:10" s="129" customFormat="1" ht="15.95" hidden="1" customHeight="1">
      <c r="A15" s="1068"/>
      <c r="B15" s="1069"/>
      <c r="C15" s="1069"/>
      <c r="D15" s="1071" t="s">
        <v>352</v>
      </c>
      <c r="E15" s="966">
        <v>1270</v>
      </c>
      <c r="F15" s="142">
        <v>9.84</v>
      </c>
      <c r="G15" s="255">
        <f t="shared" si="0"/>
        <v>12496.8</v>
      </c>
      <c r="H15" s="262">
        <v>3.5</v>
      </c>
      <c r="I15" s="255">
        <f t="shared" si="1"/>
        <v>4445</v>
      </c>
    </row>
    <row r="16" spans="1:10" s="129" customFormat="1" ht="17.100000000000001" hidden="1" customHeight="1">
      <c r="A16" s="1068"/>
      <c r="B16" s="1069"/>
      <c r="C16" s="1069"/>
      <c r="D16" s="1071" t="s">
        <v>350</v>
      </c>
      <c r="E16" s="966"/>
      <c r="F16" s="142">
        <v>11.84</v>
      </c>
      <c r="G16" s="255">
        <f t="shared" si="0"/>
        <v>0</v>
      </c>
      <c r="H16" s="262">
        <f>20-11-2</f>
        <v>7</v>
      </c>
      <c r="I16" s="255">
        <f t="shared" si="1"/>
        <v>0</v>
      </c>
    </row>
    <row r="17" spans="1:188" s="129" customFormat="1" ht="17.100000000000001" hidden="1" customHeight="1">
      <c r="A17" s="1068"/>
      <c r="B17" s="1069"/>
      <c r="C17" s="1069"/>
      <c r="D17" s="1071" t="s">
        <v>351</v>
      </c>
      <c r="E17" s="966"/>
      <c r="F17" s="142">
        <v>9.84</v>
      </c>
      <c r="G17" s="255">
        <f t="shared" si="0"/>
        <v>0</v>
      </c>
      <c r="H17" s="262">
        <f>2*2</f>
        <v>4</v>
      </c>
      <c r="I17" s="255">
        <f t="shared" si="1"/>
        <v>0</v>
      </c>
    </row>
    <row r="18" spans="1:188" s="129" customFormat="1" ht="17.100000000000001" customHeight="1">
      <c r="A18" s="1945" t="s">
        <v>675</v>
      </c>
      <c r="B18" s="1946"/>
      <c r="C18" s="1947" t="e">
        <f>+#REF!</f>
        <v>#REF!</v>
      </c>
      <c r="D18" s="1948"/>
      <c r="E18" s="1949"/>
      <c r="F18" s="142"/>
      <c r="G18" s="255"/>
      <c r="H18" s="262"/>
      <c r="I18" s="255"/>
    </row>
    <row r="19" spans="1:188" s="129" customFormat="1" ht="24" customHeight="1">
      <c r="A19" s="1073" t="s">
        <v>661</v>
      </c>
      <c r="B19" s="1014" t="s">
        <v>584</v>
      </c>
      <c r="C19" s="1063" t="s">
        <v>98</v>
      </c>
      <c r="D19" s="1074" t="e">
        <f>+#REF!</f>
        <v>#REF!</v>
      </c>
      <c r="E19" s="1074" t="e">
        <f>+#REF!</f>
        <v>#REF!</v>
      </c>
      <c r="F19" s="142"/>
      <c r="G19" s="255">
        <f>SUM(G13:G17)</f>
        <v>12496.8</v>
      </c>
      <c r="H19" s="262"/>
      <c r="I19" s="255">
        <f>SUM(I13:I17)</f>
        <v>4445</v>
      </c>
    </row>
    <row r="20" spans="1:188" s="129" customFormat="1" ht="24.75" customHeight="1">
      <c r="A20" s="1075" t="e">
        <f>+#REF!</f>
        <v>#REF!</v>
      </c>
      <c r="B20" s="1076"/>
      <c r="C20" s="1014"/>
      <c r="D20" s="1077"/>
      <c r="E20" s="1077"/>
      <c r="F20" s="142"/>
      <c r="G20" s="255">
        <f>+G19+9.84*20*(50-35)</f>
        <v>15448.8</v>
      </c>
      <c r="H20" s="262"/>
      <c r="I20" s="255">
        <f>+I19+4*2*20*50</f>
        <v>12445</v>
      </c>
    </row>
    <row r="21" spans="1:188" s="129" customFormat="1" ht="27.95" customHeight="1">
      <c r="A21" s="896" t="e">
        <f>+#REF!</f>
        <v>#REF!</v>
      </c>
      <c r="B21" s="914" t="e">
        <f>+#REF!</f>
        <v>#REF!</v>
      </c>
      <c r="C21" s="833"/>
      <c r="D21" s="834"/>
      <c r="E21" s="811"/>
      <c r="F21" s="142"/>
      <c r="G21" s="255"/>
      <c r="H21" s="262"/>
      <c r="I21" s="255">
        <f t="shared" si="1"/>
        <v>0</v>
      </c>
    </row>
    <row r="22" spans="1:188" s="129" customFormat="1" ht="15.95" customHeight="1">
      <c r="A22" s="899"/>
      <c r="B22" s="924"/>
      <c r="C22" s="835" t="s">
        <v>618</v>
      </c>
      <c r="D22" s="812"/>
      <c r="E22" s="812"/>
      <c r="F22" s="142"/>
      <c r="G22" s="328" t="e">
        <f>+#REF!*0.085</f>
        <v>#REF!</v>
      </c>
      <c r="H22" s="262">
        <v>1</v>
      </c>
      <c r="I22" s="255" t="e">
        <f>G22*H22</f>
        <v>#REF!</v>
      </c>
    </row>
    <row r="23" spans="1:188" s="129" customFormat="1" ht="15.95" customHeight="1">
      <c r="A23" s="896" t="e">
        <f>+#REF!</f>
        <v>#REF!</v>
      </c>
      <c r="B23" s="914" t="e">
        <f>+#REF!</f>
        <v>#REF!</v>
      </c>
      <c r="C23" s="833"/>
      <c r="D23" s="811"/>
      <c r="E23" s="811"/>
      <c r="F23" s="142"/>
      <c r="G23" s="255"/>
      <c r="H23" s="262"/>
      <c r="I23" s="255"/>
    </row>
    <row r="24" spans="1:188" s="129" customFormat="1" ht="15.95" customHeight="1">
      <c r="A24" s="899"/>
      <c r="B24" s="1078"/>
      <c r="C24" s="835" t="s">
        <v>618</v>
      </c>
      <c r="D24" s="812"/>
      <c r="E24" s="812"/>
      <c r="F24" s="142"/>
      <c r="G24" s="255">
        <f>+E22*0.08</f>
        <v>0</v>
      </c>
      <c r="H24" s="262">
        <v>1.1000000000000001</v>
      </c>
      <c r="I24" s="255">
        <f>G24*H24</f>
        <v>0</v>
      </c>
    </row>
    <row r="25" spans="1:188" s="129" customFormat="1" ht="19.5" customHeight="1">
      <c r="A25" s="911"/>
      <c r="B25" s="1079"/>
      <c r="C25" s="1080"/>
      <c r="D25" s="1085" t="s">
        <v>108</v>
      </c>
      <c r="E25" s="1082"/>
      <c r="F25" s="142"/>
      <c r="G25" s="255">
        <f>SUM(E13:E17)</f>
        <v>1270</v>
      </c>
      <c r="H25" s="262"/>
      <c r="I25" s="255"/>
    </row>
    <row r="26" spans="1:188" s="129" customFormat="1" ht="20.100000000000001" customHeight="1">
      <c r="A26" s="1938" t="e">
        <f>+#REF!</f>
        <v>#REF!</v>
      </c>
      <c r="B26" s="1938"/>
      <c r="C26" s="1938"/>
      <c r="D26" s="1938"/>
      <c r="E26" s="1938"/>
      <c r="F26" s="142"/>
      <c r="G26" s="255"/>
      <c r="H26" s="262"/>
      <c r="I26" s="255"/>
    </row>
    <row r="27" spans="1:188" s="129" customFormat="1" ht="15.95" customHeight="1">
      <c r="A27" s="989" t="e">
        <f>+#REF!</f>
        <v>#REF!</v>
      </c>
      <c r="B27" s="989" t="e">
        <f>+#REF!</f>
        <v>#REF!</v>
      </c>
      <c r="C27" s="957"/>
      <c r="D27" s="957"/>
      <c r="E27" s="957"/>
      <c r="G27" s="255"/>
      <c r="H27" s="262"/>
      <c r="I27" s="255"/>
      <c r="M27" s="129">
        <f>1.7*3</f>
        <v>5.0999999999999996</v>
      </c>
    </row>
    <row r="28" spans="1:188" s="129" customFormat="1" ht="15.95" customHeight="1">
      <c r="A28" s="1083"/>
      <c r="B28" s="990"/>
      <c r="C28" s="847" t="s">
        <v>25</v>
      </c>
      <c r="D28" s="960"/>
      <c r="E28" s="960"/>
      <c r="F28" s="334" t="e">
        <f>+#REF!</f>
        <v>#REF!</v>
      </c>
      <c r="G28" s="255" t="e">
        <f>+#REF!</f>
        <v>#REF!</v>
      </c>
      <c r="H28" s="142">
        <v>0.02</v>
      </c>
      <c r="I28" s="255"/>
    </row>
    <row r="29" spans="1:188" s="225" customFormat="1" ht="15.95" customHeight="1">
      <c r="A29" s="989" t="e">
        <f>+#REF!</f>
        <v>#REF!</v>
      </c>
      <c r="B29" s="989" t="e">
        <f>+#REF!</f>
        <v>#REF!</v>
      </c>
      <c r="C29" s="957"/>
      <c r="D29" s="957"/>
      <c r="E29" s="957"/>
      <c r="F29" s="334"/>
      <c r="G29" s="259"/>
      <c r="H29" s="265"/>
      <c r="I29" s="259"/>
      <c r="J29" s="226"/>
      <c r="K29" s="226"/>
      <c r="L29" s="226"/>
      <c r="M29" s="226"/>
      <c r="N29" s="226"/>
      <c r="O29" s="226"/>
      <c r="P29" s="226"/>
      <c r="Q29" s="226"/>
      <c r="R29" s="226"/>
      <c r="S29" s="226"/>
      <c r="T29" s="226"/>
      <c r="U29" s="226"/>
      <c r="V29" s="226"/>
      <c r="W29" s="226"/>
      <c r="X29" s="226"/>
      <c r="Y29" s="226"/>
      <c r="Z29" s="226"/>
      <c r="AA29" s="226"/>
      <c r="AB29" s="226"/>
      <c r="AC29" s="226"/>
      <c r="AD29" s="226"/>
      <c r="AE29" s="226"/>
      <c r="AF29" s="226"/>
      <c r="AG29" s="226"/>
      <c r="AH29" s="226"/>
      <c r="AI29" s="226"/>
      <c r="AJ29" s="226"/>
      <c r="AK29" s="226"/>
      <c r="AL29" s="226"/>
      <c r="AM29" s="226"/>
      <c r="AN29" s="226"/>
      <c r="AO29" s="226"/>
      <c r="AP29" s="226"/>
      <c r="AQ29" s="226"/>
      <c r="AR29" s="226"/>
      <c r="AS29" s="226"/>
      <c r="AT29" s="226"/>
      <c r="AU29" s="226"/>
      <c r="AV29" s="226"/>
      <c r="AW29" s="226"/>
      <c r="AX29" s="226"/>
      <c r="AY29" s="226"/>
      <c r="AZ29" s="226"/>
      <c r="BA29" s="226"/>
      <c r="BB29" s="226"/>
      <c r="BC29" s="226"/>
      <c r="BD29" s="226"/>
      <c r="BE29" s="226"/>
      <c r="BF29" s="226"/>
      <c r="BG29" s="226"/>
      <c r="BH29" s="226"/>
      <c r="BI29" s="226"/>
      <c r="BJ29" s="226"/>
      <c r="BK29" s="226"/>
      <c r="BL29" s="226"/>
      <c r="BM29" s="226"/>
      <c r="BN29" s="226"/>
      <c r="BO29" s="226"/>
      <c r="BP29" s="226"/>
      <c r="BQ29" s="226"/>
      <c r="BR29" s="226"/>
      <c r="BS29" s="226"/>
      <c r="BT29" s="226"/>
      <c r="BU29" s="226"/>
      <c r="BV29" s="226"/>
      <c r="BW29" s="226"/>
      <c r="BX29" s="226"/>
      <c r="BY29" s="226"/>
      <c r="BZ29" s="226"/>
      <c r="CA29" s="226"/>
      <c r="CB29" s="226"/>
      <c r="CC29" s="226"/>
      <c r="CD29" s="226"/>
      <c r="CE29" s="226"/>
      <c r="CF29" s="226"/>
      <c r="CG29" s="226"/>
      <c r="CH29" s="226"/>
      <c r="CI29" s="226"/>
      <c r="CJ29" s="226"/>
      <c r="CK29" s="226"/>
      <c r="CL29" s="226"/>
      <c r="CM29" s="226"/>
      <c r="CN29" s="226"/>
      <c r="CO29" s="226"/>
      <c r="CP29" s="226"/>
      <c r="CQ29" s="226"/>
      <c r="CR29" s="226"/>
      <c r="CS29" s="226"/>
      <c r="CT29" s="226"/>
      <c r="CU29" s="226"/>
      <c r="CV29" s="226"/>
      <c r="CW29" s="226"/>
      <c r="CX29" s="226"/>
      <c r="CY29" s="226"/>
      <c r="CZ29" s="226"/>
      <c r="DA29" s="226"/>
      <c r="DB29" s="226"/>
      <c r="DC29" s="226"/>
      <c r="DD29" s="226"/>
      <c r="DE29" s="226"/>
      <c r="DF29" s="226"/>
      <c r="DG29" s="226"/>
      <c r="DH29" s="226"/>
      <c r="DI29" s="226"/>
      <c r="DJ29" s="226"/>
      <c r="DK29" s="226"/>
      <c r="DL29" s="226"/>
      <c r="DM29" s="226"/>
      <c r="DN29" s="226"/>
      <c r="DO29" s="226"/>
      <c r="DP29" s="226"/>
      <c r="DQ29" s="226"/>
      <c r="DR29" s="226"/>
      <c r="DS29" s="226"/>
      <c r="DT29" s="226"/>
      <c r="DU29" s="226"/>
      <c r="DV29" s="226"/>
      <c r="DW29" s="226"/>
      <c r="DX29" s="226"/>
      <c r="DY29" s="226"/>
      <c r="DZ29" s="226"/>
      <c r="EA29" s="226"/>
      <c r="EB29" s="226"/>
      <c r="EC29" s="226"/>
      <c r="ED29" s="226"/>
      <c r="EE29" s="226"/>
      <c r="EF29" s="226"/>
      <c r="EG29" s="226"/>
      <c r="EH29" s="226"/>
      <c r="EI29" s="226"/>
      <c r="EJ29" s="226"/>
      <c r="EK29" s="226"/>
      <c r="EL29" s="226"/>
      <c r="EM29" s="226"/>
      <c r="EN29" s="226"/>
      <c r="EO29" s="226"/>
      <c r="EP29" s="226"/>
      <c r="EQ29" s="226"/>
      <c r="ER29" s="226"/>
      <c r="ES29" s="226"/>
      <c r="ET29" s="226"/>
      <c r="EU29" s="226"/>
      <c r="EV29" s="226"/>
      <c r="EW29" s="226"/>
      <c r="EX29" s="226"/>
      <c r="EY29" s="226"/>
      <c r="EZ29" s="226"/>
      <c r="FA29" s="226"/>
      <c r="FB29" s="226"/>
      <c r="FC29" s="226"/>
      <c r="FD29" s="226"/>
      <c r="FE29" s="226"/>
      <c r="FF29" s="226"/>
      <c r="FG29" s="226"/>
      <c r="FH29" s="226"/>
      <c r="FI29" s="226"/>
      <c r="FJ29" s="226"/>
      <c r="FK29" s="226"/>
      <c r="FL29" s="226"/>
      <c r="FM29" s="226"/>
      <c r="FN29" s="226"/>
      <c r="FO29" s="226"/>
      <c r="FP29" s="226"/>
      <c r="FQ29" s="226"/>
      <c r="FR29" s="226"/>
      <c r="FS29" s="226"/>
      <c r="FT29" s="226"/>
      <c r="FU29" s="226"/>
      <c r="FV29" s="226"/>
      <c r="FW29" s="226"/>
      <c r="FX29" s="226"/>
      <c r="FY29" s="226"/>
      <c r="FZ29" s="226"/>
      <c r="GA29" s="226"/>
      <c r="GB29" s="226"/>
      <c r="GC29" s="226"/>
      <c r="GD29" s="226"/>
      <c r="GE29" s="226"/>
      <c r="GF29" s="226"/>
    </row>
    <row r="30" spans="1:188" s="225" customFormat="1" ht="15.95" customHeight="1">
      <c r="A30" s="1083"/>
      <c r="B30" s="990"/>
      <c r="C30" s="847" t="s">
        <v>25</v>
      </c>
      <c r="D30" s="960"/>
      <c r="E30" s="960"/>
      <c r="F30" s="334" t="e">
        <f t="shared" ref="F30" si="2">+G30*H30</f>
        <v>#REF!</v>
      </c>
      <c r="G30" s="259" t="e">
        <f>+G28</f>
        <v>#REF!</v>
      </c>
      <c r="H30" s="265">
        <v>0.02</v>
      </c>
      <c r="I30" s="259" t="e">
        <f>G30*H30</f>
        <v>#REF!</v>
      </c>
      <c r="J30" s="226"/>
      <c r="K30" s="226"/>
      <c r="L30" s="226"/>
      <c r="M30" s="226"/>
      <c r="N30" s="226"/>
      <c r="O30" s="226"/>
      <c r="P30" s="226"/>
      <c r="Q30" s="226"/>
      <c r="R30" s="226"/>
      <c r="S30" s="226"/>
      <c r="T30" s="226"/>
      <c r="U30" s="226"/>
      <c r="V30" s="226"/>
      <c r="W30" s="226"/>
      <c r="X30" s="226"/>
      <c r="Y30" s="226"/>
      <c r="Z30" s="226"/>
      <c r="AA30" s="226"/>
      <c r="AB30" s="226"/>
      <c r="AC30" s="226"/>
      <c r="AD30" s="226"/>
      <c r="AE30" s="226"/>
      <c r="AF30" s="226"/>
      <c r="AG30" s="226"/>
      <c r="AH30" s="226"/>
      <c r="AI30" s="226"/>
      <c r="AJ30" s="226"/>
      <c r="AK30" s="226"/>
      <c r="AL30" s="226"/>
      <c r="AM30" s="226"/>
      <c r="AN30" s="226"/>
      <c r="AO30" s="226"/>
      <c r="AP30" s="226"/>
      <c r="AQ30" s="226"/>
      <c r="AR30" s="226"/>
      <c r="AS30" s="226"/>
      <c r="AT30" s="226"/>
      <c r="AU30" s="226"/>
      <c r="AV30" s="226"/>
      <c r="AW30" s="226"/>
      <c r="AX30" s="226"/>
      <c r="AY30" s="226"/>
      <c r="AZ30" s="226"/>
      <c r="BA30" s="226"/>
      <c r="BB30" s="226"/>
      <c r="BC30" s="226"/>
      <c r="BD30" s="226"/>
      <c r="BE30" s="226"/>
      <c r="BF30" s="226"/>
      <c r="BG30" s="226"/>
      <c r="BH30" s="226"/>
      <c r="BI30" s="226"/>
      <c r="BJ30" s="226"/>
      <c r="BK30" s="226"/>
      <c r="BL30" s="226"/>
      <c r="BM30" s="226"/>
      <c r="BN30" s="226"/>
      <c r="BO30" s="226"/>
      <c r="BP30" s="226"/>
      <c r="BQ30" s="226"/>
      <c r="BR30" s="226"/>
      <c r="BS30" s="226"/>
      <c r="BT30" s="226"/>
      <c r="BU30" s="226"/>
      <c r="BV30" s="226"/>
      <c r="BW30" s="226"/>
      <c r="BX30" s="226"/>
      <c r="BY30" s="226"/>
      <c r="BZ30" s="226"/>
      <c r="CA30" s="226"/>
      <c r="CB30" s="226"/>
      <c r="CC30" s="226"/>
      <c r="CD30" s="226"/>
      <c r="CE30" s="226"/>
      <c r="CF30" s="226"/>
      <c r="CG30" s="226"/>
      <c r="CH30" s="226"/>
      <c r="CI30" s="226"/>
      <c r="CJ30" s="226"/>
      <c r="CK30" s="226"/>
      <c r="CL30" s="226"/>
      <c r="CM30" s="226"/>
      <c r="CN30" s="226"/>
      <c r="CO30" s="226"/>
      <c r="CP30" s="226"/>
      <c r="CQ30" s="226"/>
      <c r="CR30" s="226"/>
      <c r="CS30" s="226"/>
      <c r="CT30" s="226"/>
      <c r="CU30" s="226"/>
      <c r="CV30" s="226"/>
      <c r="CW30" s="226"/>
      <c r="CX30" s="226"/>
      <c r="CY30" s="226"/>
      <c r="CZ30" s="226"/>
      <c r="DA30" s="226"/>
      <c r="DB30" s="226"/>
      <c r="DC30" s="226"/>
      <c r="DD30" s="226"/>
      <c r="DE30" s="226"/>
      <c r="DF30" s="226"/>
      <c r="DG30" s="226"/>
      <c r="DH30" s="226"/>
      <c r="DI30" s="226"/>
      <c r="DJ30" s="226"/>
      <c r="DK30" s="226"/>
      <c r="DL30" s="226"/>
      <c r="DM30" s="226"/>
      <c r="DN30" s="226"/>
      <c r="DO30" s="226"/>
      <c r="DP30" s="226"/>
      <c r="DQ30" s="226"/>
      <c r="DR30" s="226"/>
      <c r="DS30" s="226"/>
      <c r="DT30" s="226"/>
      <c r="DU30" s="226"/>
      <c r="DV30" s="226"/>
      <c r="DW30" s="226"/>
      <c r="DX30" s="226"/>
      <c r="DY30" s="226"/>
      <c r="DZ30" s="226"/>
      <c r="EA30" s="226"/>
      <c r="EB30" s="226"/>
      <c r="EC30" s="226"/>
      <c r="ED30" s="226"/>
      <c r="EE30" s="226"/>
      <c r="EF30" s="226"/>
      <c r="EG30" s="226"/>
      <c r="EH30" s="226"/>
      <c r="EI30" s="226"/>
      <c r="EJ30" s="226"/>
      <c r="EK30" s="226"/>
      <c r="EL30" s="226"/>
      <c r="EM30" s="226"/>
      <c r="EN30" s="226"/>
      <c r="EO30" s="226"/>
      <c r="EP30" s="226"/>
      <c r="EQ30" s="226"/>
      <c r="ER30" s="226"/>
      <c r="ES30" s="226"/>
      <c r="ET30" s="226"/>
      <c r="EU30" s="226"/>
      <c r="EV30" s="226"/>
      <c r="EW30" s="226"/>
      <c r="EX30" s="226"/>
      <c r="EY30" s="226"/>
      <c r="EZ30" s="226"/>
      <c r="FA30" s="226"/>
      <c r="FB30" s="226"/>
      <c r="FC30" s="226"/>
      <c r="FD30" s="226"/>
      <c r="FE30" s="226"/>
      <c r="FF30" s="226"/>
      <c r="FG30" s="226"/>
      <c r="FH30" s="226"/>
      <c r="FI30" s="226"/>
      <c r="FJ30" s="226"/>
      <c r="FK30" s="226"/>
      <c r="FL30" s="226"/>
      <c r="FM30" s="226"/>
      <c r="FN30" s="226"/>
      <c r="FO30" s="226"/>
      <c r="FP30" s="226"/>
      <c r="FQ30" s="226"/>
      <c r="FR30" s="226"/>
      <c r="FS30" s="226"/>
      <c r="FT30" s="226"/>
      <c r="FU30" s="226"/>
      <c r="FV30" s="226"/>
      <c r="FW30" s="226"/>
      <c r="FX30" s="226"/>
      <c r="FY30" s="226"/>
      <c r="FZ30" s="226"/>
      <c r="GA30" s="226"/>
      <c r="GB30" s="226"/>
      <c r="GC30" s="226"/>
      <c r="GD30" s="226"/>
      <c r="GE30" s="226"/>
      <c r="GF30" s="226"/>
    </row>
    <row r="31" spans="1:188" ht="15.95" customHeight="1">
      <c r="A31" s="989" t="e">
        <f>+#REF!</f>
        <v>#REF!</v>
      </c>
      <c r="B31" s="989" t="e">
        <f>+#REF!</f>
        <v>#REF!</v>
      </c>
      <c r="C31" s="957"/>
      <c r="D31" s="957"/>
      <c r="E31" s="957"/>
      <c r="F31" s="334"/>
    </row>
    <row r="32" spans="1:188" ht="15.95" customHeight="1">
      <c r="A32" s="1083"/>
      <c r="B32" s="990"/>
      <c r="C32" s="847" t="s">
        <v>25</v>
      </c>
      <c r="D32" s="960"/>
      <c r="E32" s="960"/>
      <c r="F32" s="334" t="e">
        <f>+#REF!</f>
        <v>#REF!</v>
      </c>
      <c r="G32" s="255" t="e">
        <f>+G30</f>
        <v>#REF!</v>
      </c>
      <c r="H32" s="262">
        <v>0.01</v>
      </c>
    </row>
    <row r="33" spans="1:9" s="129" customFormat="1" ht="15.95" customHeight="1">
      <c r="A33" s="989" t="e">
        <f>+#REF!</f>
        <v>#REF!</v>
      </c>
      <c r="B33" s="989" t="e">
        <f>+#REF!</f>
        <v>#REF!</v>
      </c>
      <c r="C33" s="957"/>
      <c r="D33" s="957"/>
      <c r="E33" s="957"/>
      <c r="F33" s="334"/>
      <c r="G33" s="255"/>
      <c r="H33" s="262"/>
      <c r="I33" s="255"/>
    </row>
    <row r="34" spans="1:9" s="129" customFormat="1" ht="15.95" customHeight="1">
      <c r="A34" s="1083"/>
      <c r="B34" s="990"/>
      <c r="C34" s="847" t="s">
        <v>25</v>
      </c>
      <c r="D34" s="960"/>
      <c r="E34" s="960"/>
      <c r="F34" s="142"/>
      <c r="G34" s="255">
        <f>G24/50*50%</f>
        <v>0</v>
      </c>
      <c r="H34" s="265">
        <v>1.05</v>
      </c>
      <c r="I34" s="259">
        <f>G34*H34</f>
        <v>0</v>
      </c>
    </row>
    <row r="35" spans="1:9" s="129" customFormat="1" ht="15.95" customHeight="1">
      <c r="A35" s="989" t="e">
        <f>+#REF!</f>
        <v>#REF!</v>
      </c>
      <c r="B35" s="989" t="e">
        <f>+#REF!</f>
        <v>#REF!</v>
      </c>
      <c r="C35" s="957"/>
      <c r="D35" s="957"/>
      <c r="E35" s="957"/>
      <c r="F35" s="142"/>
      <c r="G35" s="255">
        <f>G24/25*50%</f>
        <v>0</v>
      </c>
      <c r="H35" s="265">
        <v>1.05</v>
      </c>
      <c r="I35" s="259">
        <f>G35*H35</f>
        <v>0</v>
      </c>
    </row>
    <row r="36" spans="1:9" s="129" customFormat="1" ht="15.95" customHeight="1">
      <c r="A36" s="1083"/>
      <c r="B36" s="990"/>
      <c r="C36" s="847" t="s">
        <v>25</v>
      </c>
      <c r="D36" s="960"/>
      <c r="E36" s="960"/>
      <c r="F36" s="334" t="e">
        <f>SUM(F28:F32)</f>
        <v>#REF!</v>
      </c>
      <c r="G36" s="255">
        <v>20</v>
      </c>
      <c r="H36" s="265">
        <v>1.05</v>
      </c>
      <c r="I36" s="259">
        <f>G36*H36</f>
        <v>21</v>
      </c>
    </row>
    <row r="37" spans="1:9" s="129" customFormat="1" ht="15.95" customHeight="1">
      <c r="A37" s="989" t="e">
        <f>+#REF!</f>
        <v>#REF!</v>
      </c>
      <c r="B37" s="989" t="e">
        <f>+#REF!</f>
        <v>#REF!</v>
      </c>
      <c r="C37" s="957"/>
      <c r="D37" s="957"/>
      <c r="E37" s="957"/>
      <c r="F37" s="142"/>
      <c r="G37" s="255">
        <f>30%*G24</f>
        <v>0</v>
      </c>
      <c r="H37" s="265">
        <v>1.05</v>
      </c>
      <c r="I37" s="259">
        <f>G37*H37</f>
        <v>0</v>
      </c>
    </row>
    <row r="38" spans="1:9" s="129" customFormat="1" ht="15.95" customHeight="1">
      <c r="A38" s="1083"/>
      <c r="B38" s="990"/>
      <c r="C38" s="847" t="s">
        <v>27</v>
      </c>
      <c r="D38" s="960"/>
      <c r="E38" s="960"/>
      <c r="F38" s="142"/>
      <c r="G38" s="255"/>
      <c r="H38" s="262"/>
      <c r="I38" s="255"/>
    </row>
    <row r="39" spans="1:9" s="129" customFormat="1" ht="20.100000000000001" customHeight="1">
      <c r="A39" s="1938" t="e">
        <f>+#REF!</f>
        <v>#REF!</v>
      </c>
      <c r="B39" s="1938"/>
      <c r="C39" s="1938"/>
      <c r="D39" s="1938"/>
      <c r="E39" s="1938"/>
      <c r="F39" s="142"/>
      <c r="G39" s="255"/>
      <c r="H39" s="262"/>
      <c r="I39" s="255"/>
    </row>
    <row r="40" spans="1:9" s="129" customFormat="1" ht="15.95" customHeight="1">
      <c r="A40" s="910" t="e">
        <f>+#REF!</f>
        <v>#REF!</v>
      </c>
      <c r="B40" s="916" t="e">
        <f>+#REF!</f>
        <v>#REF!</v>
      </c>
      <c r="C40" s="845"/>
      <c r="D40" s="848"/>
      <c r="E40" s="811"/>
      <c r="F40" s="142"/>
      <c r="G40" s="255"/>
      <c r="H40" s="262"/>
      <c r="I40" s="255"/>
    </row>
    <row r="41" spans="1:9" s="129" customFormat="1" ht="15.95" customHeight="1">
      <c r="A41" s="885"/>
      <c r="B41" s="924"/>
      <c r="C41" s="840" t="s">
        <v>618</v>
      </c>
      <c r="D41" s="813"/>
      <c r="E41" s="812"/>
      <c r="F41" s="142"/>
      <c r="G41" s="255"/>
      <c r="H41" s="262"/>
      <c r="I41" s="255"/>
    </row>
    <row r="42" spans="1:9" s="129" customFormat="1" ht="15.95" customHeight="1">
      <c r="A42" s="910" t="e">
        <f>+#REF!</f>
        <v>#REF!</v>
      </c>
      <c r="B42" s="916" t="e">
        <f>+#REF!</f>
        <v>#REF!</v>
      </c>
      <c r="C42" s="845"/>
      <c r="D42" s="848"/>
      <c r="E42" s="811"/>
      <c r="F42" s="142"/>
      <c r="G42" s="255"/>
      <c r="H42" s="262"/>
      <c r="I42" s="255"/>
    </row>
    <row r="43" spans="1:9" s="129" customFormat="1" ht="15.95" customHeight="1">
      <c r="A43" s="885" t="e">
        <f>+#REF!</f>
        <v>#REF!</v>
      </c>
      <c r="B43" s="924" t="e">
        <f>+#REF!</f>
        <v>#REF!</v>
      </c>
      <c r="C43" s="840" t="s">
        <v>94</v>
      </c>
      <c r="D43" s="813"/>
      <c r="E43" s="812"/>
      <c r="F43" s="142"/>
      <c r="G43" s="328">
        <f>+G25*20</f>
        <v>25400</v>
      </c>
      <c r="H43" s="262">
        <v>1.2</v>
      </c>
      <c r="I43" s="255">
        <f>G43*H43</f>
        <v>30480</v>
      </c>
    </row>
    <row r="44" spans="1:9" s="129" customFormat="1" ht="15.95" customHeight="1">
      <c r="A44" s="910" t="e">
        <f>+#REF!</f>
        <v>#REF!</v>
      </c>
      <c r="B44" s="916" t="e">
        <f>+#REF!</f>
        <v>#REF!</v>
      </c>
      <c r="C44" s="845"/>
      <c r="D44" s="848"/>
      <c r="E44" s="811"/>
      <c r="F44" s="142"/>
      <c r="G44" s="255"/>
      <c r="H44" s="262"/>
      <c r="I44" s="255"/>
    </row>
    <row r="45" spans="1:9" s="129" customFormat="1" ht="15.95" customHeight="1">
      <c r="A45" s="885"/>
      <c r="B45" s="924"/>
      <c r="C45" s="840" t="s">
        <v>27</v>
      </c>
      <c r="D45" s="813"/>
      <c r="E45" s="812"/>
      <c r="F45" s="142"/>
      <c r="G45" s="255">
        <f>+G25/100</f>
        <v>12.7</v>
      </c>
      <c r="H45" s="262">
        <v>1.05</v>
      </c>
      <c r="I45" s="255">
        <f>G45*H45</f>
        <v>13.334999999999999</v>
      </c>
    </row>
    <row r="46" spans="1:9" s="129" customFormat="1" ht="15.95" customHeight="1">
      <c r="A46" s="896" t="e">
        <f>+#REF!</f>
        <v>#REF!</v>
      </c>
      <c r="B46" s="914" t="e">
        <f>+#REF!</f>
        <v>#REF!</v>
      </c>
      <c r="C46" s="965"/>
      <c r="D46" s="848"/>
      <c r="E46" s="811"/>
      <c r="F46" s="142"/>
      <c r="G46" s="255"/>
      <c r="H46" s="262"/>
      <c r="I46" s="255"/>
    </row>
    <row r="47" spans="1:9" s="129" customFormat="1" ht="15.95" customHeight="1">
      <c r="A47" s="1086" t="e">
        <f>+#REF!</f>
        <v>#REF!</v>
      </c>
      <c r="B47" s="931" t="e">
        <f>+#REF!</f>
        <v>#REF!</v>
      </c>
      <c r="C47" s="839" t="s">
        <v>618</v>
      </c>
      <c r="D47" s="388"/>
      <c r="E47" s="930"/>
      <c r="F47" s="142"/>
      <c r="G47" s="262">
        <f>G25/1000</f>
        <v>1.27</v>
      </c>
      <c r="H47" s="262">
        <f>1.05</f>
        <v>1.05</v>
      </c>
      <c r="I47" s="262">
        <f>G47*H47</f>
        <v>1.3335000000000001</v>
      </c>
    </row>
    <row r="48" spans="1:9" s="129" customFormat="1" ht="15.95" customHeight="1">
      <c r="A48" s="1086" t="e">
        <f>+#REF!</f>
        <v>#REF!</v>
      </c>
      <c r="B48" s="931" t="e">
        <f>+#REF!</f>
        <v>#REF!</v>
      </c>
      <c r="C48" s="839" t="s">
        <v>618</v>
      </c>
      <c r="D48" s="388"/>
      <c r="E48" s="930"/>
      <c r="F48" s="142"/>
      <c r="G48" s="262">
        <f>G47</f>
        <v>1.27</v>
      </c>
      <c r="H48" s="262">
        <f>1.05</f>
        <v>1.05</v>
      </c>
      <c r="I48" s="262">
        <f>G48*H48</f>
        <v>1.3335000000000001</v>
      </c>
    </row>
    <row r="49" spans="1:11" s="129" customFormat="1" ht="15.95" customHeight="1">
      <c r="A49" s="1086" t="e">
        <f>+#REF!</f>
        <v>#REF!</v>
      </c>
      <c r="B49" s="931" t="e">
        <f>+#REF!</f>
        <v>#REF!</v>
      </c>
      <c r="C49" s="839" t="s">
        <v>205</v>
      </c>
      <c r="D49" s="388"/>
      <c r="E49" s="930"/>
      <c r="F49" s="142"/>
      <c r="G49" s="262">
        <f>+E15</f>
        <v>1270</v>
      </c>
      <c r="H49" s="262">
        <v>1.4</v>
      </c>
      <c r="I49" s="262">
        <f>ROUND(G49*H49,0)</f>
        <v>1778</v>
      </c>
    </row>
    <row r="50" spans="1:11" s="129" customFormat="1" ht="15.95" customHeight="1">
      <c r="A50" s="1087" t="e">
        <f>+#REF!</f>
        <v>#REF!</v>
      </c>
      <c r="B50" s="924" t="e">
        <f>+#REF!</f>
        <v>#REF!</v>
      </c>
      <c r="C50" s="840" t="s">
        <v>618</v>
      </c>
      <c r="D50" s="813"/>
      <c r="E50" s="812"/>
      <c r="F50" s="142"/>
      <c r="G50" s="262">
        <f>G48</f>
        <v>1.27</v>
      </c>
      <c r="H50" s="262">
        <f>1.05</f>
        <v>1.05</v>
      </c>
      <c r="I50" s="262">
        <f>G50*H50</f>
        <v>1.3335000000000001</v>
      </c>
    </row>
    <row r="51" spans="1:11" s="129" customFormat="1" ht="15.95" customHeight="1">
      <c r="A51" s="910" t="e">
        <f>+#REF!</f>
        <v>#REF!</v>
      </c>
      <c r="B51" s="916" t="e">
        <f>+#REF!</f>
        <v>#REF!</v>
      </c>
      <c r="C51" s="965"/>
      <c r="D51" s="848"/>
      <c r="E51" s="811"/>
      <c r="F51" s="142"/>
      <c r="G51" s="255"/>
      <c r="H51" s="262"/>
      <c r="I51" s="255"/>
    </row>
    <row r="52" spans="1:11" s="129" customFormat="1" ht="15.95" customHeight="1">
      <c r="A52" s="885"/>
      <c r="B52" s="932"/>
      <c r="C52" s="840" t="s">
        <v>94</v>
      </c>
      <c r="D52" s="813"/>
      <c r="E52" s="812"/>
      <c r="F52" s="142"/>
      <c r="G52" s="255">
        <f>+(E13/2+E15)*10</f>
        <v>12700</v>
      </c>
      <c r="H52" s="262">
        <f>1.1</f>
        <v>1.1000000000000001</v>
      </c>
      <c r="I52" s="255">
        <f>G52*H52</f>
        <v>13970.000000000002</v>
      </c>
    </row>
    <row r="53" spans="1:11" s="129" customFormat="1" ht="15.95" customHeight="1">
      <c r="A53" s="910" t="e">
        <f>+#REF!</f>
        <v>#REF!</v>
      </c>
      <c r="B53" s="916" t="e">
        <f>+#REF!</f>
        <v>#REF!</v>
      </c>
      <c r="C53" s="965"/>
      <c r="D53" s="848"/>
      <c r="E53" s="811"/>
      <c r="F53" s="142"/>
      <c r="G53" s="255">
        <f>370+163*2</f>
        <v>696</v>
      </c>
      <c r="H53" s="262"/>
      <c r="I53" s="255"/>
    </row>
    <row r="54" spans="1:11" s="129" customFormat="1" ht="15.95" customHeight="1">
      <c r="A54" s="885"/>
      <c r="B54" s="932"/>
      <c r="C54" s="840" t="s">
        <v>1</v>
      </c>
      <c r="D54" s="813"/>
      <c r="E54" s="812"/>
      <c r="F54" s="142"/>
      <c r="G54" s="255">
        <f>+(E13/2+E15)*2</f>
        <v>2540</v>
      </c>
      <c r="H54" s="262">
        <f>1.1</f>
        <v>1.1000000000000001</v>
      </c>
      <c r="I54" s="255">
        <f>G54*H54</f>
        <v>2794</v>
      </c>
    </row>
    <row r="55" spans="1:11" s="129" customFormat="1" ht="15.95" customHeight="1">
      <c r="A55" s="910" t="e">
        <f>+#REF!</f>
        <v>#REF!</v>
      </c>
      <c r="B55" s="916" t="e">
        <f>+#REF!</f>
        <v>#REF!</v>
      </c>
      <c r="C55" s="965"/>
      <c r="D55" s="848"/>
      <c r="E55" s="811"/>
      <c r="F55" s="142"/>
      <c r="G55" s="255"/>
      <c r="H55" s="262"/>
      <c r="I55" s="255"/>
    </row>
    <row r="56" spans="1:11" s="129" customFormat="1" ht="15.95" customHeight="1">
      <c r="A56" s="991" t="e">
        <f>+#REF!</f>
        <v>#REF!</v>
      </c>
      <c r="B56" s="929" t="e">
        <f>+#REF!</f>
        <v>#REF!</v>
      </c>
      <c r="C56" s="1037" t="s">
        <v>1</v>
      </c>
      <c r="D56" s="388"/>
      <c r="E56" s="930"/>
      <c r="F56" s="142"/>
      <c r="G56" s="262">
        <f>120+1470+401+310+260+130+320+350+250+355+350+550+255+2160+1140+175+175+130+130+745+372+245+740+1060+345+550+263+475+300+913+790+777+395+320+123+120+396+322+200+206+506+180+270+95+95+240+255+230+200+204+110</f>
        <v>21073</v>
      </c>
      <c r="H56" s="262">
        <f>0.5*0.1</f>
        <v>0.05</v>
      </c>
      <c r="I56" s="255">
        <f>G56*H56</f>
        <v>1053.6500000000001</v>
      </c>
    </row>
    <row r="57" spans="1:11" s="129" customFormat="1" ht="15.95" customHeight="1">
      <c r="A57" s="910" t="e">
        <f>+#REF!</f>
        <v>#REF!</v>
      </c>
      <c r="B57" s="916" t="e">
        <f>+#REF!</f>
        <v>#REF!</v>
      </c>
      <c r="C57" s="965"/>
      <c r="D57" s="848"/>
      <c r="E57" s="811"/>
      <c r="F57" s="142"/>
      <c r="G57" s="255"/>
      <c r="H57" s="262"/>
      <c r="I57" s="255"/>
    </row>
    <row r="58" spans="1:11" s="129" customFormat="1" ht="15.95" customHeight="1">
      <c r="A58" s="885"/>
      <c r="B58" s="932"/>
      <c r="C58" s="840" t="s">
        <v>94</v>
      </c>
      <c r="D58" s="813"/>
      <c r="E58" s="812"/>
      <c r="F58" s="142"/>
      <c r="G58" s="255">
        <f>11*(14*0+15)</f>
        <v>165</v>
      </c>
      <c r="H58" s="262">
        <v>1</v>
      </c>
      <c r="I58" s="255">
        <f>G58*H58</f>
        <v>165</v>
      </c>
      <c r="J58" s="129" t="s">
        <v>353</v>
      </c>
    </row>
    <row r="59" spans="1:11" s="402" customFormat="1" ht="15.95" customHeight="1">
      <c r="A59" s="910" t="e">
        <f>+#REF!</f>
        <v>#REF!</v>
      </c>
      <c r="B59" s="916" t="e">
        <f>+#REF!</f>
        <v>#REF!</v>
      </c>
      <c r="C59" s="965"/>
      <c r="D59" s="848"/>
      <c r="E59" s="811"/>
      <c r="G59" s="268"/>
      <c r="H59" s="269"/>
      <c r="I59" s="268"/>
    </row>
    <row r="60" spans="1:11" s="402" customFormat="1" ht="15.95" customHeight="1">
      <c r="A60" s="885"/>
      <c r="B60" s="932"/>
      <c r="C60" s="840" t="s">
        <v>1</v>
      </c>
      <c r="D60" s="813"/>
      <c r="E60" s="812"/>
      <c r="G60" s="268">
        <f>162</f>
        <v>162</v>
      </c>
      <c r="H60" s="269">
        <v>1.1000000000000001</v>
      </c>
      <c r="I60" s="268">
        <f>G60*H60</f>
        <v>178.20000000000002</v>
      </c>
    </row>
    <row r="61" spans="1:11" s="129" customFormat="1" ht="15.95" customHeight="1">
      <c r="A61" s="1090"/>
      <c r="B61" s="1039"/>
      <c r="C61" s="272"/>
      <c r="D61" s="314"/>
      <c r="E61" s="314"/>
      <c r="F61" s="142"/>
      <c r="G61" s="255"/>
      <c r="H61" s="262"/>
      <c r="I61" s="255"/>
    </row>
    <row r="62" spans="1:11" s="129" customFormat="1" ht="20.100000000000001" customHeight="1">
      <c r="A62" s="1950" t="e">
        <f>+#REF!</f>
        <v>#REF!</v>
      </c>
      <c r="B62" s="1950"/>
      <c r="C62" s="1950"/>
      <c r="D62" s="1950"/>
      <c r="E62" s="1950"/>
      <c r="F62" s="142"/>
      <c r="G62" s="255"/>
      <c r="H62" s="262"/>
      <c r="I62" s="255"/>
    </row>
    <row r="63" spans="1:11" s="129" customFormat="1" ht="15.95" customHeight="1">
      <c r="A63" s="896" t="e">
        <f>+#REF!</f>
        <v>#REF!</v>
      </c>
      <c r="B63" s="914" t="e">
        <f>+#REF!</f>
        <v>#REF!</v>
      </c>
      <c r="C63" s="845"/>
      <c r="D63" s="848"/>
      <c r="E63" s="811"/>
      <c r="F63" s="142"/>
      <c r="G63" s="255"/>
      <c r="H63" s="262"/>
      <c r="I63" s="255"/>
    </row>
    <row r="64" spans="1:11" s="129" customFormat="1" ht="15.95" customHeight="1">
      <c r="A64" s="1087" t="e">
        <f>+#REF!</f>
        <v>#REF!</v>
      </c>
      <c r="B64" s="924" t="e">
        <f>+#REF!</f>
        <v>#REF!</v>
      </c>
      <c r="C64" s="840" t="s">
        <v>95</v>
      </c>
      <c r="D64" s="813"/>
      <c r="E64" s="812"/>
      <c r="F64" s="142"/>
      <c r="G64" s="256">
        <f>+E15*0.7*10</f>
        <v>8890</v>
      </c>
      <c r="H64" s="262">
        <v>1.1000000000000001</v>
      </c>
      <c r="I64" s="255">
        <f>G64*H64</f>
        <v>9779</v>
      </c>
      <c r="K64" s="129" t="s">
        <v>354</v>
      </c>
    </row>
    <row r="65" spans="1:10" s="129" customFormat="1" ht="15.95" customHeight="1">
      <c r="A65" s="896" t="e">
        <f>+#REF!</f>
        <v>#REF!</v>
      </c>
      <c r="B65" s="914" t="e">
        <f>+#REF!</f>
        <v>#REF!</v>
      </c>
      <c r="C65" s="845"/>
      <c r="D65" s="848"/>
      <c r="E65" s="811"/>
      <c r="F65" s="142"/>
      <c r="G65" s="255"/>
      <c r="H65" s="262"/>
      <c r="I65" s="255">
        <f>I64*0</f>
        <v>0</v>
      </c>
    </row>
    <row r="66" spans="1:10" s="129" customFormat="1" ht="15.95" customHeight="1">
      <c r="A66" s="1087"/>
      <c r="B66" s="924"/>
      <c r="C66" s="840" t="s">
        <v>95</v>
      </c>
      <c r="D66" s="813"/>
      <c r="E66" s="812"/>
      <c r="F66" s="142"/>
      <c r="G66" s="255"/>
      <c r="H66" s="262"/>
      <c r="I66" s="255"/>
    </row>
    <row r="67" spans="1:10" s="129" customFormat="1" ht="15.95" customHeight="1">
      <c r="A67" s="896" t="e">
        <f>+#REF!</f>
        <v>#REF!</v>
      </c>
      <c r="B67" s="914" t="e">
        <f>+#REF!</f>
        <v>#REF!</v>
      </c>
      <c r="C67" s="845"/>
      <c r="D67" s="848"/>
      <c r="E67" s="811"/>
      <c r="F67" s="142"/>
      <c r="G67" s="255"/>
      <c r="H67" s="262"/>
      <c r="I67" s="255"/>
    </row>
    <row r="68" spans="1:10" s="129" customFormat="1" ht="15.95" customHeight="1">
      <c r="A68" s="1087"/>
      <c r="B68" s="924"/>
      <c r="C68" s="840" t="s">
        <v>95</v>
      </c>
      <c r="D68" s="813"/>
      <c r="E68" s="812"/>
      <c r="F68" s="142"/>
      <c r="G68" s="255">
        <f>+G64*0.3</f>
        <v>2667</v>
      </c>
      <c r="H68" s="262">
        <v>1.1000000000000001</v>
      </c>
      <c r="I68" s="255">
        <f>G68*H68</f>
        <v>2933.7000000000003</v>
      </c>
      <c r="J68" s="129">
        <f>I68-I65</f>
        <v>2933.7000000000003</v>
      </c>
    </row>
    <row r="69" spans="1:10" s="205" customFormat="1" ht="15.95" customHeight="1">
      <c r="A69" s="896" t="e">
        <f>+#REF!</f>
        <v>#REF!</v>
      </c>
      <c r="B69" s="914" t="e">
        <f>+#REF!</f>
        <v>#REF!</v>
      </c>
      <c r="C69" s="845"/>
      <c r="D69" s="848"/>
      <c r="E69" s="811"/>
      <c r="G69" s="258"/>
      <c r="H69" s="264"/>
      <c r="I69" s="258"/>
    </row>
    <row r="70" spans="1:10" s="205" customFormat="1" ht="15.95" customHeight="1">
      <c r="A70" s="1087"/>
      <c r="B70" s="924"/>
      <c r="C70" s="840" t="s">
        <v>94</v>
      </c>
      <c r="D70" s="813"/>
      <c r="E70" s="812"/>
      <c r="G70" s="258">
        <f>+G143/0.2</f>
        <v>2280</v>
      </c>
      <c r="H70" s="264">
        <v>1.1000000000000001</v>
      </c>
      <c r="I70" s="258">
        <f>+G70*H70</f>
        <v>2508</v>
      </c>
    </row>
    <row r="71" spans="1:10" s="129" customFormat="1" ht="20.100000000000001" customHeight="1">
      <c r="A71" s="1938" t="e">
        <f>+#REF!</f>
        <v>#REF!</v>
      </c>
      <c r="B71" s="1938"/>
      <c r="C71" s="1938"/>
      <c r="D71" s="1938"/>
      <c r="E71" s="1938"/>
      <c r="F71" s="142"/>
      <c r="G71" s="145">
        <f>+I78*0.15</f>
        <v>2433.1859999999997</v>
      </c>
      <c r="H71" s="262">
        <v>1.05</v>
      </c>
      <c r="I71" s="255">
        <f>G71*H71</f>
        <v>2554.8453</v>
      </c>
    </row>
    <row r="72" spans="1:10" s="129" customFormat="1" ht="15.95" customHeight="1">
      <c r="A72" s="896" t="e">
        <f>+#REF!</f>
        <v>#REF!</v>
      </c>
      <c r="B72" s="914" t="e">
        <f>+#REF!</f>
        <v>#REF!</v>
      </c>
      <c r="C72" s="845"/>
      <c r="D72" s="848"/>
      <c r="E72" s="811"/>
      <c r="F72" s="142"/>
      <c r="G72" s="255"/>
      <c r="H72" s="262"/>
      <c r="I72" s="255"/>
      <c r="J72" s="129" t="s">
        <v>273</v>
      </c>
    </row>
    <row r="73" spans="1:10" s="129" customFormat="1" ht="15.95" customHeight="1">
      <c r="A73" s="1087" t="e">
        <f>+#REF!</f>
        <v>#REF!</v>
      </c>
      <c r="B73" s="924" t="e">
        <f>+#REF!</f>
        <v>#REF!</v>
      </c>
      <c r="C73" s="840" t="s">
        <v>95</v>
      </c>
      <c r="D73" s="813"/>
      <c r="E73" s="812"/>
      <c r="F73" s="142"/>
      <c r="G73" s="145">
        <f>+I78*0.35+I79*0.2</f>
        <v>8290.884</v>
      </c>
      <c r="H73" s="262">
        <v>1.05</v>
      </c>
      <c r="I73" s="255">
        <f>G73*H73</f>
        <v>8705.4282000000003</v>
      </c>
    </row>
    <row r="74" spans="1:10" s="129" customFormat="1" ht="15.95" customHeight="1">
      <c r="A74" s="1092" t="e">
        <f>+#REF!</f>
        <v>#REF!</v>
      </c>
      <c r="B74" s="914" t="e">
        <f>+#REF!</f>
        <v>#REF!</v>
      </c>
      <c r="C74" s="845"/>
      <c r="D74" s="848"/>
      <c r="E74" s="811"/>
      <c r="F74" s="142"/>
      <c r="G74" s="255"/>
      <c r="H74" s="262"/>
      <c r="I74" s="255"/>
    </row>
    <row r="75" spans="1:10" s="129" customFormat="1" ht="15.95" customHeight="1">
      <c r="A75" s="885"/>
      <c r="B75" s="924"/>
      <c r="C75" s="840" t="s">
        <v>14</v>
      </c>
      <c r="D75" s="813"/>
      <c r="E75" s="812"/>
      <c r="F75" s="142"/>
      <c r="G75" s="255">
        <f>G71*1950*5%</f>
        <v>237235.63499999998</v>
      </c>
      <c r="H75" s="262">
        <v>1.05</v>
      </c>
      <c r="I75" s="255">
        <f>G75*H75</f>
        <v>249097.41675</v>
      </c>
    </row>
    <row r="76" spans="1:10" s="129" customFormat="1" ht="15.95" customHeight="1">
      <c r="A76" s="896" t="e">
        <f>+#REF!</f>
        <v>#REF!</v>
      </c>
      <c r="B76" s="914" t="e">
        <f>+#REF!</f>
        <v>#REF!</v>
      </c>
      <c r="C76" s="849"/>
      <c r="D76" s="848"/>
      <c r="E76" s="811"/>
      <c r="F76" s="142"/>
      <c r="G76" s="255"/>
      <c r="H76" s="262"/>
      <c r="I76" s="255"/>
    </row>
    <row r="77" spans="1:10" s="129" customFormat="1" ht="15.95" customHeight="1">
      <c r="A77" s="1086" t="e">
        <f>+#REF!</f>
        <v>#REF!</v>
      </c>
      <c r="B77" s="931" t="e">
        <f>+#REF!</f>
        <v>#REF!</v>
      </c>
      <c r="C77" s="839"/>
      <c r="D77" s="388"/>
      <c r="E77" s="930"/>
      <c r="F77" s="142"/>
      <c r="G77" s="255"/>
      <c r="H77" s="262"/>
      <c r="I77" s="255"/>
    </row>
    <row r="78" spans="1:10" s="129" customFormat="1" ht="15.95" customHeight="1">
      <c r="A78" s="1086" t="e">
        <f>+#REF!</f>
        <v>#REF!</v>
      </c>
      <c r="B78" s="931" t="e">
        <f>+#REF!</f>
        <v>#REF!</v>
      </c>
      <c r="C78" s="839" t="s">
        <v>94</v>
      </c>
      <c r="D78" s="388"/>
      <c r="E78" s="930"/>
      <c r="F78" s="142"/>
      <c r="G78" s="299">
        <f>+G20</f>
        <v>15448.8</v>
      </c>
      <c r="H78" s="262">
        <v>1.05</v>
      </c>
      <c r="I78" s="255">
        <f>+G78*H78</f>
        <v>16221.24</v>
      </c>
    </row>
    <row r="79" spans="1:10" s="129" customFormat="1" ht="15.95" customHeight="1">
      <c r="A79" s="1093" t="e">
        <f>+#REF!</f>
        <v>#REF!</v>
      </c>
      <c r="B79" s="1094" t="e">
        <f>+#REF!</f>
        <v>#REF!</v>
      </c>
      <c r="C79" s="850" t="s">
        <v>94</v>
      </c>
      <c r="D79" s="1095"/>
      <c r="E79" s="1096"/>
      <c r="F79" s="142"/>
      <c r="G79" s="255">
        <f>+I20</f>
        <v>12445</v>
      </c>
      <c r="H79" s="262">
        <v>1.05</v>
      </c>
      <c r="I79" s="255">
        <f>+G79*H79</f>
        <v>13067.25</v>
      </c>
    </row>
    <row r="80" spans="1:10" s="129" customFormat="1" ht="15.95" customHeight="1">
      <c r="A80" s="896" t="e">
        <f>+#REF!</f>
        <v>#REF!</v>
      </c>
      <c r="B80" s="914" t="e">
        <f>+#REF!</f>
        <v>#REF!</v>
      </c>
      <c r="C80" s="849"/>
      <c r="D80" s="848"/>
      <c r="E80" s="811"/>
      <c r="F80" s="142"/>
      <c r="G80" s="255"/>
      <c r="H80" s="262">
        <v>1.05</v>
      </c>
      <c r="I80" s="255">
        <f t="shared" ref="I80:I87" si="3">+G80*H80</f>
        <v>0</v>
      </c>
    </row>
    <row r="81" spans="1:9" s="129" customFormat="1" ht="15.95" customHeight="1">
      <c r="A81" s="1086" t="e">
        <f>+#REF!</f>
        <v>#REF!</v>
      </c>
      <c r="B81" s="931" t="e">
        <f>+#REF!</f>
        <v>#REF!</v>
      </c>
      <c r="C81" s="839" t="s">
        <v>94</v>
      </c>
      <c r="D81" s="388"/>
      <c r="E81" s="930"/>
      <c r="F81" s="142"/>
      <c r="G81" s="255"/>
      <c r="H81" s="262">
        <v>1.05</v>
      </c>
      <c r="I81" s="255">
        <f t="shared" si="3"/>
        <v>0</v>
      </c>
    </row>
    <row r="82" spans="1:9" s="129" customFormat="1" ht="15.95" customHeight="1">
      <c r="A82" s="1087" t="e">
        <f>+#REF!</f>
        <v>#REF!</v>
      </c>
      <c r="B82" s="924" t="e">
        <f>+#REF!</f>
        <v>#REF!</v>
      </c>
      <c r="C82" s="840" t="s">
        <v>94</v>
      </c>
      <c r="D82" s="813"/>
      <c r="E82" s="812"/>
      <c r="F82" s="142"/>
      <c r="G82" s="255"/>
      <c r="H82" s="262">
        <v>1.05</v>
      </c>
      <c r="I82" s="255">
        <f t="shared" si="3"/>
        <v>0</v>
      </c>
    </row>
    <row r="83" spans="1:9" s="129" customFormat="1" ht="15.95" customHeight="1">
      <c r="A83" s="896" t="e">
        <f>+#REF!</f>
        <v>#REF!</v>
      </c>
      <c r="B83" s="914" t="e">
        <f>+#REF!</f>
        <v>#REF!</v>
      </c>
      <c r="C83" s="849"/>
      <c r="D83" s="848"/>
      <c r="E83" s="811"/>
      <c r="F83" s="142"/>
      <c r="G83" s="255"/>
      <c r="H83" s="262">
        <v>1.05</v>
      </c>
      <c r="I83" s="255">
        <f t="shared" si="3"/>
        <v>0</v>
      </c>
    </row>
    <row r="84" spans="1:9" s="129" customFormat="1" ht="15.95" customHeight="1">
      <c r="A84" s="1086" t="e">
        <f>+#REF!</f>
        <v>#REF!</v>
      </c>
      <c r="B84" s="931" t="e">
        <f>+#REF!</f>
        <v>#REF!</v>
      </c>
      <c r="C84" s="839" t="s">
        <v>205</v>
      </c>
      <c r="D84" s="388"/>
      <c r="E84" s="930"/>
      <c r="F84" s="142"/>
      <c r="G84" s="255"/>
      <c r="H84" s="262">
        <v>1.05</v>
      </c>
      <c r="I84" s="255">
        <f t="shared" si="3"/>
        <v>0</v>
      </c>
    </row>
    <row r="85" spans="1:9" s="129" customFormat="1" ht="15.95" customHeight="1">
      <c r="A85" s="1086" t="e">
        <f>+#REF!</f>
        <v>#REF!</v>
      </c>
      <c r="B85" s="931" t="e">
        <f>+#REF!</f>
        <v>#REF!</v>
      </c>
      <c r="C85" s="839" t="s">
        <v>205</v>
      </c>
      <c r="D85" s="388"/>
      <c r="E85" s="930"/>
      <c r="F85" s="142"/>
      <c r="G85" s="255">
        <f>+E13+E14+20*20</f>
        <v>400</v>
      </c>
      <c r="H85" s="262">
        <v>1.05</v>
      </c>
      <c r="I85" s="255">
        <f t="shared" si="3"/>
        <v>420</v>
      </c>
    </row>
    <row r="86" spans="1:9" s="129" customFormat="1" ht="15.95" customHeight="1">
      <c r="A86" s="1086" t="e">
        <f>+#REF!</f>
        <v>#REF!</v>
      </c>
      <c r="B86" s="931" t="e">
        <f>+#REF!</f>
        <v>#REF!</v>
      </c>
      <c r="C86" s="839" t="s">
        <v>205</v>
      </c>
      <c r="D86" s="388"/>
      <c r="E86" s="930"/>
      <c r="F86" s="142"/>
      <c r="G86" s="255">
        <f>+E13+E14+E15*2+E16*2+E17*2+20*2*(50-35)</f>
        <v>3140</v>
      </c>
      <c r="H86" s="262">
        <v>1.05</v>
      </c>
      <c r="I86" s="255">
        <f t="shared" si="3"/>
        <v>3297</v>
      </c>
    </row>
    <row r="87" spans="1:9" s="129" customFormat="1" ht="15.95" customHeight="1">
      <c r="A87" s="1093" t="e">
        <f>+#REF!</f>
        <v>#REF!</v>
      </c>
      <c r="B87" s="1094" t="e">
        <f>+#REF!</f>
        <v>#REF!</v>
      </c>
      <c r="C87" s="850" t="s">
        <v>205</v>
      </c>
      <c r="D87" s="1095"/>
      <c r="E87" s="1096"/>
      <c r="F87" s="142"/>
      <c r="G87" s="255">
        <f>+E13+E14+E15+E16*2+E17*2+20*(50-35)*2</f>
        <v>1870</v>
      </c>
      <c r="H87" s="262">
        <v>1.05</v>
      </c>
      <c r="I87" s="255">
        <f t="shared" si="3"/>
        <v>1963.5</v>
      </c>
    </row>
    <row r="88" spans="1:9" s="129" customFormat="1" ht="15.95" customHeight="1">
      <c r="A88" s="896" t="e">
        <f>+#REF!</f>
        <v>#REF!</v>
      </c>
      <c r="B88" s="914" t="e">
        <f>+#REF!</f>
        <v>#REF!</v>
      </c>
      <c r="C88" s="849"/>
      <c r="D88" s="848"/>
      <c r="E88" s="811"/>
      <c r="F88" s="142"/>
      <c r="G88" s="255"/>
      <c r="H88" s="262"/>
      <c r="I88" s="255"/>
    </row>
    <row r="89" spans="1:9" s="129" customFormat="1" ht="15.95" customHeight="1">
      <c r="A89" s="1086" t="e">
        <f>+#REF!</f>
        <v>#REF!</v>
      </c>
      <c r="B89" s="931" t="e">
        <f>+#REF!</f>
        <v>#REF!</v>
      </c>
      <c r="C89" s="839" t="s">
        <v>205</v>
      </c>
      <c r="D89" s="388"/>
      <c r="E89" s="930"/>
      <c r="F89" s="142"/>
      <c r="G89" s="255"/>
      <c r="H89" s="262"/>
      <c r="I89" s="255"/>
    </row>
    <row r="90" spans="1:9" s="129" customFormat="1" ht="15.95" customHeight="1">
      <c r="A90" s="1086" t="e">
        <f>+#REF!</f>
        <v>#REF!</v>
      </c>
      <c r="B90" s="931" t="e">
        <f>+#REF!</f>
        <v>#REF!</v>
      </c>
      <c r="C90" s="839" t="s">
        <v>205</v>
      </c>
      <c r="D90" s="388"/>
      <c r="E90" s="930"/>
      <c r="F90" s="142"/>
      <c r="G90" s="255"/>
      <c r="H90" s="262"/>
      <c r="I90" s="255"/>
    </row>
    <row r="91" spans="1:9" s="129" customFormat="1" ht="15.95" customHeight="1">
      <c r="A91" s="1087" t="e">
        <f>+#REF!</f>
        <v>#REF!</v>
      </c>
      <c r="B91" s="924" t="e">
        <f>+#REF!</f>
        <v>#REF!</v>
      </c>
      <c r="C91" s="840" t="s">
        <v>205</v>
      </c>
      <c r="D91" s="813"/>
      <c r="E91" s="812"/>
      <c r="F91" s="142"/>
      <c r="G91" s="255"/>
      <c r="H91" s="262"/>
      <c r="I91" s="255"/>
    </row>
    <row r="92" spans="1:9" s="129" customFormat="1" ht="30" customHeight="1">
      <c r="A92" s="896" t="e">
        <f>+#REF!</f>
        <v>#REF!</v>
      </c>
      <c r="B92" s="914" t="e">
        <f>+#REF!</f>
        <v>#REF!</v>
      </c>
      <c r="C92" s="849"/>
      <c r="D92" s="848"/>
      <c r="E92" s="811"/>
      <c r="F92" s="142"/>
      <c r="G92" s="255"/>
      <c r="H92" s="262"/>
      <c r="I92" s="255"/>
    </row>
    <row r="93" spans="1:9" s="129" customFormat="1" ht="15.95" customHeight="1">
      <c r="A93" s="1086" t="e">
        <f>+#REF!</f>
        <v>#REF!</v>
      </c>
      <c r="B93" s="931" t="e">
        <f>+#REF!</f>
        <v>#REF!</v>
      </c>
      <c r="C93" s="839"/>
      <c r="D93" s="388"/>
      <c r="E93" s="930"/>
      <c r="F93" s="142"/>
      <c r="G93" s="255"/>
      <c r="H93" s="262"/>
      <c r="I93" s="255"/>
    </row>
    <row r="94" spans="1:9" s="129" customFormat="1" ht="15.95" customHeight="1">
      <c r="A94" s="1086" t="e">
        <f>+#REF!</f>
        <v>#REF!</v>
      </c>
      <c r="B94" s="931" t="e">
        <f>+#REF!</f>
        <v>#REF!</v>
      </c>
      <c r="C94" s="839" t="s">
        <v>94</v>
      </c>
      <c r="D94" s="388"/>
      <c r="E94" s="930"/>
      <c r="F94" s="142"/>
      <c r="G94" s="255"/>
      <c r="H94" s="262"/>
      <c r="I94" s="255"/>
    </row>
    <row r="95" spans="1:9" s="129" customFormat="1" ht="15.95" customHeight="1">
      <c r="A95" s="1086" t="e">
        <f>+#REF!</f>
        <v>#REF!</v>
      </c>
      <c r="B95" s="931" t="e">
        <f>+#REF!</f>
        <v>#REF!</v>
      </c>
      <c r="C95" s="839" t="s">
        <v>94</v>
      </c>
      <c r="D95" s="388"/>
      <c r="E95" s="930"/>
      <c r="F95" s="142"/>
      <c r="G95" s="255"/>
      <c r="H95" s="262"/>
      <c r="I95" s="255"/>
    </row>
    <row r="96" spans="1:9" s="129" customFormat="1" ht="15.95" customHeight="1">
      <c r="A96" s="1086" t="e">
        <f>+#REF!</f>
        <v>#REF!</v>
      </c>
      <c r="B96" s="931" t="e">
        <f>+#REF!</f>
        <v>#REF!</v>
      </c>
      <c r="C96" s="839"/>
      <c r="D96" s="388"/>
      <c r="E96" s="930"/>
      <c r="F96" s="142"/>
      <c r="G96" s="255"/>
      <c r="H96" s="262"/>
      <c r="I96" s="255"/>
    </row>
    <row r="97" spans="1:13" s="129" customFormat="1" ht="15.95" customHeight="1">
      <c r="A97" s="1086" t="e">
        <f>+#REF!</f>
        <v>#REF!</v>
      </c>
      <c r="B97" s="931" t="e">
        <f>+#REF!</f>
        <v>#REF!</v>
      </c>
      <c r="C97" s="839" t="s">
        <v>94</v>
      </c>
      <c r="D97" s="388"/>
      <c r="E97" s="930"/>
      <c r="F97" s="142"/>
      <c r="G97" s="255"/>
      <c r="H97" s="262"/>
      <c r="I97" s="255"/>
    </row>
    <row r="98" spans="1:13" s="129" customFormat="1" ht="15.95" customHeight="1">
      <c r="A98" s="1087" t="e">
        <f>+#REF!</f>
        <v>#REF!</v>
      </c>
      <c r="B98" s="924" t="e">
        <f>+#REF!</f>
        <v>#REF!</v>
      </c>
      <c r="C98" s="840" t="s">
        <v>94</v>
      </c>
      <c r="D98" s="813"/>
      <c r="E98" s="812"/>
      <c r="F98" s="142"/>
      <c r="G98" s="255"/>
      <c r="H98" s="262"/>
      <c r="I98" s="255"/>
    </row>
    <row r="99" spans="1:13" s="129" customFormat="1" ht="15.95" customHeight="1">
      <c r="A99" s="1938" t="e">
        <f>+#REF!</f>
        <v>#REF!</v>
      </c>
      <c r="B99" s="1938"/>
      <c r="C99" s="1938"/>
      <c r="D99" s="1938"/>
      <c r="E99" s="1938"/>
      <c r="F99" s="142"/>
      <c r="G99" s="255"/>
      <c r="H99" s="262"/>
      <c r="I99" s="255"/>
      <c r="K99" s="129">
        <f>2.95*2</f>
        <v>5.9</v>
      </c>
    </row>
    <row r="100" spans="1:13" s="129" customFormat="1" ht="15.95" customHeight="1">
      <c r="A100" s="896" t="e">
        <f>+#REF!</f>
        <v>#REF!</v>
      </c>
      <c r="B100" s="914" t="e">
        <f>+#REF!</f>
        <v>#REF!</v>
      </c>
      <c r="C100" s="845"/>
      <c r="D100" s="848"/>
      <c r="E100" s="909"/>
      <c r="F100" s="142"/>
      <c r="G100" s="255"/>
      <c r="H100" s="262"/>
      <c r="I100" s="255"/>
      <c r="K100" s="129">
        <v>6.1</v>
      </c>
    </row>
    <row r="101" spans="1:13" s="129" customFormat="1" ht="15.95" customHeight="1">
      <c r="A101" s="885"/>
      <c r="B101" s="897"/>
      <c r="C101" s="840" t="s">
        <v>95</v>
      </c>
      <c r="D101" s="813"/>
      <c r="E101" s="812"/>
      <c r="F101" s="142"/>
      <c r="G101" s="256">
        <f>(12752+14883+1217+950*2.8)*0.6</f>
        <v>18907.2</v>
      </c>
      <c r="H101" s="262">
        <v>1.1000000000000001</v>
      </c>
      <c r="I101" s="255">
        <f>G101*H101</f>
        <v>20797.920000000002</v>
      </c>
      <c r="K101" s="129">
        <f>2*9</f>
        <v>18</v>
      </c>
    </row>
    <row r="102" spans="1:13" s="129" customFormat="1" ht="15.95" customHeight="1">
      <c r="A102" s="896" t="e">
        <f>+#REF!</f>
        <v>#REF!</v>
      </c>
      <c r="B102" s="914" t="e">
        <f>+#REF!</f>
        <v>#REF!</v>
      </c>
      <c r="C102" s="845"/>
      <c r="D102" s="848"/>
      <c r="E102" s="909"/>
      <c r="F102" s="142"/>
      <c r="G102" s="255"/>
      <c r="H102" s="262"/>
      <c r="I102" s="255"/>
      <c r="K102" s="129">
        <f>2*2</f>
        <v>4</v>
      </c>
    </row>
    <row r="103" spans="1:13" s="129" customFormat="1" ht="15.95" customHeight="1">
      <c r="A103" s="885"/>
      <c r="B103" s="897"/>
      <c r="C103" s="840" t="s">
        <v>95</v>
      </c>
      <c r="D103" s="813"/>
      <c r="E103" s="812"/>
      <c r="F103" s="142"/>
      <c r="G103" s="256">
        <f>(G101-(6.3*2.4*E8)-(4.3*2.4*E3)-(1+0.25*2+0.1*2)*(1.5+0.25*2+0.1)*E9)*0.75</f>
        <v>13229.887500000001</v>
      </c>
      <c r="H103" s="262">
        <v>1.1000000000000001</v>
      </c>
      <c r="I103" s="255">
        <f>G103*H103</f>
        <v>14552.876250000001</v>
      </c>
      <c r="K103" s="129">
        <f>2*3</f>
        <v>6</v>
      </c>
    </row>
    <row r="104" spans="1:13" s="129" customFormat="1" ht="15.95" customHeight="1">
      <c r="A104" s="896" t="e">
        <f>+#REF!</f>
        <v>#REF!</v>
      </c>
      <c r="B104" s="914" t="e">
        <f>+#REF!</f>
        <v>#REF!</v>
      </c>
      <c r="C104" s="845"/>
      <c r="D104" s="848"/>
      <c r="E104" s="909"/>
      <c r="F104" s="142"/>
      <c r="G104" s="255"/>
      <c r="H104" s="262"/>
      <c r="I104" s="255"/>
    </row>
    <row r="105" spans="1:13" s="129" customFormat="1" ht="15.95" customHeight="1">
      <c r="A105" s="885"/>
      <c r="B105" s="897"/>
      <c r="C105" s="840" t="s">
        <v>95</v>
      </c>
      <c r="D105" s="813"/>
      <c r="E105" s="812"/>
      <c r="F105" s="142"/>
      <c r="G105" s="255"/>
      <c r="H105" s="262"/>
      <c r="I105" s="255"/>
    </row>
    <row r="106" spans="1:13" s="129" customFormat="1" ht="15.95" customHeight="1">
      <c r="A106" s="896" t="e">
        <f>+#REF!</f>
        <v>#REF!</v>
      </c>
      <c r="B106" s="914" t="e">
        <f>+#REF!</f>
        <v>#REF!</v>
      </c>
      <c r="C106" s="845"/>
      <c r="D106" s="848"/>
      <c r="E106" s="909"/>
      <c r="F106" s="142"/>
      <c r="G106" s="255"/>
      <c r="H106" s="262"/>
      <c r="I106" s="255"/>
    </row>
    <row r="107" spans="1:13" s="129" customFormat="1" ht="15.95" customHeight="1">
      <c r="A107" s="885"/>
      <c r="B107" s="897"/>
      <c r="C107" s="840" t="s">
        <v>94</v>
      </c>
      <c r="D107" s="813"/>
      <c r="E107" s="812"/>
      <c r="F107" s="142"/>
      <c r="G107" s="255"/>
      <c r="H107" s="262"/>
      <c r="I107" s="255">
        <f>6.2+2</f>
        <v>8.1999999999999993</v>
      </c>
      <c r="J107" s="129">
        <f>2</f>
        <v>2</v>
      </c>
    </row>
    <row r="108" spans="1:13" s="129" customFormat="1" ht="15.95" customHeight="1">
      <c r="A108" s="896" t="e">
        <f>+#REF!</f>
        <v>#REF!</v>
      </c>
      <c r="B108" s="914" t="e">
        <f>+#REF!</f>
        <v>#REF!</v>
      </c>
      <c r="C108" s="845"/>
      <c r="D108" s="848"/>
      <c r="E108" s="909"/>
      <c r="F108" s="142"/>
      <c r="G108" s="255"/>
      <c r="H108" s="262"/>
      <c r="I108" s="255"/>
      <c r="J108" s="129">
        <f>I107*J107/2</f>
        <v>8.1999999999999993</v>
      </c>
    </row>
    <row r="109" spans="1:13" s="129" customFormat="1" ht="15.95" customHeight="1">
      <c r="A109" s="885" t="e">
        <f>+#REF!</f>
        <v>#REF!</v>
      </c>
      <c r="B109" s="897" t="e">
        <f>+#REF!</f>
        <v>#REF!</v>
      </c>
      <c r="C109" s="840" t="s">
        <v>14</v>
      </c>
      <c r="D109" s="813"/>
      <c r="E109" s="812"/>
      <c r="F109" s="142"/>
      <c r="G109" s="255"/>
      <c r="H109" s="262"/>
      <c r="I109" s="255"/>
    </row>
    <row r="110" spans="1:13" s="129" customFormat="1" ht="15.95" customHeight="1">
      <c r="A110" s="896" t="e">
        <f>+#REF!</f>
        <v>#REF!</v>
      </c>
      <c r="B110" s="914" t="e">
        <f>+#REF!</f>
        <v>#REF!</v>
      </c>
      <c r="C110" s="845"/>
      <c r="D110" s="848"/>
      <c r="E110" s="909"/>
      <c r="F110" s="142"/>
      <c r="G110" s="255"/>
      <c r="H110" s="262"/>
      <c r="I110" s="255"/>
      <c r="K110" s="129">
        <f>0.1+0.25+0.25+0.25+0.1</f>
        <v>0.95</v>
      </c>
    </row>
    <row r="111" spans="1:13" s="129" customFormat="1" ht="15.95" customHeight="1">
      <c r="A111" s="885"/>
      <c r="B111" s="897"/>
      <c r="C111" s="840" t="s">
        <v>95</v>
      </c>
      <c r="D111" s="813"/>
      <c r="E111" s="812"/>
      <c r="F111" s="142"/>
      <c r="G111" s="255"/>
      <c r="H111" s="262"/>
      <c r="I111" s="255"/>
      <c r="K111" s="129">
        <f>1*2+K110</f>
        <v>2.95</v>
      </c>
      <c r="M111" s="129">
        <f>0.1+0.25+1.8+0.25</f>
        <v>2.4</v>
      </c>
    </row>
    <row r="112" spans="1:13" s="129" customFormat="1" ht="15.95" customHeight="1">
      <c r="A112" s="896" t="e">
        <f>+#REF!</f>
        <v>#REF!</v>
      </c>
      <c r="B112" s="914" t="e">
        <f>+#REF!</f>
        <v>#REF!</v>
      </c>
      <c r="C112" s="845"/>
      <c r="D112" s="848"/>
      <c r="E112" s="909"/>
      <c r="F112" s="142"/>
      <c r="G112" s="255"/>
      <c r="H112" s="262"/>
      <c r="I112" s="255"/>
    </row>
    <row r="113" spans="1:188" s="129" customFormat="1" ht="15.95" customHeight="1">
      <c r="A113" s="885"/>
      <c r="B113" s="897"/>
      <c r="C113" s="840" t="s">
        <v>95</v>
      </c>
      <c r="D113" s="813"/>
      <c r="E113" s="812"/>
      <c r="F113" s="142"/>
      <c r="G113" s="255"/>
      <c r="H113" s="262"/>
      <c r="I113" s="255"/>
    </row>
    <row r="114" spans="1:188" s="129" customFormat="1" ht="30" customHeight="1">
      <c r="A114" s="910" t="e">
        <f>+#REF!</f>
        <v>#REF!</v>
      </c>
      <c r="B114" s="934" t="e">
        <f>+#REF!</f>
        <v>#REF!</v>
      </c>
      <c r="C114" s="965"/>
      <c r="D114" s="848"/>
      <c r="E114" s="811"/>
      <c r="F114" s="142"/>
      <c r="G114" s="255"/>
      <c r="H114" s="262"/>
      <c r="I114" s="255"/>
    </row>
    <row r="115" spans="1:188" s="129" customFormat="1" ht="15.95" customHeight="1">
      <c r="A115" s="991" t="e">
        <f>+#REF!</f>
        <v>#REF!</v>
      </c>
      <c r="B115" s="929" t="e">
        <f>+#REF!</f>
        <v>#REF!</v>
      </c>
      <c r="C115" s="839" t="s">
        <v>94</v>
      </c>
      <c r="D115" s="388"/>
      <c r="E115" s="930"/>
      <c r="F115" s="142"/>
      <c r="G115" s="255">
        <f>3%*I56</f>
        <v>31.609500000000001</v>
      </c>
      <c r="H115" s="262">
        <v>1</v>
      </c>
      <c r="I115" s="255">
        <f>G115*H115</f>
        <v>31.609500000000001</v>
      </c>
    </row>
    <row r="116" spans="1:188" s="129" customFormat="1" ht="15.95" customHeight="1">
      <c r="A116" s="991" t="e">
        <f>+#REF!</f>
        <v>#REF!</v>
      </c>
      <c r="B116" s="929" t="e">
        <f>+#REF!</f>
        <v>#REF!</v>
      </c>
      <c r="C116" s="839" t="s">
        <v>94</v>
      </c>
      <c r="D116" s="388"/>
      <c r="E116" s="930"/>
      <c r="F116" s="142"/>
      <c r="G116" s="255">
        <f>0.5%*G56</f>
        <v>105.36500000000001</v>
      </c>
      <c r="H116" s="262">
        <v>1</v>
      </c>
      <c r="I116" s="255">
        <f>G116*H116</f>
        <v>105.36500000000001</v>
      </c>
    </row>
    <row r="117" spans="1:188" s="129" customFormat="1" ht="15.95" customHeight="1">
      <c r="A117" s="885" t="e">
        <f>+#REF!</f>
        <v>#REF!</v>
      </c>
      <c r="B117" s="886" t="e">
        <f>+#REF!</f>
        <v>#REF!</v>
      </c>
      <c r="C117" s="840" t="s">
        <v>94</v>
      </c>
      <c r="D117" s="813"/>
      <c r="E117" s="812"/>
      <c r="F117" s="142"/>
      <c r="G117" s="255">
        <f>10*2</f>
        <v>20</v>
      </c>
      <c r="H117" s="262"/>
      <c r="I117" s="255"/>
    </row>
    <row r="118" spans="1:188" s="129" customFormat="1" ht="15.95" customHeight="1">
      <c r="A118" s="910" t="e">
        <f>+#REF!</f>
        <v>#REF!</v>
      </c>
      <c r="B118" s="916" t="e">
        <f>+#REF!</f>
        <v>#REF!</v>
      </c>
      <c r="C118" s="965"/>
      <c r="D118" s="848"/>
      <c r="E118" s="811"/>
      <c r="F118" s="142"/>
      <c r="G118" s="255"/>
      <c r="H118" s="262"/>
      <c r="I118" s="255"/>
      <c r="K118" s="129">
        <f>+(10+7)*2*2</f>
        <v>68</v>
      </c>
    </row>
    <row r="119" spans="1:188" ht="15.95" customHeight="1">
      <c r="A119" s="885" t="e">
        <f>+#REF!</f>
        <v>#REF!</v>
      </c>
      <c r="B119" s="886" t="e">
        <f>+#REF!</f>
        <v>#REF!</v>
      </c>
      <c r="C119" s="1098" t="s">
        <v>1</v>
      </c>
      <c r="D119" s="813"/>
      <c r="E119" s="812"/>
      <c r="K119" s="270" t="e">
        <f>+#REF!+#REF!</f>
        <v>#REF!</v>
      </c>
    </row>
    <row r="120" spans="1:188" s="225" customFormat="1" ht="15.95" customHeight="1">
      <c r="A120" s="910" t="e">
        <f>+#REF!</f>
        <v>#REF!</v>
      </c>
      <c r="B120" s="916" t="e">
        <f>+#REF!</f>
        <v>#REF!</v>
      </c>
      <c r="C120" s="849"/>
      <c r="D120" s="848"/>
      <c r="E120" s="811"/>
      <c r="G120" s="259"/>
      <c r="H120" s="265"/>
      <c r="I120" s="259"/>
      <c r="J120" s="226"/>
      <c r="K120" s="226"/>
      <c r="L120" s="226"/>
      <c r="M120" s="226"/>
      <c r="N120" s="226"/>
      <c r="O120" s="226"/>
      <c r="P120" s="226"/>
      <c r="Q120" s="226"/>
      <c r="R120" s="226"/>
      <c r="S120" s="226"/>
      <c r="T120" s="226"/>
      <c r="U120" s="226"/>
      <c r="V120" s="226"/>
      <c r="W120" s="226"/>
      <c r="X120" s="226"/>
      <c r="Y120" s="226"/>
      <c r="Z120" s="226"/>
      <c r="AA120" s="226"/>
      <c r="AB120" s="226"/>
      <c r="AC120" s="226"/>
      <c r="AD120" s="226"/>
      <c r="AE120" s="226"/>
      <c r="AF120" s="226"/>
      <c r="AG120" s="226"/>
      <c r="AH120" s="226"/>
      <c r="AI120" s="226"/>
      <c r="AJ120" s="226"/>
      <c r="AK120" s="226"/>
      <c r="AL120" s="226"/>
      <c r="AM120" s="226"/>
      <c r="AN120" s="226"/>
      <c r="AO120" s="226"/>
      <c r="AP120" s="226"/>
      <c r="AQ120" s="226"/>
      <c r="AR120" s="226"/>
      <c r="AS120" s="226"/>
      <c r="AT120" s="226"/>
      <c r="AU120" s="226"/>
      <c r="AV120" s="226"/>
      <c r="AW120" s="226"/>
      <c r="AX120" s="226"/>
      <c r="AY120" s="226"/>
      <c r="AZ120" s="226"/>
      <c r="BA120" s="226"/>
      <c r="BB120" s="226"/>
      <c r="BC120" s="226"/>
      <c r="BD120" s="226"/>
      <c r="BE120" s="226"/>
      <c r="BF120" s="226"/>
      <c r="BG120" s="226"/>
      <c r="BH120" s="226"/>
      <c r="BI120" s="226"/>
      <c r="BJ120" s="226"/>
      <c r="BK120" s="226"/>
      <c r="BL120" s="226"/>
      <c r="BM120" s="226"/>
      <c r="BN120" s="226"/>
      <c r="BO120" s="226"/>
      <c r="BP120" s="226"/>
      <c r="BQ120" s="226"/>
      <c r="BR120" s="226"/>
      <c r="BS120" s="226"/>
      <c r="BT120" s="226"/>
      <c r="BU120" s="226"/>
      <c r="BV120" s="226"/>
      <c r="BW120" s="226"/>
      <c r="BX120" s="226"/>
      <c r="BY120" s="226"/>
      <c r="BZ120" s="226"/>
      <c r="CA120" s="226"/>
      <c r="CB120" s="226"/>
      <c r="CC120" s="226"/>
      <c r="CD120" s="226"/>
      <c r="CE120" s="226"/>
      <c r="CF120" s="226"/>
      <c r="CG120" s="226"/>
      <c r="CH120" s="226"/>
      <c r="CI120" s="226"/>
      <c r="CJ120" s="226"/>
      <c r="CK120" s="226"/>
      <c r="CL120" s="226"/>
      <c r="CM120" s="226"/>
      <c r="CN120" s="226"/>
      <c r="CO120" s="226"/>
      <c r="CP120" s="226"/>
      <c r="CQ120" s="226"/>
      <c r="CR120" s="226"/>
      <c r="CS120" s="226"/>
      <c r="CT120" s="226"/>
      <c r="CU120" s="226"/>
      <c r="CV120" s="226"/>
      <c r="CW120" s="226"/>
      <c r="CX120" s="226"/>
      <c r="CY120" s="226"/>
      <c r="CZ120" s="226"/>
      <c r="DA120" s="226"/>
      <c r="DB120" s="226"/>
      <c r="DC120" s="226"/>
      <c r="DD120" s="226"/>
      <c r="DE120" s="226"/>
      <c r="DF120" s="226"/>
      <c r="DG120" s="226"/>
      <c r="DH120" s="226"/>
      <c r="DI120" s="226"/>
      <c r="DJ120" s="226"/>
      <c r="DK120" s="226"/>
      <c r="DL120" s="226"/>
      <c r="DM120" s="226"/>
      <c r="DN120" s="226"/>
      <c r="DO120" s="226"/>
      <c r="DP120" s="226"/>
      <c r="DQ120" s="226"/>
      <c r="DR120" s="226"/>
      <c r="DS120" s="226"/>
      <c r="DT120" s="226"/>
      <c r="DU120" s="226"/>
      <c r="DV120" s="226"/>
      <c r="DW120" s="226"/>
      <c r="DX120" s="226"/>
      <c r="DY120" s="226"/>
      <c r="DZ120" s="226"/>
      <c r="EA120" s="226"/>
      <c r="EB120" s="226"/>
      <c r="EC120" s="226"/>
      <c r="ED120" s="226"/>
      <c r="EE120" s="226"/>
      <c r="EF120" s="226"/>
      <c r="EG120" s="226"/>
      <c r="EH120" s="226"/>
      <c r="EI120" s="226"/>
      <c r="EJ120" s="226"/>
      <c r="EK120" s="226"/>
      <c r="EL120" s="226"/>
      <c r="EM120" s="226"/>
      <c r="EN120" s="226"/>
      <c r="EO120" s="226"/>
      <c r="EP120" s="226"/>
      <c r="EQ120" s="226"/>
      <c r="ER120" s="226"/>
      <c r="ES120" s="226"/>
      <c r="ET120" s="226"/>
      <c r="EU120" s="226"/>
      <c r="EV120" s="226"/>
      <c r="EW120" s="226"/>
      <c r="EX120" s="226"/>
      <c r="EY120" s="226"/>
      <c r="EZ120" s="226"/>
      <c r="FA120" s="226"/>
      <c r="FB120" s="226"/>
      <c r="FC120" s="226"/>
      <c r="FD120" s="226"/>
      <c r="FE120" s="226"/>
      <c r="FF120" s="226"/>
      <c r="FG120" s="226"/>
      <c r="FH120" s="226"/>
      <c r="FI120" s="226"/>
      <c r="FJ120" s="226"/>
      <c r="FK120" s="226"/>
      <c r="FL120" s="226"/>
      <c r="FM120" s="226"/>
      <c r="FN120" s="226"/>
      <c r="FO120" s="226"/>
      <c r="FP120" s="226"/>
      <c r="FQ120" s="226"/>
      <c r="FR120" s="226"/>
      <c r="FS120" s="226"/>
      <c r="FT120" s="226"/>
      <c r="FU120" s="226"/>
      <c r="FV120" s="226"/>
      <c r="FW120" s="226"/>
      <c r="FX120" s="226"/>
      <c r="FY120" s="226"/>
      <c r="FZ120" s="226"/>
      <c r="GA120" s="226"/>
      <c r="GB120" s="226"/>
      <c r="GC120" s="226"/>
      <c r="GD120" s="226"/>
      <c r="GE120" s="226"/>
      <c r="GF120" s="226"/>
    </row>
    <row r="121" spans="1:188" s="225" customFormat="1" ht="15.95" customHeight="1">
      <c r="A121" s="991" t="e">
        <f>+#REF!</f>
        <v>#REF!</v>
      </c>
      <c r="B121" s="929" t="e">
        <f>+#REF!</f>
        <v>#REF!</v>
      </c>
      <c r="C121" s="839" t="s">
        <v>1</v>
      </c>
      <c r="D121" s="388"/>
      <c r="E121" s="930"/>
      <c r="G121" s="259">
        <f>E7</f>
        <v>1350.4</v>
      </c>
      <c r="H121" s="265">
        <v>1.05</v>
      </c>
      <c r="I121" s="259">
        <f t="shared" ref="I121:I122" si="4">G121*H121</f>
        <v>1417.92</v>
      </c>
      <c r="J121" s="226"/>
      <c r="K121" s="226"/>
      <c r="L121" s="226"/>
      <c r="M121" s="226"/>
      <c r="N121" s="226"/>
      <c r="O121" s="226"/>
      <c r="P121" s="226"/>
      <c r="Q121" s="226"/>
      <c r="R121" s="226"/>
      <c r="S121" s="226"/>
      <c r="T121" s="226"/>
      <c r="U121" s="226"/>
      <c r="V121" s="226"/>
      <c r="W121" s="226"/>
      <c r="X121" s="226"/>
      <c r="Y121" s="226"/>
      <c r="Z121" s="226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  <c r="AY121" s="226"/>
      <c r="AZ121" s="226"/>
      <c r="BA121" s="226"/>
      <c r="BB121" s="226"/>
      <c r="BC121" s="226"/>
      <c r="BD121" s="226"/>
      <c r="BE121" s="226"/>
      <c r="BF121" s="226"/>
      <c r="BG121" s="226"/>
      <c r="BH121" s="226"/>
      <c r="BI121" s="226"/>
      <c r="BJ121" s="226"/>
      <c r="BK121" s="226"/>
      <c r="BL121" s="226"/>
      <c r="BM121" s="226"/>
      <c r="BN121" s="226"/>
      <c r="BO121" s="226"/>
      <c r="BP121" s="226"/>
      <c r="BQ121" s="226"/>
      <c r="BR121" s="226"/>
      <c r="BS121" s="226"/>
      <c r="BT121" s="226"/>
      <c r="BU121" s="226"/>
      <c r="BV121" s="226"/>
      <c r="BW121" s="226"/>
      <c r="BX121" s="226"/>
      <c r="BY121" s="226"/>
      <c r="BZ121" s="226"/>
      <c r="CA121" s="226"/>
      <c r="CB121" s="226"/>
      <c r="CC121" s="226"/>
      <c r="CD121" s="226"/>
      <c r="CE121" s="226"/>
      <c r="CF121" s="226"/>
      <c r="CG121" s="226"/>
      <c r="CH121" s="226"/>
      <c r="CI121" s="226"/>
      <c r="CJ121" s="226"/>
      <c r="CK121" s="226"/>
      <c r="CL121" s="226"/>
      <c r="CM121" s="226"/>
      <c r="CN121" s="226"/>
      <c r="CO121" s="226"/>
      <c r="CP121" s="226"/>
      <c r="CQ121" s="226"/>
      <c r="CR121" s="226"/>
      <c r="CS121" s="226"/>
      <c r="CT121" s="226"/>
      <c r="CU121" s="226"/>
      <c r="CV121" s="226"/>
      <c r="CW121" s="226"/>
      <c r="CX121" s="226"/>
      <c r="CY121" s="226"/>
      <c r="CZ121" s="226"/>
      <c r="DA121" s="226"/>
      <c r="DB121" s="226"/>
      <c r="DC121" s="226"/>
      <c r="DD121" s="226"/>
      <c r="DE121" s="226"/>
      <c r="DF121" s="226"/>
      <c r="DG121" s="226"/>
      <c r="DH121" s="226"/>
      <c r="DI121" s="226"/>
      <c r="DJ121" s="226"/>
      <c r="DK121" s="226"/>
      <c r="DL121" s="226"/>
      <c r="DM121" s="226"/>
      <c r="DN121" s="226"/>
      <c r="DO121" s="226"/>
      <c r="DP121" s="226"/>
      <c r="DQ121" s="226"/>
      <c r="DR121" s="226"/>
      <c r="DS121" s="226"/>
      <c r="DT121" s="226"/>
      <c r="DU121" s="226"/>
      <c r="DV121" s="226"/>
      <c r="DW121" s="226"/>
      <c r="DX121" s="226"/>
      <c r="DY121" s="226"/>
      <c r="DZ121" s="226"/>
      <c r="EA121" s="226"/>
      <c r="EB121" s="226"/>
      <c r="EC121" s="226"/>
      <c r="ED121" s="226"/>
      <c r="EE121" s="226"/>
      <c r="EF121" s="226"/>
      <c r="EG121" s="226"/>
      <c r="EH121" s="226"/>
      <c r="EI121" s="226"/>
      <c r="EJ121" s="226"/>
      <c r="EK121" s="226"/>
      <c r="EL121" s="226"/>
      <c r="EM121" s="226"/>
      <c r="EN121" s="226"/>
      <c r="EO121" s="226"/>
      <c r="EP121" s="226"/>
      <c r="EQ121" s="226"/>
      <c r="ER121" s="226"/>
      <c r="ES121" s="226"/>
      <c r="ET121" s="226"/>
      <c r="EU121" s="226"/>
      <c r="EV121" s="226"/>
      <c r="EW121" s="226"/>
      <c r="EX121" s="226"/>
      <c r="EY121" s="226"/>
      <c r="EZ121" s="226"/>
      <c r="FA121" s="226"/>
      <c r="FB121" s="226"/>
      <c r="FC121" s="226"/>
      <c r="FD121" s="226"/>
      <c r="FE121" s="226"/>
      <c r="FF121" s="226"/>
      <c r="FG121" s="226"/>
      <c r="FH121" s="226"/>
      <c r="FI121" s="226"/>
      <c r="FJ121" s="226"/>
      <c r="FK121" s="226"/>
      <c r="FL121" s="226"/>
      <c r="FM121" s="226"/>
      <c r="FN121" s="226"/>
      <c r="FO121" s="226"/>
      <c r="FP121" s="226"/>
      <c r="FQ121" s="226"/>
      <c r="FR121" s="226"/>
      <c r="FS121" s="226"/>
      <c r="FT121" s="226"/>
      <c r="FU121" s="226"/>
      <c r="FV121" s="226"/>
      <c r="FW121" s="226"/>
      <c r="FX121" s="226"/>
      <c r="FY121" s="226"/>
      <c r="FZ121" s="226"/>
      <c r="GA121" s="226"/>
      <c r="GB121" s="226"/>
      <c r="GC121" s="226"/>
      <c r="GD121" s="226"/>
      <c r="GE121" s="226"/>
      <c r="GF121" s="226"/>
    </row>
    <row r="122" spans="1:188" s="225" customFormat="1" ht="15.95" customHeight="1">
      <c r="A122" s="991" t="e">
        <f>+#REF!</f>
        <v>#REF!</v>
      </c>
      <c r="B122" s="929" t="e">
        <f>+#REF!</f>
        <v>#REF!</v>
      </c>
      <c r="C122" s="839" t="s">
        <v>1</v>
      </c>
      <c r="D122" s="388"/>
      <c r="E122" s="930"/>
      <c r="G122" s="259">
        <f>E6</f>
        <v>400</v>
      </c>
      <c r="H122" s="265">
        <v>1.05</v>
      </c>
      <c r="I122" s="259">
        <f t="shared" si="4"/>
        <v>420</v>
      </c>
      <c r="J122" s="226"/>
      <c r="K122" s="226"/>
      <c r="L122" s="226"/>
      <c r="M122" s="226"/>
      <c r="N122" s="226"/>
      <c r="O122" s="226"/>
      <c r="P122" s="226"/>
      <c r="Q122" s="226"/>
      <c r="R122" s="226"/>
      <c r="S122" s="226"/>
      <c r="T122" s="226"/>
      <c r="U122" s="226"/>
      <c r="V122" s="226"/>
      <c r="W122" s="226"/>
      <c r="X122" s="226"/>
      <c r="Y122" s="226"/>
      <c r="Z122" s="226"/>
      <c r="AA122" s="226"/>
      <c r="AB122" s="226"/>
      <c r="AC122" s="226"/>
      <c r="AD122" s="226"/>
      <c r="AE122" s="226"/>
      <c r="AF122" s="226"/>
      <c r="AG122" s="226"/>
      <c r="AH122" s="226"/>
      <c r="AI122" s="226"/>
      <c r="AJ122" s="226"/>
      <c r="AK122" s="226"/>
      <c r="AL122" s="226"/>
      <c r="AM122" s="226"/>
      <c r="AN122" s="226"/>
      <c r="AO122" s="226"/>
      <c r="AP122" s="226"/>
      <c r="AQ122" s="226"/>
      <c r="AR122" s="226"/>
      <c r="AS122" s="226"/>
      <c r="AT122" s="226"/>
      <c r="AU122" s="226"/>
      <c r="AV122" s="226"/>
      <c r="AW122" s="226"/>
      <c r="AX122" s="226"/>
      <c r="AY122" s="226"/>
      <c r="AZ122" s="226"/>
      <c r="BA122" s="226"/>
      <c r="BB122" s="226"/>
      <c r="BC122" s="226"/>
      <c r="BD122" s="226"/>
      <c r="BE122" s="226"/>
      <c r="BF122" s="226"/>
      <c r="BG122" s="226"/>
      <c r="BH122" s="226"/>
      <c r="BI122" s="226"/>
      <c r="BJ122" s="226"/>
      <c r="BK122" s="226"/>
      <c r="BL122" s="226"/>
      <c r="BM122" s="226"/>
      <c r="BN122" s="226"/>
      <c r="BO122" s="226"/>
      <c r="BP122" s="226"/>
      <c r="BQ122" s="226"/>
      <c r="BR122" s="226"/>
      <c r="BS122" s="226"/>
      <c r="BT122" s="226"/>
      <c r="BU122" s="226"/>
      <c r="BV122" s="226"/>
      <c r="BW122" s="226"/>
      <c r="BX122" s="226"/>
      <c r="BY122" s="226"/>
      <c r="BZ122" s="226"/>
      <c r="CA122" s="226"/>
      <c r="CB122" s="226"/>
      <c r="CC122" s="226"/>
      <c r="CD122" s="226"/>
      <c r="CE122" s="226"/>
      <c r="CF122" s="226"/>
      <c r="CG122" s="226"/>
      <c r="CH122" s="226"/>
      <c r="CI122" s="226"/>
      <c r="CJ122" s="226"/>
      <c r="CK122" s="226"/>
      <c r="CL122" s="226"/>
      <c r="CM122" s="226"/>
      <c r="CN122" s="226"/>
      <c r="CO122" s="226"/>
      <c r="CP122" s="226"/>
      <c r="CQ122" s="226"/>
      <c r="CR122" s="226"/>
      <c r="CS122" s="226"/>
      <c r="CT122" s="226"/>
      <c r="CU122" s="226"/>
      <c r="CV122" s="226"/>
      <c r="CW122" s="226"/>
      <c r="CX122" s="226"/>
      <c r="CY122" s="226"/>
      <c r="CZ122" s="226"/>
      <c r="DA122" s="226"/>
      <c r="DB122" s="226"/>
      <c r="DC122" s="226"/>
      <c r="DD122" s="226"/>
      <c r="DE122" s="226"/>
      <c r="DF122" s="226"/>
      <c r="DG122" s="226"/>
      <c r="DH122" s="226"/>
      <c r="DI122" s="226"/>
      <c r="DJ122" s="226"/>
      <c r="DK122" s="226"/>
      <c r="DL122" s="226"/>
      <c r="DM122" s="226"/>
      <c r="DN122" s="226"/>
      <c r="DO122" s="226"/>
      <c r="DP122" s="226"/>
      <c r="DQ122" s="226"/>
      <c r="DR122" s="226"/>
      <c r="DS122" s="226"/>
      <c r="DT122" s="226"/>
      <c r="DU122" s="226"/>
      <c r="DV122" s="226"/>
      <c r="DW122" s="226"/>
      <c r="DX122" s="226"/>
      <c r="DY122" s="226"/>
      <c r="DZ122" s="226"/>
      <c r="EA122" s="226"/>
      <c r="EB122" s="226"/>
      <c r="EC122" s="226"/>
      <c r="ED122" s="226"/>
      <c r="EE122" s="226"/>
      <c r="EF122" s="226"/>
      <c r="EG122" s="226"/>
      <c r="EH122" s="226"/>
      <c r="EI122" s="226"/>
      <c r="EJ122" s="226"/>
      <c r="EK122" s="226"/>
      <c r="EL122" s="226"/>
      <c r="EM122" s="226"/>
      <c r="EN122" s="226"/>
      <c r="EO122" s="226"/>
      <c r="EP122" s="226"/>
      <c r="EQ122" s="226"/>
      <c r="ER122" s="226"/>
      <c r="ES122" s="226"/>
      <c r="ET122" s="226"/>
      <c r="EU122" s="226"/>
      <c r="EV122" s="226"/>
      <c r="EW122" s="226"/>
      <c r="EX122" s="226"/>
      <c r="EY122" s="226"/>
      <c r="EZ122" s="226"/>
      <c r="FA122" s="226"/>
      <c r="FB122" s="226"/>
      <c r="FC122" s="226"/>
      <c r="FD122" s="226"/>
      <c r="FE122" s="226"/>
      <c r="FF122" s="226"/>
      <c r="FG122" s="226"/>
      <c r="FH122" s="226"/>
      <c r="FI122" s="226"/>
      <c r="FJ122" s="226"/>
      <c r="FK122" s="226"/>
      <c r="FL122" s="226"/>
      <c r="FM122" s="226"/>
      <c r="FN122" s="226"/>
      <c r="FO122" s="226"/>
      <c r="FP122" s="226"/>
      <c r="FQ122" s="226"/>
      <c r="FR122" s="226"/>
      <c r="FS122" s="226"/>
      <c r="FT122" s="226"/>
      <c r="FU122" s="226"/>
      <c r="FV122" s="226"/>
      <c r="FW122" s="226"/>
      <c r="FX122" s="226"/>
      <c r="FY122" s="226"/>
      <c r="FZ122" s="226"/>
      <c r="GA122" s="226"/>
      <c r="GB122" s="226"/>
      <c r="GC122" s="226"/>
      <c r="GD122" s="226"/>
      <c r="GE122" s="226"/>
      <c r="GF122" s="226"/>
    </row>
    <row r="123" spans="1:188" s="225" customFormat="1" ht="15.95" customHeight="1">
      <c r="A123" s="910" t="e">
        <f>+#REF!</f>
        <v>#REF!</v>
      </c>
      <c r="B123" s="916" t="e">
        <f>+#REF!</f>
        <v>#REF!</v>
      </c>
      <c r="C123" s="849"/>
      <c r="D123" s="848"/>
      <c r="E123" s="811"/>
      <c r="G123" s="259"/>
      <c r="H123" s="265"/>
      <c r="I123" s="259"/>
      <c r="J123" s="226"/>
      <c r="K123" s="226"/>
      <c r="L123" s="226"/>
      <c r="M123" s="226"/>
      <c r="N123" s="226"/>
      <c r="O123" s="226"/>
      <c r="P123" s="226"/>
      <c r="Q123" s="226"/>
      <c r="R123" s="226"/>
      <c r="S123" s="226"/>
      <c r="T123" s="226"/>
      <c r="U123" s="226"/>
      <c r="V123" s="226"/>
      <c r="W123" s="226"/>
      <c r="X123" s="226"/>
      <c r="Y123" s="226"/>
      <c r="Z123" s="226"/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  <c r="AY123" s="226"/>
      <c r="AZ123" s="226"/>
      <c r="BA123" s="226"/>
      <c r="BB123" s="226"/>
      <c r="BC123" s="226"/>
      <c r="BD123" s="226"/>
      <c r="BE123" s="226"/>
      <c r="BF123" s="226"/>
      <c r="BG123" s="226"/>
      <c r="BH123" s="226"/>
      <c r="BI123" s="226"/>
      <c r="BJ123" s="226"/>
      <c r="BK123" s="226"/>
      <c r="BL123" s="226"/>
      <c r="BM123" s="226"/>
      <c r="BN123" s="226"/>
      <c r="BO123" s="226"/>
      <c r="BP123" s="226"/>
      <c r="BQ123" s="226"/>
      <c r="BR123" s="226"/>
      <c r="BS123" s="226"/>
      <c r="BT123" s="226"/>
      <c r="BU123" s="226"/>
      <c r="BV123" s="226"/>
      <c r="BW123" s="226"/>
      <c r="BX123" s="226"/>
      <c r="BY123" s="226"/>
      <c r="BZ123" s="226"/>
      <c r="CA123" s="226"/>
      <c r="CB123" s="226"/>
      <c r="CC123" s="226"/>
      <c r="CD123" s="226"/>
      <c r="CE123" s="226"/>
      <c r="CF123" s="226"/>
      <c r="CG123" s="226"/>
      <c r="CH123" s="226"/>
      <c r="CI123" s="226"/>
      <c r="CJ123" s="226"/>
      <c r="CK123" s="226"/>
      <c r="CL123" s="226"/>
      <c r="CM123" s="226"/>
      <c r="CN123" s="226"/>
      <c r="CO123" s="226"/>
      <c r="CP123" s="226"/>
      <c r="CQ123" s="226"/>
      <c r="CR123" s="226"/>
      <c r="CS123" s="226"/>
      <c r="CT123" s="226"/>
      <c r="CU123" s="226"/>
      <c r="CV123" s="226"/>
      <c r="CW123" s="226"/>
      <c r="CX123" s="226"/>
      <c r="CY123" s="226"/>
      <c r="CZ123" s="226"/>
      <c r="DA123" s="226"/>
      <c r="DB123" s="226"/>
      <c r="DC123" s="226"/>
      <c r="DD123" s="226"/>
      <c r="DE123" s="226"/>
      <c r="DF123" s="226"/>
      <c r="DG123" s="226"/>
      <c r="DH123" s="226"/>
      <c r="DI123" s="226"/>
      <c r="DJ123" s="226"/>
      <c r="DK123" s="226"/>
      <c r="DL123" s="226"/>
      <c r="DM123" s="226"/>
      <c r="DN123" s="226"/>
      <c r="DO123" s="226"/>
      <c r="DP123" s="226"/>
      <c r="DQ123" s="226"/>
      <c r="DR123" s="226"/>
      <c r="DS123" s="226"/>
      <c r="DT123" s="226"/>
      <c r="DU123" s="226"/>
      <c r="DV123" s="226"/>
      <c r="DW123" s="226"/>
      <c r="DX123" s="226"/>
      <c r="DY123" s="226"/>
      <c r="DZ123" s="226"/>
      <c r="EA123" s="226"/>
      <c r="EB123" s="226"/>
      <c r="EC123" s="226"/>
      <c r="ED123" s="226"/>
      <c r="EE123" s="226"/>
      <c r="EF123" s="226"/>
      <c r="EG123" s="226"/>
      <c r="EH123" s="226"/>
      <c r="EI123" s="226"/>
      <c r="EJ123" s="226"/>
      <c r="EK123" s="226"/>
      <c r="EL123" s="226"/>
      <c r="EM123" s="226"/>
      <c r="EN123" s="226"/>
      <c r="EO123" s="226"/>
      <c r="EP123" s="226"/>
      <c r="EQ123" s="226"/>
      <c r="ER123" s="226"/>
      <c r="ES123" s="226"/>
      <c r="ET123" s="226"/>
      <c r="EU123" s="226"/>
      <c r="EV123" s="226"/>
      <c r="EW123" s="226"/>
      <c r="EX123" s="226"/>
      <c r="EY123" s="226"/>
      <c r="EZ123" s="226"/>
      <c r="FA123" s="226"/>
      <c r="FB123" s="226"/>
      <c r="FC123" s="226"/>
      <c r="FD123" s="226"/>
      <c r="FE123" s="226"/>
      <c r="FF123" s="226"/>
      <c r="FG123" s="226"/>
      <c r="FH123" s="226"/>
      <c r="FI123" s="226"/>
      <c r="FJ123" s="226"/>
      <c r="FK123" s="226"/>
      <c r="FL123" s="226"/>
      <c r="FM123" s="226"/>
      <c r="FN123" s="226"/>
      <c r="FO123" s="226"/>
      <c r="FP123" s="226"/>
      <c r="FQ123" s="226"/>
      <c r="FR123" s="226"/>
      <c r="FS123" s="226"/>
      <c r="FT123" s="226"/>
      <c r="FU123" s="226"/>
      <c r="FV123" s="226"/>
      <c r="FW123" s="226"/>
      <c r="FX123" s="226"/>
      <c r="FY123" s="226"/>
      <c r="FZ123" s="226"/>
      <c r="GA123" s="226"/>
      <c r="GB123" s="226"/>
      <c r="GC123" s="226"/>
      <c r="GD123" s="226"/>
      <c r="GE123" s="226"/>
      <c r="GF123" s="226"/>
    </row>
    <row r="124" spans="1:188" s="225" customFormat="1" ht="15.95" customHeight="1">
      <c r="A124" s="991" t="e">
        <f>+#REF!</f>
        <v>#REF!</v>
      </c>
      <c r="B124" s="929" t="e">
        <f>+#REF!</f>
        <v>#REF!</v>
      </c>
      <c r="C124" s="839" t="s">
        <v>1</v>
      </c>
      <c r="D124" s="388"/>
      <c r="E124" s="930"/>
      <c r="G124" s="259">
        <f>E9</f>
        <v>355</v>
      </c>
      <c r="H124" s="265">
        <v>1.05</v>
      </c>
      <c r="I124" s="259">
        <f>G124*H124</f>
        <v>372.75</v>
      </c>
      <c r="J124" s="226"/>
      <c r="K124" s="226"/>
      <c r="L124" s="226"/>
      <c r="M124" s="226"/>
      <c r="N124" s="226"/>
      <c r="O124" s="226"/>
      <c r="P124" s="226"/>
      <c r="Q124" s="226"/>
      <c r="R124" s="226"/>
      <c r="S124" s="226"/>
      <c r="T124" s="226"/>
      <c r="U124" s="226"/>
      <c r="V124" s="226"/>
      <c r="W124" s="226"/>
      <c r="X124" s="226"/>
      <c r="Y124" s="226"/>
      <c r="Z124" s="226"/>
      <c r="AA124" s="226"/>
      <c r="AB124" s="226"/>
      <c r="AC124" s="226"/>
      <c r="AD124" s="226"/>
      <c r="AE124" s="226"/>
      <c r="AF124" s="226"/>
      <c r="AG124" s="226"/>
      <c r="AH124" s="226"/>
      <c r="AI124" s="226"/>
      <c r="AJ124" s="226"/>
      <c r="AK124" s="226"/>
      <c r="AL124" s="226"/>
      <c r="AM124" s="226"/>
      <c r="AN124" s="226"/>
      <c r="AO124" s="226"/>
      <c r="AP124" s="226"/>
      <c r="AQ124" s="226"/>
      <c r="AR124" s="226"/>
      <c r="AS124" s="226"/>
      <c r="AT124" s="226"/>
      <c r="AU124" s="226"/>
      <c r="AV124" s="226"/>
      <c r="AW124" s="226"/>
      <c r="AX124" s="226"/>
      <c r="AY124" s="226"/>
      <c r="AZ124" s="226"/>
      <c r="BA124" s="226"/>
      <c r="BB124" s="226"/>
      <c r="BC124" s="226"/>
      <c r="BD124" s="226"/>
      <c r="BE124" s="226"/>
      <c r="BF124" s="226"/>
      <c r="BG124" s="226"/>
      <c r="BH124" s="226"/>
      <c r="BI124" s="226"/>
      <c r="BJ124" s="226"/>
      <c r="BK124" s="226"/>
      <c r="BL124" s="226"/>
      <c r="BM124" s="226"/>
      <c r="BN124" s="226"/>
      <c r="BO124" s="226"/>
      <c r="BP124" s="226"/>
      <c r="BQ124" s="226"/>
      <c r="BR124" s="226"/>
      <c r="BS124" s="226"/>
      <c r="BT124" s="226"/>
      <c r="BU124" s="226"/>
      <c r="BV124" s="226"/>
      <c r="BW124" s="226"/>
      <c r="BX124" s="226"/>
      <c r="BY124" s="226"/>
      <c r="BZ124" s="226"/>
      <c r="CA124" s="226"/>
      <c r="CB124" s="226"/>
      <c r="CC124" s="226"/>
      <c r="CD124" s="226"/>
      <c r="CE124" s="226"/>
      <c r="CF124" s="226"/>
      <c r="CG124" s="226"/>
      <c r="CH124" s="226"/>
      <c r="CI124" s="226"/>
      <c r="CJ124" s="226"/>
      <c r="CK124" s="226"/>
      <c r="CL124" s="226"/>
      <c r="CM124" s="226"/>
      <c r="CN124" s="226"/>
      <c r="CO124" s="226"/>
      <c r="CP124" s="226"/>
      <c r="CQ124" s="226"/>
      <c r="CR124" s="226"/>
      <c r="CS124" s="226"/>
      <c r="CT124" s="226"/>
      <c r="CU124" s="226"/>
      <c r="CV124" s="226"/>
      <c r="CW124" s="226"/>
      <c r="CX124" s="226"/>
      <c r="CY124" s="226"/>
      <c r="CZ124" s="226"/>
      <c r="DA124" s="226"/>
      <c r="DB124" s="226"/>
      <c r="DC124" s="226"/>
      <c r="DD124" s="226"/>
      <c r="DE124" s="226"/>
      <c r="DF124" s="226"/>
      <c r="DG124" s="226"/>
      <c r="DH124" s="226"/>
      <c r="DI124" s="226"/>
      <c r="DJ124" s="226"/>
      <c r="DK124" s="226"/>
      <c r="DL124" s="226"/>
      <c r="DM124" s="226"/>
      <c r="DN124" s="226"/>
      <c r="DO124" s="226"/>
      <c r="DP124" s="226"/>
      <c r="DQ124" s="226"/>
      <c r="DR124" s="226"/>
      <c r="DS124" s="226"/>
      <c r="DT124" s="226"/>
      <c r="DU124" s="226"/>
      <c r="DV124" s="226"/>
      <c r="DW124" s="226"/>
      <c r="DX124" s="226"/>
      <c r="DY124" s="226"/>
      <c r="DZ124" s="226"/>
      <c r="EA124" s="226"/>
      <c r="EB124" s="226"/>
      <c r="EC124" s="226"/>
      <c r="ED124" s="226"/>
      <c r="EE124" s="226"/>
      <c r="EF124" s="226"/>
      <c r="EG124" s="226"/>
      <c r="EH124" s="226"/>
      <c r="EI124" s="226"/>
      <c r="EJ124" s="226"/>
      <c r="EK124" s="226"/>
      <c r="EL124" s="226"/>
      <c r="EM124" s="226"/>
      <c r="EN124" s="226"/>
      <c r="EO124" s="226"/>
      <c r="EP124" s="226"/>
      <c r="EQ124" s="226"/>
      <c r="ER124" s="226"/>
      <c r="ES124" s="226"/>
      <c r="ET124" s="226"/>
      <c r="EU124" s="226"/>
      <c r="EV124" s="226"/>
      <c r="EW124" s="226"/>
      <c r="EX124" s="226"/>
      <c r="EY124" s="226"/>
      <c r="EZ124" s="226"/>
      <c r="FA124" s="226"/>
      <c r="FB124" s="226"/>
      <c r="FC124" s="226"/>
      <c r="FD124" s="226"/>
      <c r="FE124" s="226"/>
      <c r="FF124" s="226"/>
      <c r="FG124" s="226"/>
      <c r="FH124" s="226"/>
      <c r="FI124" s="226"/>
      <c r="FJ124" s="226"/>
      <c r="FK124" s="226"/>
      <c r="FL124" s="226"/>
      <c r="FM124" s="226"/>
      <c r="FN124" s="226"/>
      <c r="FO124" s="226"/>
      <c r="FP124" s="226"/>
      <c r="FQ124" s="226"/>
      <c r="FR124" s="226"/>
      <c r="FS124" s="226"/>
      <c r="FT124" s="226"/>
      <c r="FU124" s="226"/>
      <c r="FV124" s="226"/>
      <c r="FW124" s="226"/>
      <c r="FX124" s="226"/>
      <c r="FY124" s="226"/>
      <c r="FZ124" s="226"/>
      <c r="GA124" s="226"/>
      <c r="GB124" s="226"/>
      <c r="GC124" s="226"/>
      <c r="GD124" s="226"/>
      <c r="GE124" s="226"/>
      <c r="GF124" s="226"/>
    </row>
    <row r="125" spans="1:188" s="225" customFormat="1" ht="15.95" customHeight="1">
      <c r="A125" s="991" t="e">
        <f>+#REF!</f>
        <v>#REF!</v>
      </c>
      <c r="B125" s="929" t="e">
        <f>+#REF!</f>
        <v>#REF!</v>
      </c>
      <c r="C125" s="839" t="s">
        <v>1</v>
      </c>
      <c r="D125" s="388"/>
      <c r="E125" s="930"/>
      <c r="G125" s="259">
        <f>+E10</f>
        <v>320</v>
      </c>
      <c r="H125" s="265">
        <v>1.05</v>
      </c>
      <c r="I125" s="259">
        <f>G125*H125</f>
        <v>336</v>
      </c>
      <c r="J125" s="226"/>
      <c r="K125" s="226"/>
      <c r="L125" s="226"/>
      <c r="M125" s="226"/>
      <c r="N125" s="226"/>
      <c r="O125" s="226"/>
      <c r="P125" s="226"/>
      <c r="Q125" s="226"/>
      <c r="R125" s="226"/>
      <c r="S125" s="226"/>
      <c r="T125" s="226"/>
      <c r="U125" s="226"/>
      <c r="V125" s="226"/>
      <c r="W125" s="226"/>
      <c r="X125" s="226"/>
      <c r="Y125" s="226"/>
      <c r="Z125" s="226"/>
      <c r="AA125" s="226"/>
      <c r="AB125" s="226"/>
      <c r="AC125" s="226"/>
      <c r="AD125" s="226"/>
      <c r="AE125" s="226"/>
      <c r="AF125" s="226"/>
      <c r="AG125" s="226"/>
      <c r="AH125" s="226"/>
      <c r="AI125" s="226"/>
      <c r="AJ125" s="226"/>
      <c r="AK125" s="226"/>
      <c r="AL125" s="226"/>
      <c r="AM125" s="226"/>
      <c r="AN125" s="226"/>
      <c r="AO125" s="226"/>
      <c r="AP125" s="226"/>
      <c r="AQ125" s="226"/>
      <c r="AR125" s="226"/>
      <c r="AS125" s="226"/>
      <c r="AT125" s="226"/>
      <c r="AU125" s="226"/>
      <c r="AV125" s="226"/>
      <c r="AW125" s="226"/>
      <c r="AX125" s="226"/>
      <c r="AY125" s="226"/>
      <c r="AZ125" s="226"/>
      <c r="BA125" s="226"/>
      <c r="BB125" s="226"/>
      <c r="BC125" s="226"/>
      <c r="BD125" s="226"/>
      <c r="BE125" s="226"/>
      <c r="BF125" s="226"/>
      <c r="BG125" s="226"/>
      <c r="BH125" s="226"/>
      <c r="BI125" s="226"/>
      <c r="BJ125" s="226"/>
      <c r="BK125" s="226"/>
      <c r="BL125" s="226"/>
      <c r="BM125" s="226"/>
      <c r="BN125" s="226"/>
      <c r="BO125" s="226"/>
      <c r="BP125" s="226"/>
      <c r="BQ125" s="226"/>
      <c r="BR125" s="226"/>
      <c r="BS125" s="226"/>
      <c r="BT125" s="226"/>
      <c r="BU125" s="226"/>
      <c r="BV125" s="226"/>
      <c r="BW125" s="226"/>
      <c r="BX125" s="226"/>
      <c r="BY125" s="226"/>
      <c r="BZ125" s="226"/>
      <c r="CA125" s="226"/>
      <c r="CB125" s="226"/>
      <c r="CC125" s="226"/>
      <c r="CD125" s="226"/>
      <c r="CE125" s="226"/>
      <c r="CF125" s="226"/>
      <c r="CG125" s="226"/>
      <c r="CH125" s="226"/>
      <c r="CI125" s="226"/>
      <c r="CJ125" s="226"/>
      <c r="CK125" s="226"/>
      <c r="CL125" s="226"/>
      <c r="CM125" s="226"/>
      <c r="CN125" s="226"/>
      <c r="CO125" s="226"/>
      <c r="CP125" s="226"/>
      <c r="CQ125" s="226"/>
      <c r="CR125" s="226"/>
      <c r="CS125" s="226"/>
      <c r="CT125" s="226"/>
      <c r="CU125" s="226"/>
      <c r="CV125" s="226"/>
      <c r="CW125" s="226"/>
      <c r="CX125" s="226"/>
      <c r="CY125" s="226"/>
      <c r="CZ125" s="226"/>
      <c r="DA125" s="226"/>
      <c r="DB125" s="226"/>
      <c r="DC125" s="226"/>
      <c r="DD125" s="226"/>
      <c r="DE125" s="226"/>
      <c r="DF125" s="226"/>
      <c r="DG125" s="226"/>
      <c r="DH125" s="226"/>
      <c r="DI125" s="226"/>
      <c r="DJ125" s="226"/>
      <c r="DK125" s="226"/>
      <c r="DL125" s="226"/>
      <c r="DM125" s="226"/>
      <c r="DN125" s="226"/>
      <c r="DO125" s="226"/>
      <c r="DP125" s="226"/>
      <c r="DQ125" s="226"/>
      <c r="DR125" s="226"/>
      <c r="DS125" s="226"/>
      <c r="DT125" s="226"/>
      <c r="DU125" s="226"/>
      <c r="DV125" s="226"/>
      <c r="DW125" s="226"/>
      <c r="DX125" s="226"/>
      <c r="DY125" s="226"/>
      <c r="DZ125" s="226"/>
      <c r="EA125" s="226"/>
      <c r="EB125" s="226"/>
      <c r="EC125" s="226"/>
      <c r="ED125" s="226"/>
      <c r="EE125" s="226"/>
      <c r="EF125" s="226"/>
      <c r="EG125" s="226"/>
      <c r="EH125" s="226"/>
      <c r="EI125" s="226"/>
      <c r="EJ125" s="226"/>
      <c r="EK125" s="226"/>
      <c r="EL125" s="226"/>
      <c r="EM125" s="226"/>
      <c r="EN125" s="226"/>
      <c r="EO125" s="226"/>
      <c r="EP125" s="226"/>
      <c r="EQ125" s="226"/>
      <c r="ER125" s="226"/>
      <c r="ES125" s="226"/>
      <c r="ET125" s="226"/>
      <c r="EU125" s="226"/>
      <c r="EV125" s="226"/>
      <c r="EW125" s="226"/>
      <c r="EX125" s="226"/>
      <c r="EY125" s="226"/>
      <c r="EZ125" s="226"/>
      <c r="FA125" s="226"/>
      <c r="FB125" s="226"/>
      <c r="FC125" s="226"/>
      <c r="FD125" s="226"/>
      <c r="FE125" s="226"/>
      <c r="FF125" s="226"/>
      <c r="FG125" s="226"/>
      <c r="FH125" s="226"/>
      <c r="FI125" s="226"/>
      <c r="FJ125" s="226"/>
      <c r="FK125" s="226"/>
      <c r="FL125" s="226"/>
      <c r="FM125" s="226"/>
      <c r="FN125" s="226"/>
      <c r="FO125" s="226"/>
      <c r="FP125" s="226"/>
      <c r="FQ125" s="226"/>
      <c r="FR125" s="226"/>
      <c r="FS125" s="226"/>
      <c r="FT125" s="226"/>
      <c r="FU125" s="226"/>
      <c r="FV125" s="226"/>
      <c r="FW125" s="226"/>
      <c r="FX125" s="226"/>
      <c r="FY125" s="226"/>
      <c r="FZ125" s="226"/>
      <c r="GA125" s="226"/>
      <c r="GB125" s="226"/>
      <c r="GC125" s="226"/>
      <c r="GD125" s="226"/>
      <c r="GE125" s="226"/>
      <c r="GF125" s="226"/>
    </row>
    <row r="126" spans="1:188" s="225" customFormat="1" ht="15.95" customHeight="1">
      <c r="A126" s="991" t="e">
        <f>+#REF!</f>
        <v>#REF!</v>
      </c>
      <c r="B126" s="929" t="e">
        <f>+#REF!</f>
        <v>#REF!</v>
      </c>
      <c r="C126" s="839"/>
      <c r="D126" s="388"/>
      <c r="E126" s="930"/>
      <c r="G126" s="259">
        <f>+E11</f>
        <v>460</v>
      </c>
      <c r="H126" s="265">
        <v>1.05</v>
      </c>
      <c r="I126" s="259">
        <f>G126*H126</f>
        <v>483</v>
      </c>
      <c r="J126" s="226"/>
      <c r="K126" s="226"/>
      <c r="L126" s="226"/>
      <c r="M126" s="226"/>
      <c r="N126" s="226"/>
      <c r="O126" s="226"/>
      <c r="P126" s="226"/>
      <c r="Q126" s="226"/>
      <c r="R126" s="226"/>
      <c r="S126" s="226"/>
      <c r="T126" s="226"/>
      <c r="U126" s="226"/>
      <c r="V126" s="226"/>
      <c r="W126" s="226"/>
      <c r="X126" s="226"/>
      <c r="Y126" s="226"/>
      <c r="Z126" s="226"/>
      <c r="AA126" s="226"/>
      <c r="AB126" s="226"/>
      <c r="AC126" s="226"/>
      <c r="AD126" s="226"/>
      <c r="AE126" s="226"/>
      <c r="AF126" s="226"/>
      <c r="AG126" s="226"/>
      <c r="AH126" s="226"/>
      <c r="AI126" s="226"/>
      <c r="AJ126" s="226"/>
      <c r="AK126" s="226"/>
      <c r="AL126" s="226"/>
      <c r="AM126" s="226"/>
      <c r="AN126" s="226"/>
      <c r="AO126" s="226"/>
      <c r="AP126" s="226"/>
      <c r="AQ126" s="226"/>
      <c r="AR126" s="226"/>
      <c r="AS126" s="226"/>
      <c r="AT126" s="226"/>
      <c r="AU126" s="226"/>
      <c r="AV126" s="226"/>
      <c r="AW126" s="226"/>
      <c r="AX126" s="226"/>
      <c r="AY126" s="226"/>
      <c r="AZ126" s="226"/>
      <c r="BA126" s="226"/>
      <c r="BB126" s="226"/>
      <c r="BC126" s="226"/>
      <c r="BD126" s="226"/>
      <c r="BE126" s="226"/>
      <c r="BF126" s="226"/>
      <c r="BG126" s="226"/>
      <c r="BH126" s="226"/>
      <c r="BI126" s="226"/>
      <c r="BJ126" s="226"/>
      <c r="BK126" s="226"/>
      <c r="BL126" s="226"/>
      <c r="BM126" s="226"/>
      <c r="BN126" s="226"/>
      <c r="BO126" s="226"/>
      <c r="BP126" s="226"/>
      <c r="BQ126" s="226"/>
      <c r="BR126" s="226"/>
      <c r="BS126" s="226"/>
      <c r="BT126" s="226"/>
      <c r="BU126" s="226"/>
      <c r="BV126" s="226"/>
      <c r="BW126" s="226"/>
      <c r="BX126" s="226"/>
      <c r="BY126" s="226"/>
      <c r="BZ126" s="226"/>
      <c r="CA126" s="226"/>
      <c r="CB126" s="226"/>
      <c r="CC126" s="226"/>
      <c r="CD126" s="226"/>
      <c r="CE126" s="226"/>
      <c r="CF126" s="226"/>
      <c r="CG126" s="226"/>
      <c r="CH126" s="226"/>
      <c r="CI126" s="226"/>
      <c r="CJ126" s="226"/>
      <c r="CK126" s="226"/>
      <c r="CL126" s="226"/>
      <c r="CM126" s="226"/>
      <c r="CN126" s="226"/>
      <c r="CO126" s="226"/>
      <c r="CP126" s="226"/>
      <c r="CQ126" s="226"/>
      <c r="CR126" s="226"/>
      <c r="CS126" s="226"/>
      <c r="CT126" s="226"/>
      <c r="CU126" s="226"/>
      <c r="CV126" s="226"/>
      <c r="CW126" s="226"/>
      <c r="CX126" s="226"/>
      <c r="CY126" s="226"/>
      <c r="CZ126" s="226"/>
      <c r="DA126" s="226"/>
      <c r="DB126" s="226"/>
      <c r="DC126" s="226"/>
      <c r="DD126" s="226"/>
      <c r="DE126" s="226"/>
      <c r="DF126" s="226"/>
      <c r="DG126" s="226"/>
      <c r="DH126" s="226"/>
      <c r="DI126" s="226"/>
      <c r="DJ126" s="226"/>
      <c r="DK126" s="226"/>
      <c r="DL126" s="226"/>
      <c r="DM126" s="226"/>
      <c r="DN126" s="226"/>
      <c r="DO126" s="226"/>
      <c r="DP126" s="226"/>
      <c r="DQ126" s="226"/>
      <c r="DR126" s="226"/>
      <c r="DS126" s="226"/>
      <c r="DT126" s="226"/>
      <c r="DU126" s="226"/>
      <c r="DV126" s="226"/>
      <c r="DW126" s="226"/>
      <c r="DX126" s="226"/>
      <c r="DY126" s="226"/>
      <c r="DZ126" s="226"/>
      <c r="EA126" s="226"/>
      <c r="EB126" s="226"/>
      <c r="EC126" s="226"/>
      <c r="ED126" s="226"/>
      <c r="EE126" s="226"/>
      <c r="EF126" s="226"/>
      <c r="EG126" s="226"/>
      <c r="EH126" s="226"/>
      <c r="EI126" s="226"/>
      <c r="EJ126" s="226"/>
      <c r="EK126" s="226"/>
      <c r="EL126" s="226"/>
      <c r="EM126" s="226"/>
      <c r="EN126" s="226"/>
      <c r="EO126" s="226"/>
      <c r="EP126" s="226"/>
      <c r="EQ126" s="226"/>
      <c r="ER126" s="226"/>
      <c r="ES126" s="226"/>
      <c r="ET126" s="226"/>
      <c r="EU126" s="226"/>
      <c r="EV126" s="226"/>
      <c r="EW126" s="226"/>
      <c r="EX126" s="226"/>
      <c r="EY126" s="226"/>
      <c r="EZ126" s="226"/>
      <c r="FA126" s="226"/>
      <c r="FB126" s="226"/>
      <c r="FC126" s="226"/>
      <c r="FD126" s="226"/>
      <c r="FE126" s="226"/>
      <c r="FF126" s="226"/>
      <c r="FG126" s="226"/>
      <c r="FH126" s="226"/>
      <c r="FI126" s="226"/>
      <c r="FJ126" s="226"/>
      <c r="FK126" s="226"/>
      <c r="FL126" s="226"/>
      <c r="FM126" s="226"/>
      <c r="FN126" s="226"/>
      <c r="FO126" s="226"/>
      <c r="FP126" s="226"/>
      <c r="FQ126" s="226"/>
      <c r="FR126" s="226"/>
      <c r="FS126" s="226"/>
      <c r="FT126" s="226"/>
      <c r="FU126" s="226"/>
      <c r="FV126" s="226"/>
      <c r="FW126" s="226"/>
      <c r="FX126" s="226"/>
      <c r="FY126" s="226"/>
      <c r="FZ126" s="226"/>
      <c r="GA126" s="226"/>
      <c r="GB126" s="226"/>
      <c r="GC126" s="226"/>
      <c r="GD126" s="226"/>
      <c r="GE126" s="226"/>
      <c r="GF126" s="226"/>
    </row>
    <row r="127" spans="1:188" s="198" customFormat="1" ht="15.95" customHeight="1">
      <c r="A127" s="910" t="e">
        <f>+#REF!</f>
        <v>#REF!</v>
      </c>
      <c r="B127" s="916" t="e">
        <f>+#REF!</f>
        <v>#REF!</v>
      </c>
      <c r="C127" s="849"/>
      <c r="D127" s="848"/>
      <c r="E127" s="811"/>
      <c r="F127" s="225"/>
      <c r="G127" s="259"/>
      <c r="H127" s="265"/>
      <c r="I127" s="259"/>
      <c r="J127" s="199"/>
      <c r="K127" s="199"/>
      <c r="L127" s="199"/>
      <c r="M127" s="199"/>
      <c r="N127" s="199"/>
      <c r="O127" s="199"/>
      <c r="P127" s="199"/>
      <c r="Q127" s="199"/>
      <c r="R127" s="199"/>
      <c r="S127" s="199"/>
      <c r="T127" s="199"/>
      <c r="U127" s="199"/>
      <c r="V127" s="199"/>
      <c r="W127" s="199"/>
      <c r="X127" s="199"/>
      <c r="Y127" s="199"/>
      <c r="Z127" s="199"/>
      <c r="AA127" s="199"/>
      <c r="AB127" s="199"/>
      <c r="AC127" s="199"/>
      <c r="AD127" s="199"/>
      <c r="AE127" s="199"/>
      <c r="AF127" s="199"/>
      <c r="AG127" s="199"/>
      <c r="AH127" s="199"/>
      <c r="AI127" s="199"/>
      <c r="AJ127" s="199"/>
      <c r="AK127" s="199"/>
      <c r="AL127" s="199"/>
      <c r="AM127" s="199"/>
      <c r="AN127" s="199"/>
      <c r="AO127" s="199"/>
      <c r="AP127" s="199"/>
      <c r="AQ127" s="199"/>
      <c r="AR127" s="199"/>
      <c r="AS127" s="199"/>
      <c r="AT127" s="199"/>
      <c r="AU127" s="199"/>
      <c r="AV127" s="199"/>
      <c r="AW127" s="199"/>
      <c r="AX127" s="199"/>
      <c r="AY127" s="199"/>
      <c r="AZ127" s="199"/>
      <c r="BA127" s="199"/>
      <c r="BB127" s="199"/>
      <c r="BC127" s="199"/>
      <c r="BD127" s="199"/>
      <c r="BE127" s="199"/>
      <c r="BF127" s="199"/>
      <c r="BG127" s="199"/>
      <c r="BH127" s="199"/>
      <c r="BI127" s="199"/>
      <c r="BJ127" s="199"/>
      <c r="BK127" s="199"/>
      <c r="BL127" s="199"/>
      <c r="BM127" s="199"/>
      <c r="BN127" s="199"/>
      <c r="BO127" s="199"/>
      <c r="BP127" s="199"/>
      <c r="BQ127" s="199"/>
      <c r="BR127" s="199"/>
      <c r="BS127" s="199"/>
      <c r="BT127" s="199"/>
      <c r="BU127" s="199"/>
      <c r="BV127" s="199"/>
      <c r="BW127" s="199"/>
      <c r="BX127" s="199"/>
      <c r="BY127" s="199"/>
      <c r="BZ127" s="199"/>
      <c r="CA127" s="199"/>
      <c r="CB127" s="199"/>
      <c r="CC127" s="199"/>
      <c r="CD127" s="199"/>
      <c r="CE127" s="199"/>
      <c r="CF127" s="199"/>
      <c r="CG127" s="199"/>
      <c r="CH127" s="199"/>
      <c r="CI127" s="199"/>
      <c r="CJ127" s="199"/>
      <c r="CK127" s="199"/>
      <c r="CL127" s="199"/>
      <c r="CM127" s="199"/>
      <c r="CN127" s="199"/>
      <c r="CO127" s="199"/>
      <c r="CP127" s="199"/>
      <c r="CQ127" s="199"/>
      <c r="CR127" s="199"/>
      <c r="CS127" s="199"/>
      <c r="CT127" s="199"/>
      <c r="CU127" s="199"/>
      <c r="CV127" s="199"/>
      <c r="CW127" s="199"/>
      <c r="CX127" s="199"/>
      <c r="CY127" s="199"/>
      <c r="CZ127" s="199"/>
      <c r="DA127" s="199"/>
      <c r="DB127" s="199"/>
      <c r="DC127" s="199"/>
      <c r="DD127" s="199"/>
      <c r="DE127" s="199"/>
      <c r="DF127" s="199"/>
      <c r="DG127" s="199"/>
      <c r="DH127" s="199"/>
      <c r="DI127" s="199"/>
      <c r="DJ127" s="199"/>
      <c r="DK127" s="199"/>
      <c r="DL127" s="199"/>
      <c r="DM127" s="199"/>
      <c r="DN127" s="199"/>
      <c r="DO127" s="199"/>
      <c r="DP127" s="199"/>
      <c r="DQ127" s="199"/>
      <c r="DR127" s="199"/>
      <c r="DS127" s="199"/>
      <c r="DT127" s="199"/>
      <c r="DU127" s="199"/>
      <c r="DV127" s="199"/>
      <c r="DW127" s="199"/>
      <c r="DX127" s="199"/>
      <c r="DY127" s="199"/>
      <c r="DZ127" s="199"/>
      <c r="EA127" s="199"/>
      <c r="EB127" s="199"/>
      <c r="EC127" s="199"/>
      <c r="ED127" s="199"/>
      <c r="EE127" s="199"/>
      <c r="EF127" s="199"/>
      <c r="EG127" s="199"/>
      <c r="EH127" s="199"/>
      <c r="EI127" s="199"/>
      <c r="EJ127" s="199"/>
      <c r="EK127" s="199"/>
      <c r="EL127" s="199"/>
      <c r="EM127" s="199"/>
      <c r="EN127" s="199"/>
      <c r="EO127" s="199"/>
      <c r="EP127" s="199"/>
      <c r="EQ127" s="199"/>
      <c r="ER127" s="199"/>
      <c r="ES127" s="199"/>
      <c r="ET127" s="199"/>
      <c r="EU127" s="199"/>
      <c r="EV127" s="199"/>
      <c r="EW127" s="199"/>
      <c r="EX127" s="199"/>
      <c r="EY127" s="199"/>
      <c r="EZ127" s="199"/>
      <c r="FA127" s="199"/>
      <c r="FB127" s="199"/>
      <c r="FC127" s="199"/>
      <c r="FD127" s="199"/>
      <c r="FE127" s="199"/>
      <c r="FF127" s="199"/>
      <c r="FG127" s="199"/>
      <c r="FH127" s="199"/>
      <c r="FI127" s="199"/>
      <c r="FJ127" s="199"/>
      <c r="FK127" s="199"/>
      <c r="FL127" s="199"/>
      <c r="FM127" s="199"/>
      <c r="FN127" s="199"/>
      <c r="FO127" s="199"/>
      <c r="FP127" s="199"/>
      <c r="FQ127" s="199"/>
      <c r="FR127" s="199"/>
      <c r="FS127" s="199"/>
      <c r="FT127" s="199"/>
      <c r="FU127" s="199"/>
      <c r="FV127" s="199"/>
      <c r="FW127" s="199"/>
      <c r="FX127" s="199"/>
      <c r="FY127" s="199"/>
      <c r="FZ127" s="199"/>
      <c r="GA127" s="199"/>
      <c r="GB127" s="199"/>
      <c r="GC127" s="199"/>
      <c r="GD127" s="199"/>
      <c r="GE127" s="199"/>
      <c r="GF127" s="199"/>
    </row>
    <row r="128" spans="1:188" s="225" customFormat="1" ht="15.95" customHeight="1">
      <c r="A128" s="885" t="e">
        <f>+#REF!</f>
        <v>#REF!</v>
      </c>
      <c r="B128" s="886" t="e">
        <f>+#REF!</f>
        <v>#REF!</v>
      </c>
      <c r="C128" s="840" t="s">
        <v>1</v>
      </c>
      <c r="D128" s="813"/>
      <c r="E128" s="812"/>
      <c r="G128" s="259">
        <f>E12</f>
        <v>390</v>
      </c>
      <c r="H128" s="265">
        <v>1</v>
      </c>
      <c r="I128" s="259">
        <f>G128*H128</f>
        <v>390</v>
      </c>
      <c r="J128" s="226"/>
      <c r="K128" s="226"/>
      <c r="L128" s="226"/>
      <c r="M128" s="226"/>
      <c r="N128" s="226"/>
      <c r="O128" s="226"/>
      <c r="P128" s="226"/>
      <c r="Q128" s="226"/>
      <c r="R128" s="226"/>
      <c r="S128" s="226"/>
      <c r="T128" s="226"/>
      <c r="U128" s="226"/>
      <c r="V128" s="226"/>
      <c r="W128" s="226"/>
      <c r="X128" s="226"/>
      <c r="Y128" s="226"/>
      <c r="Z128" s="226"/>
      <c r="AA128" s="226"/>
      <c r="AB128" s="226"/>
      <c r="AC128" s="226"/>
      <c r="AD128" s="226"/>
      <c r="AE128" s="226"/>
      <c r="AF128" s="226"/>
      <c r="AG128" s="226"/>
      <c r="AH128" s="226"/>
      <c r="AI128" s="226"/>
      <c r="AJ128" s="226"/>
      <c r="AK128" s="226"/>
      <c r="AL128" s="226"/>
      <c r="AM128" s="226"/>
      <c r="AN128" s="226"/>
      <c r="AO128" s="226"/>
      <c r="AP128" s="226"/>
      <c r="AQ128" s="226"/>
      <c r="AR128" s="226"/>
      <c r="AS128" s="226"/>
      <c r="AT128" s="226"/>
      <c r="AU128" s="226"/>
      <c r="AV128" s="226"/>
      <c r="AW128" s="226"/>
      <c r="AX128" s="226"/>
      <c r="AY128" s="226"/>
      <c r="AZ128" s="226"/>
      <c r="BA128" s="226"/>
      <c r="BB128" s="226"/>
      <c r="BC128" s="226"/>
      <c r="BD128" s="226"/>
      <c r="BE128" s="226"/>
      <c r="BF128" s="226"/>
      <c r="BG128" s="226"/>
      <c r="BH128" s="226"/>
      <c r="BI128" s="226"/>
      <c r="BJ128" s="226"/>
      <c r="BK128" s="226"/>
      <c r="BL128" s="226"/>
      <c r="BM128" s="226"/>
      <c r="BN128" s="226"/>
      <c r="BO128" s="226"/>
      <c r="BP128" s="226"/>
      <c r="BQ128" s="226"/>
      <c r="BR128" s="226"/>
      <c r="BS128" s="226"/>
      <c r="BT128" s="226"/>
      <c r="BU128" s="226"/>
      <c r="BV128" s="226"/>
      <c r="BW128" s="226"/>
      <c r="BX128" s="226"/>
      <c r="BY128" s="226"/>
      <c r="BZ128" s="226"/>
      <c r="CA128" s="226"/>
      <c r="CB128" s="226"/>
      <c r="CC128" s="226"/>
      <c r="CD128" s="226"/>
      <c r="CE128" s="226"/>
      <c r="CF128" s="226"/>
      <c r="CG128" s="226"/>
      <c r="CH128" s="226"/>
      <c r="CI128" s="226"/>
      <c r="CJ128" s="226"/>
      <c r="CK128" s="226"/>
      <c r="CL128" s="226"/>
      <c r="CM128" s="226"/>
      <c r="CN128" s="226"/>
      <c r="CO128" s="226"/>
      <c r="CP128" s="226"/>
      <c r="CQ128" s="226"/>
      <c r="CR128" s="226"/>
      <c r="CS128" s="226"/>
      <c r="CT128" s="226"/>
      <c r="CU128" s="226"/>
      <c r="CV128" s="226"/>
      <c r="CW128" s="226"/>
      <c r="CX128" s="226"/>
      <c r="CY128" s="226"/>
      <c r="CZ128" s="226"/>
      <c r="DA128" s="226"/>
      <c r="DB128" s="226"/>
      <c r="DC128" s="226"/>
      <c r="DD128" s="226"/>
      <c r="DE128" s="226"/>
      <c r="DF128" s="226"/>
      <c r="DG128" s="226"/>
      <c r="DH128" s="226"/>
      <c r="DI128" s="226"/>
      <c r="DJ128" s="226"/>
      <c r="DK128" s="226"/>
      <c r="DL128" s="226"/>
      <c r="DM128" s="226"/>
      <c r="DN128" s="226"/>
      <c r="DO128" s="226"/>
      <c r="DP128" s="226"/>
      <c r="DQ128" s="226"/>
      <c r="DR128" s="226"/>
      <c r="DS128" s="226"/>
      <c r="DT128" s="226"/>
      <c r="DU128" s="226"/>
      <c r="DV128" s="226"/>
      <c r="DW128" s="226"/>
      <c r="DX128" s="226"/>
      <c r="DY128" s="226"/>
      <c r="DZ128" s="226"/>
      <c r="EA128" s="226"/>
      <c r="EB128" s="226"/>
      <c r="EC128" s="226"/>
      <c r="ED128" s="226"/>
      <c r="EE128" s="226"/>
      <c r="EF128" s="226"/>
      <c r="EG128" s="226"/>
      <c r="EH128" s="226"/>
      <c r="EI128" s="226"/>
      <c r="EJ128" s="226"/>
      <c r="EK128" s="226"/>
      <c r="EL128" s="226"/>
      <c r="EM128" s="226"/>
      <c r="EN128" s="226"/>
      <c r="EO128" s="226"/>
      <c r="EP128" s="226"/>
      <c r="EQ128" s="226"/>
      <c r="ER128" s="226"/>
      <c r="ES128" s="226"/>
      <c r="ET128" s="226"/>
      <c r="EU128" s="226"/>
      <c r="EV128" s="226"/>
      <c r="EW128" s="226"/>
      <c r="EX128" s="226"/>
      <c r="EY128" s="226"/>
      <c r="EZ128" s="226"/>
      <c r="FA128" s="226"/>
      <c r="FB128" s="226"/>
      <c r="FC128" s="226"/>
      <c r="FD128" s="226"/>
      <c r="FE128" s="226"/>
      <c r="FF128" s="226"/>
      <c r="FG128" s="226"/>
      <c r="FH128" s="226"/>
      <c r="FI128" s="226"/>
      <c r="FJ128" s="226"/>
      <c r="FK128" s="226"/>
      <c r="FL128" s="226"/>
      <c r="FM128" s="226"/>
      <c r="FN128" s="226"/>
      <c r="FO128" s="226"/>
      <c r="FP128" s="226"/>
      <c r="FQ128" s="226"/>
      <c r="FR128" s="226"/>
      <c r="FS128" s="226"/>
      <c r="FT128" s="226"/>
      <c r="FU128" s="226"/>
      <c r="FV128" s="226"/>
      <c r="FW128" s="226"/>
      <c r="FX128" s="226"/>
      <c r="FY128" s="226"/>
      <c r="FZ128" s="226"/>
      <c r="GA128" s="226"/>
      <c r="GB128" s="226"/>
      <c r="GC128" s="226"/>
      <c r="GD128" s="226"/>
      <c r="GE128" s="226"/>
      <c r="GF128" s="226"/>
    </row>
    <row r="129" spans="1:189" s="198" customFormat="1" ht="15.95" customHeight="1">
      <c r="A129" s="910" t="e">
        <f>+#REF!</f>
        <v>#REF!</v>
      </c>
      <c r="B129" s="916" t="e">
        <f>+#REF!</f>
        <v>#REF!</v>
      </c>
      <c r="C129" s="849"/>
      <c r="D129" s="848"/>
      <c r="E129" s="811"/>
      <c r="F129" s="225"/>
      <c r="G129" s="259"/>
      <c r="H129" s="265"/>
      <c r="I129" s="259"/>
      <c r="J129" s="199"/>
      <c r="K129" s="199"/>
      <c r="L129" s="199"/>
      <c r="M129" s="199"/>
      <c r="N129" s="199"/>
      <c r="O129" s="199"/>
      <c r="P129" s="199"/>
      <c r="Q129" s="199"/>
      <c r="R129" s="199"/>
      <c r="S129" s="199"/>
      <c r="T129" s="199"/>
      <c r="U129" s="199"/>
      <c r="V129" s="199"/>
      <c r="W129" s="199"/>
      <c r="X129" s="199"/>
      <c r="Y129" s="199"/>
      <c r="Z129" s="199"/>
      <c r="AA129" s="199"/>
      <c r="AB129" s="199"/>
      <c r="AC129" s="199"/>
      <c r="AD129" s="199"/>
      <c r="AE129" s="199"/>
      <c r="AF129" s="199"/>
      <c r="AG129" s="199"/>
      <c r="AH129" s="199"/>
      <c r="AI129" s="199"/>
      <c r="AJ129" s="199"/>
      <c r="AK129" s="199"/>
      <c r="AL129" s="199"/>
      <c r="AM129" s="199"/>
      <c r="AN129" s="199"/>
      <c r="AO129" s="199"/>
      <c r="AP129" s="199"/>
      <c r="AQ129" s="199"/>
      <c r="AR129" s="199"/>
      <c r="AS129" s="199"/>
      <c r="AT129" s="199"/>
      <c r="AU129" s="199"/>
      <c r="AV129" s="199"/>
      <c r="AW129" s="199"/>
      <c r="AX129" s="199"/>
      <c r="AY129" s="199"/>
      <c r="AZ129" s="199"/>
      <c r="BA129" s="199"/>
      <c r="BB129" s="199"/>
      <c r="BC129" s="199"/>
      <c r="BD129" s="199"/>
      <c r="BE129" s="199"/>
      <c r="BF129" s="199"/>
      <c r="BG129" s="199"/>
      <c r="BH129" s="199"/>
      <c r="BI129" s="199"/>
      <c r="BJ129" s="199"/>
      <c r="BK129" s="199"/>
      <c r="BL129" s="199"/>
      <c r="BM129" s="199"/>
      <c r="BN129" s="199"/>
      <c r="BO129" s="199"/>
      <c r="BP129" s="199"/>
      <c r="BQ129" s="199"/>
      <c r="BR129" s="199"/>
      <c r="BS129" s="199"/>
      <c r="BT129" s="199"/>
      <c r="BU129" s="199"/>
      <c r="BV129" s="199"/>
      <c r="BW129" s="199"/>
      <c r="BX129" s="199"/>
      <c r="BY129" s="199"/>
      <c r="BZ129" s="199"/>
      <c r="CA129" s="199"/>
      <c r="CB129" s="199"/>
      <c r="CC129" s="199"/>
      <c r="CD129" s="199"/>
      <c r="CE129" s="199"/>
      <c r="CF129" s="199"/>
      <c r="CG129" s="199"/>
      <c r="CH129" s="199"/>
      <c r="CI129" s="199"/>
      <c r="CJ129" s="199"/>
      <c r="CK129" s="199"/>
      <c r="CL129" s="199"/>
      <c r="CM129" s="199"/>
      <c r="CN129" s="199"/>
      <c r="CO129" s="199"/>
      <c r="CP129" s="199"/>
      <c r="CQ129" s="199"/>
      <c r="CR129" s="199"/>
      <c r="CS129" s="199"/>
      <c r="CT129" s="199"/>
      <c r="CU129" s="199"/>
      <c r="CV129" s="199"/>
      <c r="CW129" s="199"/>
      <c r="CX129" s="199"/>
      <c r="CY129" s="199"/>
      <c r="CZ129" s="199"/>
      <c r="DA129" s="199"/>
      <c r="DB129" s="199"/>
      <c r="DC129" s="199"/>
      <c r="DD129" s="199"/>
      <c r="DE129" s="199"/>
      <c r="DF129" s="199"/>
      <c r="DG129" s="199"/>
      <c r="DH129" s="199"/>
      <c r="DI129" s="199"/>
      <c r="DJ129" s="199"/>
      <c r="DK129" s="199"/>
      <c r="DL129" s="199"/>
      <c r="DM129" s="199"/>
      <c r="DN129" s="199"/>
      <c r="DO129" s="199"/>
      <c r="DP129" s="199"/>
      <c r="DQ129" s="199"/>
      <c r="DR129" s="199"/>
      <c r="DS129" s="199"/>
      <c r="DT129" s="199"/>
      <c r="DU129" s="199"/>
      <c r="DV129" s="199"/>
      <c r="DW129" s="199"/>
      <c r="DX129" s="199"/>
      <c r="DY129" s="199"/>
      <c r="DZ129" s="199"/>
      <c r="EA129" s="199"/>
      <c r="EB129" s="199"/>
      <c r="EC129" s="199"/>
      <c r="ED129" s="199"/>
      <c r="EE129" s="199"/>
      <c r="EF129" s="199"/>
      <c r="EG129" s="199"/>
      <c r="EH129" s="199"/>
      <c r="EI129" s="199"/>
      <c r="EJ129" s="199"/>
      <c r="EK129" s="199"/>
      <c r="EL129" s="199"/>
      <c r="EM129" s="199"/>
      <c r="EN129" s="199"/>
      <c r="EO129" s="199"/>
      <c r="EP129" s="199"/>
      <c r="EQ129" s="199"/>
      <c r="ER129" s="199"/>
      <c r="ES129" s="199"/>
      <c r="ET129" s="199"/>
      <c r="EU129" s="199"/>
      <c r="EV129" s="199"/>
      <c r="EW129" s="199"/>
      <c r="EX129" s="199"/>
      <c r="EY129" s="199"/>
      <c r="EZ129" s="199"/>
      <c r="FA129" s="199"/>
      <c r="FB129" s="199"/>
      <c r="FC129" s="199"/>
      <c r="FD129" s="199"/>
      <c r="FE129" s="199"/>
      <c r="FF129" s="199"/>
      <c r="FG129" s="199"/>
      <c r="FH129" s="199"/>
      <c r="FI129" s="199"/>
      <c r="FJ129" s="199"/>
      <c r="FK129" s="199"/>
      <c r="FL129" s="199"/>
      <c r="FM129" s="199"/>
      <c r="FN129" s="199"/>
      <c r="FO129" s="199"/>
      <c r="FP129" s="199"/>
      <c r="FQ129" s="199"/>
      <c r="FR129" s="199"/>
      <c r="FS129" s="199"/>
      <c r="FT129" s="199"/>
      <c r="FU129" s="199"/>
      <c r="FV129" s="199"/>
      <c r="FW129" s="199"/>
      <c r="FX129" s="199"/>
      <c r="FY129" s="199"/>
      <c r="FZ129" s="199"/>
      <c r="GA129" s="199"/>
      <c r="GB129" s="199"/>
      <c r="GC129" s="199"/>
      <c r="GD129" s="199"/>
      <c r="GE129" s="199"/>
      <c r="GF129" s="199"/>
    </row>
    <row r="130" spans="1:189" s="225" customFormat="1" ht="15.95" customHeight="1">
      <c r="A130" s="899"/>
      <c r="B130" s="886"/>
      <c r="C130" s="840" t="s">
        <v>27</v>
      </c>
      <c r="D130" s="813"/>
      <c r="E130" s="812"/>
      <c r="G130" s="259">
        <v>0</v>
      </c>
      <c r="H130" s="265">
        <v>1</v>
      </c>
      <c r="I130" s="259">
        <f>G130*H130</f>
        <v>0</v>
      </c>
      <c r="J130" s="226"/>
      <c r="K130" s="226"/>
      <c r="L130" s="226"/>
      <c r="M130" s="226"/>
      <c r="N130" s="226"/>
      <c r="O130" s="226"/>
      <c r="P130" s="226"/>
      <c r="Q130" s="226"/>
      <c r="R130" s="226"/>
      <c r="S130" s="226"/>
      <c r="T130" s="226"/>
      <c r="U130" s="226"/>
      <c r="V130" s="226"/>
      <c r="W130" s="226"/>
      <c r="X130" s="226"/>
      <c r="Y130" s="226"/>
      <c r="Z130" s="226"/>
      <c r="AA130" s="226"/>
      <c r="AB130" s="226"/>
      <c r="AC130" s="226"/>
      <c r="AD130" s="226"/>
      <c r="AE130" s="226"/>
      <c r="AF130" s="226"/>
      <c r="AG130" s="226"/>
      <c r="AH130" s="226"/>
      <c r="AI130" s="226"/>
      <c r="AJ130" s="226"/>
      <c r="AK130" s="226"/>
      <c r="AL130" s="226"/>
      <c r="AM130" s="226"/>
      <c r="AN130" s="226"/>
      <c r="AO130" s="226"/>
      <c r="AP130" s="226"/>
      <c r="AQ130" s="226"/>
      <c r="AR130" s="226"/>
      <c r="AS130" s="226"/>
      <c r="AT130" s="226"/>
      <c r="AU130" s="226"/>
      <c r="AV130" s="226"/>
      <c r="AW130" s="226"/>
      <c r="AX130" s="226"/>
      <c r="AY130" s="226"/>
      <c r="AZ130" s="226"/>
      <c r="BA130" s="226"/>
      <c r="BB130" s="226"/>
      <c r="BC130" s="226"/>
      <c r="BD130" s="226"/>
      <c r="BE130" s="226"/>
      <c r="BF130" s="226"/>
      <c r="BG130" s="226"/>
      <c r="BH130" s="226"/>
      <c r="BI130" s="226"/>
      <c r="BJ130" s="226"/>
      <c r="BK130" s="226"/>
      <c r="BL130" s="226"/>
      <c r="BM130" s="226"/>
      <c r="BN130" s="226"/>
      <c r="BO130" s="226"/>
      <c r="BP130" s="226"/>
      <c r="BQ130" s="226"/>
      <c r="BR130" s="226"/>
      <c r="BS130" s="226"/>
      <c r="BT130" s="226"/>
      <c r="BU130" s="226"/>
      <c r="BV130" s="226"/>
      <c r="BW130" s="226"/>
      <c r="BX130" s="226"/>
      <c r="BY130" s="226"/>
      <c r="BZ130" s="226"/>
      <c r="CA130" s="226"/>
      <c r="CB130" s="226"/>
      <c r="CC130" s="226"/>
      <c r="CD130" s="226"/>
      <c r="CE130" s="226"/>
      <c r="CF130" s="226"/>
      <c r="CG130" s="226"/>
      <c r="CH130" s="226"/>
      <c r="CI130" s="226"/>
      <c r="CJ130" s="226"/>
      <c r="CK130" s="226"/>
      <c r="CL130" s="226"/>
      <c r="CM130" s="226"/>
      <c r="CN130" s="226"/>
      <c r="CO130" s="226"/>
      <c r="CP130" s="226"/>
      <c r="CQ130" s="226"/>
      <c r="CR130" s="226"/>
      <c r="CS130" s="226"/>
      <c r="CT130" s="226"/>
      <c r="CU130" s="226"/>
      <c r="CV130" s="226"/>
      <c r="CW130" s="226"/>
      <c r="CX130" s="226"/>
      <c r="CY130" s="226"/>
      <c r="CZ130" s="226"/>
      <c r="DA130" s="226"/>
      <c r="DB130" s="226"/>
      <c r="DC130" s="226"/>
      <c r="DD130" s="226"/>
      <c r="DE130" s="226"/>
      <c r="DF130" s="226"/>
      <c r="DG130" s="226"/>
      <c r="DH130" s="226"/>
      <c r="DI130" s="226"/>
      <c r="DJ130" s="226"/>
      <c r="DK130" s="226"/>
      <c r="DL130" s="226"/>
      <c r="DM130" s="226"/>
      <c r="DN130" s="226"/>
      <c r="DO130" s="226"/>
      <c r="DP130" s="226"/>
      <c r="DQ130" s="226"/>
      <c r="DR130" s="226"/>
      <c r="DS130" s="226"/>
      <c r="DT130" s="226"/>
      <c r="DU130" s="226"/>
      <c r="DV130" s="226"/>
      <c r="DW130" s="226"/>
      <c r="DX130" s="226"/>
      <c r="DY130" s="226"/>
      <c r="DZ130" s="226"/>
      <c r="EA130" s="226"/>
      <c r="EB130" s="226"/>
      <c r="EC130" s="226"/>
      <c r="ED130" s="226"/>
      <c r="EE130" s="226"/>
      <c r="EF130" s="226"/>
      <c r="EG130" s="226"/>
      <c r="EH130" s="226"/>
      <c r="EI130" s="226"/>
      <c r="EJ130" s="226"/>
      <c r="EK130" s="226"/>
      <c r="EL130" s="226"/>
      <c r="EM130" s="226"/>
      <c r="EN130" s="226"/>
      <c r="EO130" s="226"/>
      <c r="EP130" s="226"/>
      <c r="EQ130" s="226"/>
      <c r="ER130" s="226"/>
      <c r="ES130" s="226"/>
      <c r="ET130" s="226"/>
      <c r="EU130" s="226"/>
      <c r="EV130" s="226"/>
      <c r="EW130" s="226"/>
      <c r="EX130" s="226"/>
      <c r="EY130" s="226"/>
      <c r="EZ130" s="226"/>
      <c r="FA130" s="226"/>
      <c r="FB130" s="226"/>
      <c r="FC130" s="226"/>
      <c r="FD130" s="226"/>
      <c r="FE130" s="226"/>
      <c r="FF130" s="226"/>
      <c r="FG130" s="226"/>
      <c r="FH130" s="226"/>
      <c r="FI130" s="226"/>
      <c r="FJ130" s="226"/>
      <c r="FK130" s="226"/>
      <c r="FL130" s="226"/>
      <c r="FM130" s="226"/>
      <c r="FN130" s="226"/>
      <c r="FO130" s="226"/>
      <c r="FP130" s="226"/>
      <c r="FQ130" s="226"/>
      <c r="FR130" s="226"/>
      <c r="FS130" s="226"/>
      <c r="FT130" s="226"/>
      <c r="FU130" s="226"/>
      <c r="FV130" s="226"/>
      <c r="FW130" s="226"/>
      <c r="FX130" s="226"/>
      <c r="FY130" s="226"/>
      <c r="FZ130" s="226"/>
      <c r="GA130" s="226"/>
      <c r="GB130" s="226"/>
      <c r="GC130" s="226"/>
      <c r="GD130" s="226"/>
      <c r="GE130" s="226"/>
      <c r="GF130" s="226"/>
    </row>
    <row r="131" spans="1:189" s="225" customFormat="1" ht="15.95" customHeight="1">
      <c r="A131" s="910" t="e">
        <f>+#REF!</f>
        <v>#REF!</v>
      </c>
      <c r="B131" s="916" t="e">
        <f>+#REF!</f>
        <v>#REF!</v>
      </c>
      <c r="C131" s="849"/>
      <c r="D131" s="848"/>
      <c r="E131" s="811"/>
      <c r="G131" s="259"/>
      <c r="H131" s="265"/>
      <c r="I131" s="259"/>
      <c r="J131" s="430" t="e">
        <f>+#REF!/#REF!</f>
        <v>#REF!</v>
      </c>
      <c r="K131" s="226">
        <v>3</v>
      </c>
      <c r="L131" s="226"/>
      <c r="M131" s="226"/>
      <c r="N131" s="226"/>
      <c r="O131" s="226"/>
      <c r="P131" s="226"/>
      <c r="Q131" s="226"/>
      <c r="R131" s="226"/>
      <c r="S131" s="226"/>
      <c r="T131" s="226"/>
      <c r="U131" s="226"/>
      <c r="V131" s="226"/>
      <c r="W131" s="226"/>
      <c r="X131" s="226"/>
      <c r="Y131" s="226"/>
      <c r="Z131" s="226"/>
      <c r="AA131" s="226"/>
      <c r="AB131" s="226"/>
      <c r="AC131" s="226"/>
      <c r="AD131" s="226"/>
      <c r="AE131" s="226"/>
      <c r="AF131" s="226"/>
      <c r="AG131" s="226"/>
      <c r="AH131" s="226"/>
      <c r="AI131" s="226"/>
      <c r="AJ131" s="226"/>
      <c r="AK131" s="226"/>
      <c r="AL131" s="226"/>
      <c r="AM131" s="226"/>
      <c r="AN131" s="226"/>
      <c r="AO131" s="226"/>
      <c r="AP131" s="226"/>
      <c r="AQ131" s="226"/>
      <c r="AR131" s="226"/>
      <c r="AS131" s="226"/>
      <c r="AT131" s="226"/>
      <c r="AU131" s="226"/>
      <c r="AV131" s="226"/>
      <c r="AW131" s="226"/>
      <c r="AX131" s="226"/>
      <c r="AY131" s="226"/>
      <c r="AZ131" s="226"/>
      <c r="BA131" s="226"/>
      <c r="BB131" s="226"/>
      <c r="BC131" s="226"/>
      <c r="BD131" s="226"/>
      <c r="BE131" s="226"/>
      <c r="BF131" s="226"/>
      <c r="BG131" s="226"/>
      <c r="BH131" s="226"/>
      <c r="BI131" s="226"/>
      <c r="BJ131" s="226"/>
      <c r="BK131" s="226"/>
      <c r="BL131" s="226"/>
      <c r="BM131" s="226"/>
      <c r="BN131" s="226"/>
      <c r="BO131" s="226"/>
      <c r="BP131" s="226"/>
      <c r="BQ131" s="226"/>
      <c r="BR131" s="226"/>
      <c r="BS131" s="226"/>
      <c r="BT131" s="226"/>
      <c r="BU131" s="226"/>
      <c r="BV131" s="226"/>
      <c r="BW131" s="226"/>
      <c r="BX131" s="226"/>
      <c r="BY131" s="226"/>
      <c r="BZ131" s="226"/>
      <c r="CA131" s="226"/>
      <c r="CB131" s="226"/>
      <c r="CC131" s="226"/>
      <c r="CD131" s="226"/>
      <c r="CE131" s="226"/>
      <c r="CF131" s="226"/>
      <c r="CG131" s="226"/>
      <c r="CH131" s="226"/>
      <c r="CI131" s="226"/>
      <c r="CJ131" s="226"/>
      <c r="CK131" s="226"/>
      <c r="CL131" s="226"/>
      <c r="CM131" s="226"/>
      <c r="CN131" s="226"/>
      <c r="CO131" s="226"/>
      <c r="CP131" s="226"/>
      <c r="CQ131" s="226"/>
      <c r="CR131" s="226"/>
      <c r="CS131" s="226"/>
      <c r="CT131" s="226"/>
      <c r="CU131" s="226"/>
      <c r="CV131" s="226"/>
      <c r="CW131" s="226"/>
      <c r="CX131" s="226"/>
      <c r="CY131" s="226"/>
      <c r="CZ131" s="226"/>
      <c r="DA131" s="226"/>
      <c r="DB131" s="226"/>
      <c r="DC131" s="226"/>
      <c r="DD131" s="226"/>
      <c r="DE131" s="226"/>
      <c r="DF131" s="226"/>
      <c r="DG131" s="226"/>
      <c r="DH131" s="226"/>
      <c r="DI131" s="226"/>
      <c r="DJ131" s="226"/>
      <c r="DK131" s="226"/>
      <c r="DL131" s="226"/>
      <c r="DM131" s="226"/>
      <c r="DN131" s="226"/>
      <c r="DO131" s="226"/>
      <c r="DP131" s="226"/>
      <c r="DQ131" s="226"/>
      <c r="DR131" s="226"/>
      <c r="DS131" s="226"/>
      <c r="DT131" s="226"/>
      <c r="DU131" s="226"/>
      <c r="DV131" s="226"/>
      <c r="DW131" s="226"/>
      <c r="DX131" s="226"/>
      <c r="DY131" s="226"/>
      <c r="DZ131" s="226"/>
      <c r="EA131" s="226"/>
      <c r="EB131" s="226"/>
      <c r="EC131" s="226"/>
      <c r="ED131" s="226"/>
      <c r="EE131" s="226"/>
      <c r="EF131" s="226"/>
      <c r="EG131" s="226"/>
      <c r="EH131" s="226"/>
      <c r="EI131" s="226"/>
      <c r="EJ131" s="226"/>
      <c r="EK131" s="226"/>
      <c r="EL131" s="226"/>
      <c r="EM131" s="226"/>
      <c r="EN131" s="226"/>
      <c r="EO131" s="226"/>
      <c r="EP131" s="226"/>
      <c r="EQ131" s="226"/>
      <c r="ER131" s="226"/>
      <c r="ES131" s="226"/>
      <c r="ET131" s="226"/>
      <c r="EU131" s="226"/>
      <c r="EV131" s="226"/>
      <c r="EW131" s="226"/>
      <c r="EX131" s="226"/>
      <c r="EY131" s="226"/>
      <c r="EZ131" s="226"/>
      <c r="FA131" s="226"/>
      <c r="FB131" s="226"/>
      <c r="FC131" s="226"/>
      <c r="FD131" s="226"/>
      <c r="FE131" s="226"/>
      <c r="FF131" s="226"/>
      <c r="FG131" s="226"/>
      <c r="FH131" s="226"/>
      <c r="FI131" s="226"/>
      <c r="FJ131" s="226"/>
      <c r="FK131" s="226"/>
      <c r="FL131" s="226"/>
      <c r="FM131" s="226"/>
      <c r="FN131" s="226"/>
      <c r="FO131" s="226"/>
      <c r="FP131" s="226"/>
      <c r="FQ131" s="226"/>
      <c r="FR131" s="226"/>
      <c r="FS131" s="226"/>
      <c r="FT131" s="226"/>
      <c r="FU131" s="226"/>
      <c r="FV131" s="226"/>
      <c r="FW131" s="226"/>
      <c r="FX131" s="226"/>
      <c r="FY131" s="226"/>
      <c r="FZ131" s="226"/>
      <c r="GA131" s="226"/>
      <c r="GB131" s="226"/>
      <c r="GC131" s="226"/>
      <c r="GD131" s="226"/>
      <c r="GE131" s="226"/>
      <c r="GF131" s="226"/>
    </row>
    <row r="132" spans="1:189" s="225" customFormat="1" ht="15.95" customHeight="1">
      <c r="A132" s="900" t="e">
        <f>+#REF!</f>
        <v>#REF!</v>
      </c>
      <c r="B132" s="901" t="e">
        <f>+#REF!</f>
        <v>#REF!</v>
      </c>
      <c r="C132" s="839" t="s">
        <v>1</v>
      </c>
      <c r="D132" s="388"/>
      <c r="E132" s="930"/>
      <c r="G132" s="259">
        <f>SUM(G124:G128)/50+5</f>
        <v>35.5</v>
      </c>
      <c r="H132" s="265">
        <v>1.05</v>
      </c>
      <c r="I132" s="259">
        <f>G132*H132</f>
        <v>37.274999999999999</v>
      </c>
      <c r="J132" s="226"/>
      <c r="K132" s="429" t="e">
        <f>+#REF!/#REF!*K131</f>
        <v>#REF!</v>
      </c>
      <c r="L132" s="226"/>
      <c r="M132" s="226"/>
      <c r="N132" s="226"/>
      <c r="O132" s="226"/>
      <c r="P132" s="226"/>
      <c r="Q132" s="226"/>
      <c r="R132" s="226"/>
      <c r="S132" s="226"/>
      <c r="T132" s="226"/>
      <c r="U132" s="226"/>
      <c r="V132" s="226"/>
      <c r="W132" s="226"/>
      <c r="X132" s="226"/>
      <c r="Y132" s="226"/>
      <c r="Z132" s="226"/>
      <c r="AA132" s="226"/>
      <c r="AB132" s="226"/>
      <c r="AC132" s="226"/>
      <c r="AD132" s="226"/>
      <c r="AE132" s="226"/>
      <c r="AF132" s="226"/>
      <c r="AG132" s="226"/>
      <c r="AH132" s="226"/>
      <c r="AI132" s="226"/>
      <c r="AJ132" s="226"/>
      <c r="AK132" s="226"/>
      <c r="AL132" s="226"/>
      <c r="AM132" s="226"/>
      <c r="AN132" s="226"/>
      <c r="AO132" s="226"/>
      <c r="AP132" s="226"/>
      <c r="AQ132" s="226"/>
      <c r="AR132" s="226"/>
      <c r="AS132" s="226"/>
      <c r="AT132" s="226"/>
      <c r="AU132" s="226"/>
      <c r="AV132" s="226"/>
      <c r="AW132" s="226"/>
      <c r="AX132" s="226"/>
      <c r="AY132" s="226"/>
      <c r="AZ132" s="226"/>
      <c r="BA132" s="226"/>
      <c r="BB132" s="226"/>
      <c r="BC132" s="226"/>
      <c r="BD132" s="226"/>
      <c r="BE132" s="226"/>
      <c r="BF132" s="226"/>
      <c r="BG132" s="226"/>
      <c r="BH132" s="226"/>
      <c r="BI132" s="226"/>
      <c r="BJ132" s="226"/>
      <c r="BK132" s="226"/>
      <c r="BL132" s="226"/>
      <c r="BM132" s="226"/>
      <c r="BN132" s="226"/>
      <c r="BO132" s="226"/>
      <c r="BP132" s="226"/>
      <c r="BQ132" s="226"/>
      <c r="BR132" s="226"/>
      <c r="BS132" s="226"/>
      <c r="BT132" s="226"/>
      <c r="BU132" s="226"/>
      <c r="BV132" s="226"/>
      <c r="BW132" s="226"/>
      <c r="BX132" s="226"/>
      <c r="BY132" s="226"/>
      <c r="BZ132" s="226"/>
      <c r="CA132" s="226"/>
      <c r="CB132" s="226"/>
      <c r="CC132" s="226"/>
      <c r="CD132" s="226"/>
      <c r="CE132" s="226"/>
      <c r="CF132" s="226"/>
      <c r="CG132" s="226"/>
      <c r="CH132" s="226"/>
      <c r="CI132" s="226"/>
      <c r="CJ132" s="226"/>
      <c r="CK132" s="226"/>
      <c r="CL132" s="226"/>
      <c r="CM132" s="226"/>
      <c r="CN132" s="226"/>
      <c r="CO132" s="226"/>
      <c r="CP132" s="226"/>
      <c r="CQ132" s="226"/>
      <c r="CR132" s="226"/>
      <c r="CS132" s="226"/>
      <c r="CT132" s="226"/>
      <c r="CU132" s="226"/>
      <c r="CV132" s="226"/>
      <c r="CW132" s="226"/>
      <c r="CX132" s="226"/>
      <c r="CY132" s="226"/>
      <c r="CZ132" s="226"/>
      <c r="DA132" s="226"/>
      <c r="DB132" s="226"/>
      <c r="DC132" s="226"/>
      <c r="DD132" s="226"/>
      <c r="DE132" s="226"/>
      <c r="DF132" s="226"/>
      <c r="DG132" s="226"/>
      <c r="DH132" s="226"/>
      <c r="DI132" s="226"/>
      <c r="DJ132" s="226"/>
      <c r="DK132" s="226"/>
      <c r="DL132" s="226"/>
      <c r="DM132" s="226"/>
      <c r="DN132" s="226"/>
      <c r="DO132" s="226"/>
      <c r="DP132" s="226"/>
      <c r="DQ132" s="226"/>
      <c r="DR132" s="226"/>
      <c r="DS132" s="226"/>
      <c r="DT132" s="226"/>
      <c r="DU132" s="226"/>
      <c r="DV132" s="226"/>
      <c r="DW132" s="226"/>
      <c r="DX132" s="226"/>
      <c r="DY132" s="226"/>
      <c r="DZ132" s="226"/>
      <c r="EA132" s="226"/>
      <c r="EB132" s="226"/>
      <c r="EC132" s="226"/>
      <c r="ED132" s="226"/>
      <c r="EE132" s="226"/>
      <c r="EF132" s="226"/>
      <c r="EG132" s="226"/>
      <c r="EH132" s="226"/>
      <c r="EI132" s="226"/>
      <c r="EJ132" s="226"/>
      <c r="EK132" s="226"/>
      <c r="EL132" s="226"/>
      <c r="EM132" s="226"/>
      <c r="EN132" s="226"/>
      <c r="EO132" s="226"/>
      <c r="EP132" s="226"/>
      <c r="EQ132" s="226"/>
      <c r="ER132" s="226"/>
      <c r="ES132" s="226"/>
      <c r="ET132" s="226"/>
      <c r="EU132" s="226"/>
      <c r="EV132" s="226"/>
      <c r="EW132" s="226"/>
      <c r="EX132" s="226"/>
      <c r="EY132" s="226"/>
      <c r="EZ132" s="226"/>
      <c r="FA132" s="226"/>
      <c r="FB132" s="226"/>
      <c r="FC132" s="226"/>
      <c r="FD132" s="226"/>
      <c r="FE132" s="226"/>
      <c r="FF132" s="226"/>
      <c r="FG132" s="226"/>
      <c r="FH132" s="226"/>
      <c r="FI132" s="226"/>
      <c r="FJ132" s="226"/>
      <c r="FK132" s="226"/>
      <c r="FL132" s="226"/>
      <c r="FM132" s="226"/>
      <c r="FN132" s="226"/>
      <c r="FO132" s="226"/>
      <c r="FP132" s="226"/>
      <c r="FQ132" s="226"/>
      <c r="FR132" s="226"/>
      <c r="FS132" s="226"/>
      <c r="FT132" s="226"/>
      <c r="FU132" s="226"/>
      <c r="FV132" s="226"/>
      <c r="FW132" s="226"/>
      <c r="FX132" s="226"/>
      <c r="FY132" s="226"/>
      <c r="FZ132" s="226"/>
      <c r="GA132" s="226"/>
      <c r="GB132" s="226"/>
      <c r="GC132" s="226"/>
      <c r="GD132" s="226"/>
      <c r="GE132" s="226"/>
      <c r="GF132" s="226"/>
    </row>
    <row r="133" spans="1:189" s="225" customFormat="1" ht="15.95" customHeight="1">
      <c r="A133" s="900" t="e">
        <f>+#REF!</f>
        <v>#REF!</v>
      </c>
      <c r="B133" s="901" t="e">
        <f>+#REF!</f>
        <v>#REF!</v>
      </c>
      <c r="C133" s="839" t="s">
        <v>27</v>
      </c>
      <c r="D133" s="388"/>
      <c r="E133" s="930"/>
      <c r="G133" s="259">
        <f>SUM(I121:I122)/12.5</f>
        <v>147.03360000000001</v>
      </c>
      <c r="H133" s="265">
        <v>1.05</v>
      </c>
      <c r="I133" s="259">
        <f>G133*H133</f>
        <v>154.38528000000002</v>
      </c>
      <c r="J133" s="226"/>
      <c r="K133" s="226"/>
      <c r="L133" s="226"/>
      <c r="M133" s="226"/>
      <c r="N133" s="226"/>
      <c r="O133" s="226"/>
      <c r="P133" s="226"/>
      <c r="Q133" s="226"/>
      <c r="R133" s="226"/>
      <c r="S133" s="226"/>
      <c r="T133" s="226"/>
      <c r="U133" s="226"/>
      <c r="V133" s="226"/>
      <c r="W133" s="226"/>
      <c r="X133" s="226"/>
      <c r="Y133" s="226"/>
      <c r="Z133" s="226"/>
      <c r="AA133" s="226"/>
      <c r="AB133" s="226"/>
      <c r="AC133" s="226"/>
      <c r="AD133" s="226"/>
      <c r="AE133" s="226"/>
      <c r="AF133" s="226"/>
      <c r="AG133" s="226"/>
      <c r="AH133" s="226"/>
      <c r="AI133" s="226"/>
      <c r="AJ133" s="226"/>
      <c r="AK133" s="226"/>
      <c r="AL133" s="226"/>
      <c r="AM133" s="226"/>
      <c r="AN133" s="226"/>
      <c r="AO133" s="226"/>
      <c r="AP133" s="226"/>
      <c r="AQ133" s="226"/>
      <c r="AR133" s="226"/>
      <c r="AS133" s="226"/>
      <c r="AT133" s="226"/>
      <c r="AU133" s="226"/>
      <c r="AV133" s="226"/>
      <c r="AW133" s="226"/>
      <c r="AX133" s="226"/>
      <c r="AY133" s="226"/>
      <c r="AZ133" s="226"/>
      <c r="BA133" s="226"/>
      <c r="BB133" s="226"/>
      <c r="BC133" s="226"/>
      <c r="BD133" s="226"/>
      <c r="BE133" s="226"/>
      <c r="BF133" s="226"/>
      <c r="BG133" s="226"/>
      <c r="BH133" s="226"/>
      <c r="BI133" s="226"/>
      <c r="BJ133" s="226"/>
      <c r="BK133" s="226"/>
      <c r="BL133" s="226"/>
      <c r="BM133" s="226"/>
      <c r="BN133" s="226"/>
      <c r="BO133" s="226"/>
      <c r="BP133" s="226"/>
      <c r="BQ133" s="226"/>
      <c r="BR133" s="226"/>
      <c r="BS133" s="226"/>
      <c r="BT133" s="226"/>
      <c r="BU133" s="226"/>
      <c r="BV133" s="226"/>
      <c r="BW133" s="226"/>
      <c r="BX133" s="226"/>
      <c r="BY133" s="226"/>
      <c r="BZ133" s="226"/>
      <c r="CA133" s="226"/>
      <c r="CB133" s="226"/>
      <c r="CC133" s="226"/>
      <c r="CD133" s="226"/>
      <c r="CE133" s="226"/>
      <c r="CF133" s="226"/>
      <c r="CG133" s="226"/>
      <c r="CH133" s="226"/>
      <c r="CI133" s="226"/>
      <c r="CJ133" s="226"/>
      <c r="CK133" s="226"/>
      <c r="CL133" s="226"/>
      <c r="CM133" s="226"/>
      <c r="CN133" s="226"/>
      <c r="CO133" s="226"/>
      <c r="CP133" s="226"/>
      <c r="CQ133" s="226"/>
      <c r="CR133" s="226"/>
      <c r="CS133" s="226"/>
      <c r="CT133" s="226"/>
      <c r="CU133" s="226"/>
      <c r="CV133" s="226"/>
      <c r="CW133" s="226"/>
      <c r="CX133" s="226"/>
      <c r="CY133" s="226"/>
      <c r="CZ133" s="226"/>
      <c r="DA133" s="226"/>
      <c r="DB133" s="226"/>
      <c r="DC133" s="226"/>
      <c r="DD133" s="226"/>
      <c r="DE133" s="226"/>
      <c r="DF133" s="226"/>
      <c r="DG133" s="226"/>
      <c r="DH133" s="226"/>
      <c r="DI133" s="226"/>
      <c r="DJ133" s="226"/>
      <c r="DK133" s="226"/>
      <c r="DL133" s="226"/>
      <c r="DM133" s="226"/>
      <c r="DN133" s="226"/>
      <c r="DO133" s="226"/>
      <c r="DP133" s="226"/>
      <c r="DQ133" s="226"/>
      <c r="DR133" s="226"/>
      <c r="DS133" s="226"/>
      <c r="DT133" s="226"/>
      <c r="DU133" s="226"/>
      <c r="DV133" s="226"/>
      <c r="DW133" s="226"/>
      <c r="DX133" s="226"/>
      <c r="DY133" s="226"/>
      <c r="DZ133" s="226"/>
      <c r="EA133" s="226"/>
      <c r="EB133" s="226"/>
      <c r="EC133" s="226"/>
      <c r="ED133" s="226"/>
      <c r="EE133" s="226"/>
      <c r="EF133" s="226"/>
      <c r="EG133" s="226"/>
      <c r="EH133" s="226"/>
      <c r="EI133" s="226"/>
      <c r="EJ133" s="226"/>
      <c r="EK133" s="226"/>
      <c r="EL133" s="226"/>
      <c r="EM133" s="226"/>
      <c r="EN133" s="226"/>
      <c r="EO133" s="226"/>
      <c r="EP133" s="226"/>
      <c r="EQ133" s="226"/>
      <c r="ER133" s="226"/>
      <c r="ES133" s="226"/>
      <c r="ET133" s="226"/>
      <c r="EU133" s="226"/>
      <c r="EV133" s="226"/>
      <c r="EW133" s="226"/>
      <c r="EX133" s="226"/>
      <c r="EY133" s="226"/>
      <c r="EZ133" s="226"/>
      <c r="FA133" s="226"/>
      <c r="FB133" s="226"/>
      <c r="FC133" s="226"/>
      <c r="FD133" s="226"/>
      <c r="FE133" s="226"/>
      <c r="FF133" s="226"/>
      <c r="FG133" s="226"/>
      <c r="FH133" s="226"/>
      <c r="FI133" s="226"/>
      <c r="FJ133" s="226"/>
      <c r="FK133" s="226"/>
      <c r="FL133" s="226"/>
      <c r="FM133" s="226"/>
      <c r="FN133" s="226"/>
      <c r="FO133" s="226"/>
      <c r="FP133" s="226"/>
      <c r="FQ133" s="226"/>
      <c r="FR133" s="226"/>
      <c r="FS133" s="226"/>
      <c r="FT133" s="226"/>
      <c r="FU133" s="226"/>
      <c r="FV133" s="226"/>
      <c r="FW133" s="226"/>
      <c r="FX133" s="226"/>
      <c r="FY133" s="226"/>
      <c r="FZ133" s="226"/>
      <c r="GA133" s="226"/>
      <c r="GB133" s="226"/>
      <c r="GC133" s="226"/>
      <c r="GD133" s="226"/>
      <c r="GE133" s="226"/>
      <c r="GF133" s="226"/>
    </row>
    <row r="134" spans="1:189" s="225" customFormat="1" ht="15.95" customHeight="1">
      <c r="A134" s="885" t="e">
        <f>+#REF!</f>
        <v>#REF!</v>
      </c>
      <c r="B134" s="886" t="e">
        <f>+#REF!</f>
        <v>#REF!</v>
      </c>
      <c r="C134" s="840" t="s">
        <v>27</v>
      </c>
      <c r="D134" s="813"/>
      <c r="E134" s="812"/>
      <c r="G134" s="259"/>
      <c r="H134" s="265"/>
      <c r="I134" s="259"/>
      <c r="J134" s="226"/>
      <c r="K134" s="226"/>
      <c r="L134" s="226"/>
      <c r="M134" s="226"/>
      <c r="N134" s="226"/>
      <c r="O134" s="226"/>
      <c r="P134" s="226"/>
      <c r="Q134" s="226"/>
      <c r="R134" s="226"/>
      <c r="S134" s="226"/>
      <c r="T134" s="226"/>
      <c r="U134" s="226"/>
      <c r="V134" s="226"/>
      <c r="W134" s="226"/>
      <c r="X134" s="226"/>
      <c r="Y134" s="226"/>
      <c r="Z134" s="226"/>
      <c r="AA134" s="226"/>
      <c r="AB134" s="226"/>
      <c r="AC134" s="226"/>
      <c r="AD134" s="226"/>
      <c r="AE134" s="226"/>
      <c r="AF134" s="226"/>
      <c r="AG134" s="226"/>
      <c r="AH134" s="226"/>
      <c r="AI134" s="226"/>
      <c r="AJ134" s="226"/>
      <c r="AK134" s="226"/>
      <c r="AL134" s="226"/>
      <c r="AM134" s="226"/>
      <c r="AN134" s="226"/>
      <c r="AO134" s="226"/>
      <c r="AP134" s="226"/>
      <c r="AQ134" s="226"/>
      <c r="AR134" s="226"/>
      <c r="AS134" s="226"/>
      <c r="AT134" s="226"/>
      <c r="AU134" s="226"/>
      <c r="AV134" s="226"/>
      <c r="AW134" s="226"/>
      <c r="AX134" s="226"/>
      <c r="AY134" s="226"/>
      <c r="AZ134" s="226"/>
      <c r="BA134" s="226"/>
      <c r="BB134" s="226"/>
      <c r="BC134" s="226"/>
      <c r="BD134" s="226"/>
      <c r="BE134" s="226"/>
      <c r="BF134" s="226"/>
      <c r="BG134" s="226"/>
      <c r="BH134" s="226"/>
      <c r="BI134" s="226"/>
      <c r="BJ134" s="226"/>
      <c r="BK134" s="226"/>
      <c r="BL134" s="226"/>
      <c r="BM134" s="226"/>
      <c r="BN134" s="226"/>
      <c r="BO134" s="226"/>
      <c r="BP134" s="226"/>
      <c r="BQ134" s="226"/>
      <c r="BR134" s="226"/>
      <c r="BS134" s="226"/>
      <c r="BT134" s="226"/>
      <c r="BU134" s="226"/>
      <c r="BV134" s="226"/>
      <c r="BW134" s="226"/>
      <c r="BX134" s="226"/>
      <c r="BY134" s="226"/>
      <c r="BZ134" s="226"/>
      <c r="CA134" s="226"/>
      <c r="CB134" s="226"/>
      <c r="CC134" s="226"/>
      <c r="CD134" s="226"/>
      <c r="CE134" s="226"/>
      <c r="CF134" s="226"/>
      <c r="CG134" s="226"/>
      <c r="CH134" s="226"/>
      <c r="CI134" s="226"/>
      <c r="CJ134" s="226"/>
      <c r="CK134" s="226"/>
      <c r="CL134" s="226"/>
      <c r="CM134" s="226"/>
      <c r="CN134" s="226"/>
      <c r="CO134" s="226"/>
      <c r="CP134" s="226"/>
      <c r="CQ134" s="226"/>
      <c r="CR134" s="226"/>
      <c r="CS134" s="226"/>
      <c r="CT134" s="226"/>
      <c r="CU134" s="226"/>
      <c r="CV134" s="226"/>
      <c r="CW134" s="226"/>
      <c r="CX134" s="226"/>
      <c r="CY134" s="226"/>
      <c r="CZ134" s="226"/>
      <c r="DA134" s="226"/>
      <c r="DB134" s="226"/>
      <c r="DC134" s="226"/>
      <c r="DD134" s="226"/>
      <c r="DE134" s="226"/>
      <c r="DF134" s="226"/>
      <c r="DG134" s="226"/>
      <c r="DH134" s="226"/>
      <c r="DI134" s="226"/>
      <c r="DJ134" s="226"/>
      <c r="DK134" s="226"/>
      <c r="DL134" s="226"/>
      <c r="DM134" s="226"/>
      <c r="DN134" s="226"/>
      <c r="DO134" s="226"/>
      <c r="DP134" s="226"/>
      <c r="DQ134" s="226"/>
      <c r="DR134" s="226"/>
      <c r="DS134" s="226"/>
      <c r="DT134" s="226"/>
      <c r="DU134" s="226"/>
      <c r="DV134" s="226"/>
      <c r="DW134" s="226"/>
      <c r="DX134" s="226"/>
      <c r="DY134" s="226"/>
      <c r="DZ134" s="226"/>
      <c r="EA134" s="226"/>
      <c r="EB134" s="226"/>
      <c r="EC134" s="226"/>
      <c r="ED134" s="226"/>
      <c r="EE134" s="226"/>
      <c r="EF134" s="226"/>
      <c r="EG134" s="226"/>
      <c r="EH134" s="226"/>
      <c r="EI134" s="226"/>
      <c r="EJ134" s="226"/>
      <c r="EK134" s="226"/>
      <c r="EL134" s="226"/>
      <c r="EM134" s="226"/>
      <c r="EN134" s="226"/>
      <c r="EO134" s="226"/>
      <c r="EP134" s="226"/>
      <c r="EQ134" s="226"/>
      <c r="ER134" s="226"/>
      <c r="ES134" s="226"/>
      <c r="ET134" s="226"/>
      <c r="EU134" s="226"/>
      <c r="EV134" s="226"/>
      <c r="EW134" s="226"/>
      <c r="EX134" s="226"/>
      <c r="EY134" s="226"/>
      <c r="EZ134" s="226"/>
      <c r="FA134" s="226"/>
      <c r="FB134" s="226"/>
      <c r="FC134" s="226"/>
      <c r="FD134" s="226"/>
      <c r="FE134" s="226"/>
      <c r="FF134" s="226"/>
      <c r="FG134" s="226"/>
      <c r="FH134" s="226"/>
      <c r="FI134" s="226"/>
      <c r="FJ134" s="226"/>
      <c r="FK134" s="226"/>
      <c r="FL134" s="226"/>
      <c r="FM134" s="226"/>
      <c r="FN134" s="226"/>
      <c r="FO134" s="226"/>
      <c r="FP134" s="226"/>
      <c r="FQ134" s="226"/>
      <c r="FR134" s="226"/>
      <c r="FS134" s="226"/>
      <c r="FT134" s="226"/>
      <c r="FU134" s="226"/>
      <c r="FV134" s="226"/>
      <c r="FW134" s="226"/>
      <c r="FX134" s="226"/>
      <c r="FY134" s="226"/>
      <c r="FZ134" s="226"/>
      <c r="GA134" s="226"/>
      <c r="GB134" s="226"/>
      <c r="GC134" s="226"/>
      <c r="GD134" s="226"/>
      <c r="GE134" s="226"/>
      <c r="GF134" s="226"/>
    </row>
    <row r="135" spans="1:189" s="129" customFormat="1" ht="15.95" customHeight="1">
      <c r="A135" s="1951" t="e">
        <f>+#REF!</f>
        <v>#REF!</v>
      </c>
      <c r="B135" s="1951"/>
      <c r="C135" s="1951"/>
      <c r="D135" s="1951"/>
      <c r="E135" s="1951"/>
      <c r="F135" s="142"/>
      <c r="G135" s="255"/>
      <c r="H135" s="262"/>
      <c r="I135" s="255"/>
    </row>
    <row r="136" spans="1:189" s="129" customFormat="1" ht="15.95" customHeight="1">
      <c r="A136" s="896" t="e">
        <f>+#REF!</f>
        <v>#REF!</v>
      </c>
      <c r="B136" s="914" t="e">
        <f>+#REF!</f>
        <v>#REF!</v>
      </c>
      <c r="C136" s="845"/>
      <c r="D136" s="848"/>
      <c r="E136" s="811"/>
      <c r="F136" s="142"/>
      <c r="G136" s="255"/>
      <c r="H136" s="262"/>
      <c r="I136" s="255"/>
    </row>
    <row r="137" spans="1:189" s="129" customFormat="1" ht="15.95" customHeight="1">
      <c r="A137" s="885" t="e">
        <f>+#REF!</f>
        <v>#REF!</v>
      </c>
      <c r="B137" s="886" t="e">
        <f>+#REF!</f>
        <v>#REF!</v>
      </c>
      <c r="C137" s="852" t="s">
        <v>27</v>
      </c>
      <c r="D137" s="813"/>
      <c r="E137" s="812"/>
      <c r="F137" s="142"/>
      <c r="G137" s="255">
        <f>SUM(E13:E17)/25</f>
        <v>50.8</v>
      </c>
      <c r="H137" s="262">
        <v>1.1000000000000001</v>
      </c>
      <c r="I137" s="255">
        <f>ROUND(G137*H137,0)</f>
        <v>56</v>
      </c>
    </row>
    <row r="138" spans="1:189" s="129" customFormat="1" ht="15.95" customHeight="1">
      <c r="A138" s="910" t="e">
        <f>+#REF!</f>
        <v>#REF!</v>
      </c>
      <c r="B138" s="916" t="e">
        <f>+#REF!</f>
        <v>#REF!</v>
      </c>
      <c r="C138" s="848"/>
      <c r="D138" s="848"/>
      <c r="E138" s="848"/>
      <c r="F138" s="142"/>
      <c r="G138" s="255"/>
      <c r="H138" s="262"/>
      <c r="I138" s="255"/>
    </row>
    <row r="139" spans="1:189" s="129" customFormat="1" ht="15.95" customHeight="1">
      <c r="A139" s="910" t="e">
        <f>+#REF!</f>
        <v>#REF!</v>
      </c>
      <c r="B139" s="931" t="e">
        <f>+#REF!</f>
        <v>#REF!</v>
      </c>
      <c r="C139" s="537" t="s">
        <v>27</v>
      </c>
      <c r="D139" s="388"/>
      <c r="E139" s="388"/>
      <c r="F139" s="142"/>
      <c r="G139" s="255"/>
      <c r="H139" s="262"/>
      <c r="I139" s="255"/>
    </row>
    <row r="140" spans="1:189" s="129" customFormat="1" ht="15.95" customHeight="1">
      <c r="A140" s="910" t="e">
        <f>+#REF!</f>
        <v>#REF!</v>
      </c>
      <c r="B140" s="916" t="e">
        <f>+#REF!</f>
        <v>#REF!</v>
      </c>
      <c r="C140" s="848"/>
      <c r="D140" s="848"/>
      <c r="E140" s="848"/>
      <c r="F140" s="142"/>
      <c r="G140" s="255"/>
      <c r="H140" s="262"/>
      <c r="I140" s="255"/>
      <c r="GG140" s="142"/>
    </row>
    <row r="141" spans="1:189" s="129" customFormat="1" ht="15.95" customHeight="1">
      <c r="A141" s="1099"/>
      <c r="B141" s="924"/>
      <c r="C141" s="840" t="s">
        <v>95</v>
      </c>
      <c r="D141" s="813"/>
      <c r="E141" s="813"/>
      <c r="F141" s="142"/>
      <c r="G141" s="255">
        <f>2115+ (2*5+4*2)*3*60</f>
        <v>5355</v>
      </c>
      <c r="H141" s="262">
        <v>1.1000000000000001</v>
      </c>
      <c r="I141" s="255">
        <f>ROUND(G141*H141,0)</f>
        <v>5891</v>
      </c>
      <c r="GG141" s="142"/>
    </row>
    <row r="142" spans="1:189" s="129" customFormat="1" ht="15.95" customHeight="1">
      <c r="A142" s="896" t="e">
        <f>+#REF!</f>
        <v>#REF!</v>
      </c>
      <c r="B142" s="896" t="e">
        <f>+#REF!</f>
        <v>#REF!</v>
      </c>
      <c r="C142" s="845"/>
      <c r="D142" s="848"/>
      <c r="E142" s="848"/>
      <c r="F142" s="142"/>
      <c r="G142" s="255"/>
      <c r="H142" s="262"/>
      <c r="I142" s="255"/>
      <c r="GG142" s="142"/>
    </row>
    <row r="143" spans="1:189" s="129" customFormat="1" ht="15.95" customHeight="1">
      <c r="A143" s="1099"/>
      <c r="B143" s="924"/>
      <c r="C143" s="840" t="s">
        <v>95</v>
      </c>
      <c r="D143" s="813"/>
      <c r="E143" s="813"/>
      <c r="F143" s="142"/>
      <c r="G143" s="255">
        <f>0.2*20*(20+10)*2+0.2*18*60</f>
        <v>456</v>
      </c>
      <c r="H143" s="262">
        <v>1.1000000000000001</v>
      </c>
      <c r="I143" s="255">
        <f>+G143*H143</f>
        <v>501.6</v>
      </c>
      <c r="GG143" s="142"/>
    </row>
    <row r="144" spans="1:189" s="129" customFormat="1" ht="15.95" customHeight="1">
      <c r="A144" s="896" t="e">
        <f>+#REF!</f>
        <v>#REF!</v>
      </c>
      <c r="B144" s="896" t="e">
        <f>+#REF!</f>
        <v>#REF!</v>
      </c>
      <c r="C144" s="845"/>
      <c r="D144" s="848"/>
      <c r="E144" s="848"/>
      <c r="F144" s="142"/>
      <c r="G144" s="255"/>
      <c r="H144" s="262"/>
      <c r="I144" s="255"/>
      <c r="J144" s="129">
        <f>10*7*2</f>
        <v>140</v>
      </c>
      <c r="GG144" s="142"/>
    </row>
    <row r="145" spans="1:189" s="129" customFormat="1" ht="15.95" customHeight="1">
      <c r="A145" s="1099"/>
      <c r="B145" s="924"/>
      <c r="C145" s="840" t="s">
        <v>618</v>
      </c>
      <c r="D145" s="813"/>
      <c r="E145" s="813"/>
      <c r="F145" s="142"/>
      <c r="G145" s="255"/>
      <c r="H145" s="262"/>
      <c r="I145" s="255"/>
      <c r="GG145" s="142"/>
    </row>
    <row r="148" spans="1:189" s="129" customFormat="1">
      <c r="A148" s="1103"/>
      <c r="B148" s="114"/>
      <c r="C148" s="114"/>
      <c r="D148" s="114"/>
      <c r="E148" s="922"/>
      <c r="F148" s="375"/>
      <c r="G148" s="255"/>
      <c r="H148" s="262"/>
      <c r="I148" s="255"/>
    </row>
    <row r="150" spans="1:189" s="129" customFormat="1">
      <c r="A150" s="1103"/>
      <c r="B150" s="114"/>
      <c r="C150" s="114"/>
      <c r="D150" s="114"/>
      <c r="E150" s="114"/>
      <c r="F150" s="375"/>
      <c r="G150" s="255"/>
      <c r="H150" s="262"/>
      <c r="I150" s="255">
        <f>18500*17</f>
        <v>314500</v>
      </c>
    </row>
    <row r="154" spans="1:189" s="129" customFormat="1">
      <c r="A154" s="1103"/>
      <c r="B154" s="114"/>
      <c r="C154" s="114"/>
      <c r="D154" s="114"/>
      <c r="E154" s="114"/>
      <c r="F154" s="142"/>
      <c r="G154" s="255"/>
      <c r="H154" s="262"/>
      <c r="I154" s="255"/>
      <c r="AU154" s="129">
        <v>46200</v>
      </c>
    </row>
    <row r="155" spans="1:189" s="129" customFormat="1" ht="19.5">
      <c r="A155" s="1104"/>
      <c r="B155" s="114"/>
      <c r="C155" s="114"/>
      <c r="D155" s="424"/>
      <c r="E155" s="941"/>
      <c r="F155" s="142"/>
      <c r="G155" s="255"/>
      <c r="H155" s="262"/>
      <c r="I155" s="255"/>
    </row>
    <row r="156" spans="1:189" s="129" customFormat="1" ht="26.25">
      <c r="A156" s="1103"/>
      <c r="B156" s="1915"/>
      <c r="C156" s="1915"/>
      <c r="D156" s="1915"/>
      <c r="E156" s="1915"/>
      <c r="F156" s="142"/>
      <c r="G156" s="255"/>
      <c r="H156" s="262"/>
      <c r="I156" s="255"/>
    </row>
    <row r="169" spans="4:4">
      <c r="D169" s="114">
        <f>18500*17</f>
        <v>314500</v>
      </c>
    </row>
  </sheetData>
  <mergeCells count="11">
    <mergeCell ref="A62:E62"/>
    <mergeCell ref="A71:E71"/>
    <mergeCell ref="A99:E99"/>
    <mergeCell ref="A135:E135"/>
    <mergeCell ref="B156:E156"/>
    <mergeCell ref="A39:E39"/>
    <mergeCell ref="A1:E1"/>
    <mergeCell ref="A2:E2"/>
    <mergeCell ref="A18:B18"/>
    <mergeCell ref="C18:E18"/>
    <mergeCell ref="A26:E26"/>
  </mergeCells>
  <pageMargins left="0.70866141732283472" right="0.51181102362204722" top="0.74803149606299213" bottom="0.74803149606299213" header="0.31496062992125984" footer="0.31496062992125984"/>
  <pageSetup paperSize="9" scale="95" orientation="landscape" r:id="rId1"/>
  <headerFooter>
    <oddHeader>Page &amp;P de &amp;N</oddHeader>
    <oddFooter>&amp;A</oddFooter>
  </headerFooter>
  <rowBreaks count="4" manualBreakCount="4">
    <brk id="38" max="5" man="1"/>
    <brk id="66" max="4" man="1"/>
    <brk id="95" max="4" man="1"/>
    <brk id="125" max="4" man="1"/>
  </rowBreaks>
  <colBreaks count="1" manualBreakCount="1">
    <brk id="5" max="1048575" man="1"/>
  </colBreaks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theme="1" tint="4.9989318521683403E-2"/>
  </sheetPr>
  <dimension ref="A1:GG182"/>
  <sheetViews>
    <sheetView topLeftCell="A12" workbookViewId="0">
      <selection activeCell="F170" sqref="F170"/>
    </sheetView>
  </sheetViews>
  <sheetFormatPr baseColWidth="10" defaultColWidth="9.140625" defaultRowHeight="15"/>
  <cols>
    <col min="1" max="1" width="14" style="1103" customWidth="1"/>
    <col min="2" max="2" width="72.7109375" style="114" customWidth="1"/>
    <col min="3" max="3" width="10" style="114" customWidth="1"/>
    <col min="4" max="4" width="10.5703125" style="114" customWidth="1"/>
    <col min="5" max="5" width="13.7109375" style="114" customWidth="1"/>
    <col min="6" max="6" width="18.85546875" style="114" customWidth="1"/>
    <col min="7" max="7" width="18.140625" style="142" customWidth="1"/>
    <col min="8" max="8" width="16" style="255" bestFit="1" customWidth="1"/>
    <col min="9" max="9" width="15" style="262" bestFit="1" customWidth="1"/>
    <col min="10" max="10" width="16" style="255" bestFit="1" customWidth="1"/>
    <col min="11" max="11" width="21.42578125" style="129" bestFit="1" customWidth="1"/>
    <col min="12" max="12" width="18.85546875" style="129" customWidth="1"/>
    <col min="13" max="189" width="9.140625" style="129"/>
    <col min="190" max="16384" width="9.140625" style="142"/>
  </cols>
  <sheetData>
    <row r="1" spans="1:11" ht="19.5">
      <c r="A1" s="1939" t="s">
        <v>673</v>
      </c>
      <c r="B1" s="1940"/>
      <c r="C1" s="1940"/>
      <c r="D1" s="1940"/>
      <c r="E1" s="1940"/>
      <c r="F1" s="1941"/>
    </row>
    <row r="2" spans="1:11" ht="25.5" thickBot="1">
      <c r="A2" s="1942" t="s">
        <v>667</v>
      </c>
      <c r="B2" s="1943"/>
      <c r="C2" s="1943"/>
      <c r="D2" s="1943"/>
      <c r="E2" s="1943"/>
      <c r="F2" s="1944"/>
      <c r="G2" s="119"/>
    </row>
    <row r="3" spans="1:11" s="129" customFormat="1" ht="17.100000000000001" hidden="1" customHeight="1">
      <c r="A3" s="1068"/>
      <c r="B3" s="1069"/>
      <c r="C3" s="1069"/>
      <c r="D3" s="1070"/>
      <c r="E3" s="1071" t="s">
        <v>344</v>
      </c>
      <c r="F3" s="966"/>
      <c r="G3" s="142"/>
      <c r="H3" s="255"/>
      <c r="I3" s="262"/>
      <c r="J3" s="255"/>
    </row>
    <row r="4" spans="1:11" s="129" customFormat="1" ht="17.100000000000001" hidden="1" customHeight="1">
      <c r="A4" s="1068"/>
      <c r="B4" s="1069"/>
      <c r="C4" s="1069"/>
      <c r="D4" s="1070"/>
      <c r="E4" s="1071" t="s">
        <v>362</v>
      </c>
      <c r="F4" s="966">
        <f>(940-710)*0</f>
        <v>0</v>
      </c>
      <c r="G4" s="142"/>
      <c r="H4" s="255"/>
      <c r="I4" s="262"/>
      <c r="J4" s="255"/>
    </row>
    <row r="5" spans="1:11" s="129" customFormat="1" ht="17.100000000000001" hidden="1" customHeight="1">
      <c r="A5" s="1068"/>
      <c r="B5" s="1069"/>
      <c r="C5" s="1069"/>
      <c r="D5" s="1070"/>
      <c r="E5" s="1071" t="s">
        <v>349</v>
      </c>
      <c r="F5" s="966">
        <f>(925-700+(403)*2 +950*1.2)*0</f>
        <v>0</v>
      </c>
      <c r="G5" s="142"/>
      <c r="H5" s="255"/>
      <c r="I5" s="262"/>
      <c r="J5" s="255"/>
    </row>
    <row r="6" spans="1:11" s="129" customFormat="1" ht="15.95" customHeight="1">
      <c r="A6" s="1068"/>
      <c r="B6" s="1069"/>
      <c r="C6" s="1069"/>
      <c r="D6" s="1070"/>
      <c r="E6" s="1071" t="s">
        <v>345</v>
      </c>
      <c r="F6" s="966">
        <f>(1225-925+(400-0)+(700-400))*0.4</f>
        <v>400</v>
      </c>
      <c r="G6" s="142"/>
      <c r="H6" s="255"/>
      <c r="I6" s="262"/>
      <c r="J6" s="255"/>
    </row>
    <row r="7" spans="1:11" s="129" customFormat="1" ht="15.95" customHeight="1">
      <c r="A7" s="1068"/>
      <c r="B7" s="1069"/>
      <c r="C7" s="1069"/>
      <c r="D7" s="1070"/>
      <c r="E7" s="1071" t="s">
        <v>347</v>
      </c>
      <c r="F7" s="1072">
        <f>(940-710+(150+143+120+74+42)*2+20*2*10)*0.8</f>
        <v>1350.4</v>
      </c>
      <c r="G7" s="142"/>
      <c r="H7" s="255"/>
      <c r="I7" s="262"/>
      <c r="J7" s="255"/>
    </row>
    <row r="8" spans="1:11" s="129" customFormat="1" ht="15.95" hidden="1" customHeight="1">
      <c r="A8" s="1068"/>
      <c r="B8" s="1069"/>
      <c r="C8" s="1069"/>
      <c r="D8" s="1070"/>
      <c r="E8" s="1071" t="s">
        <v>346</v>
      </c>
      <c r="F8" s="966"/>
      <c r="G8" s="142"/>
      <c r="H8" s="255"/>
      <c r="I8" s="262"/>
      <c r="J8" s="255"/>
      <c r="K8" s="129">
        <f>877*25/10</f>
        <v>2192.5</v>
      </c>
    </row>
    <row r="9" spans="1:11" s="129" customFormat="1" ht="15.95" customHeight="1">
      <c r="A9" s="1068"/>
      <c r="B9" s="1069"/>
      <c r="C9" s="1069"/>
      <c r="D9" s="1070"/>
      <c r="E9" s="1071" t="s">
        <v>592</v>
      </c>
      <c r="F9" s="966">
        <f>325+30</f>
        <v>355</v>
      </c>
      <c r="G9" s="142" t="s">
        <v>679</v>
      </c>
      <c r="H9" s="255"/>
      <c r="I9" s="262"/>
      <c r="J9" s="255"/>
    </row>
    <row r="10" spans="1:11" s="129" customFormat="1" ht="15.95" customHeight="1">
      <c r="A10" s="1068"/>
      <c r="B10" s="1069"/>
      <c r="C10" s="1069"/>
      <c r="D10" s="1070"/>
      <c r="E10" s="1071" t="s">
        <v>593</v>
      </c>
      <c r="F10" s="966">
        <f>675-F9</f>
        <v>320</v>
      </c>
      <c r="G10" s="142">
        <v>810</v>
      </c>
      <c r="H10" s="255"/>
      <c r="I10" s="262"/>
      <c r="J10" s="255"/>
    </row>
    <row r="11" spans="1:11" s="129" customFormat="1" ht="15.95" customHeight="1">
      <c r="A11" s="1068"/>
      <c r="B11" s="1069"/>
      <c r="C11" s="1069"/>
      <c r="D11" s="1070"/>
      <c r="E11" s="1071" t="s">
        <v>594</v>
      </c>
      <c r="F11" s="966">
        <f>1135-F10-F9</f>
        <v>460</v>
      </c>
      <c r="G11" s="142"/>
      <c r="H11" s="255" t="s">
        <v>659</v>
      </c>
      <c r="I11" s="262"/>
      <c r="J11" s="255" t="s">
        <v>660</v>
      </c>
    </row>
    <row r="12" spans="1:11" s="129" customFormat="1" ht="15.95" customHeight="1">
      <c r="A12" s="1068"/>
      <c r="B12" s="1069"/>
      <c r="C12" s="1069"/>
      <c r="D12" s="1070"/>
      <c r="E12" s="1071" t="s">
        <v>671</v>
      </c>
      <c r="F12" s="966">
        <f>1525-1135</f>
        <v>390</v>
      </c>
      <c r="G12" s="142"/>
      <c r="H12" s="255"/>
      <c r="I12" s="262">
        <f>840/30</f>
        <v>28</v>
      </c>
      <c r="J12" s="255"/>
    </row>
    <row r="13" spans="1:11" s="129" customFormat="1" ht="15.95" hidden="1" customHeight="1">
      <c r="A13" s="1068"/>
      <c r="B13" s="1069"/>
      <c r="C13" s="1069"/>
      <c r="D13" s="1070"/>
      <c r="E13" s="1071" t="s">
        <v>657</v>
      </c>
      <c r="F13" s="966"/>
      <c r="G13" s="142">
        <v>9.84</v>
      </c>
      <c r="H13" s="255">
        <f>+F13*G13</f>
        <v>0</v>
      </c>
      <c r="I13" s="262">
        <v>4</v>
      </c>
      <c r="J13" s="255">
        <f>+F13*I13</f>
        <v>0</v>
      </c>
    </row>
    <row r="14" spans="1:11" s="129" customFormat="1" ht="15.95" hidden="1" customHeight="1">
      <c r="A14" s="1068"/>
      <c r="B14" s="1069"/>
      <c r="C14" s="1069"/>
      <c r="D14" s="1070"/>
      <c r="E14" s="1071" t="s">
        <v>658</v>
      </c>
      <c r="F14" s="966"/>
      <c r="G14" s="142">
        <v>9.84</v>
      </c>
      <c r="H14" s="255">
        <f t="shared" ref="H14:H17" si="0">+F14*G14</f>
        <v>0</v>
      </c>
      <c r="I14" s="262">
        <v>5</v>
      </c>
      <c r="J14" s="255">
        <f t="shared" ref="J14:J21" si="1">+F14*I14</f>
        <v>0</v>
      </c>
    </row>
    <row r="15" spans="1:11" s="129" customFormat="1" ht="15.95" hidden="1" customHeight="1">
      <c r="A15" s="1068"/>
      <c r="B15" s="1069"/>
      <c r="C15" s="1069"/>
      <c r="D15" s="1070"/>
      <c r="E15" s="1071" t="s">
        <v>352</v>
      </c>
      <c r="F15" s="966">
        <v>1270</v>
      </c>
      <c r="G15" s="142">
        <v>9.84</v>
      </c>
      <c r="H15" s="255">
        <f t="shared" si="0"/>
        <v>12496.8</v>
      </c>
      <c r="I15" s="262">
        <v>3.5</v>
      </c>
      <c r="J15" s="255">
        <f t="shared" si="1"/>
        <v>4445</v>
      </c>
    </row>
    <row r="16" spans="1:11" s="129" customFormat="1" ht="17.100000000000001" hidden="1" customHeight="1">
      <c r="A16" s="1068"/>
      <c r="B16" s="1069"/>
      <c r="C16" s="1069"/>
      <c r="D16" s="1070"/>
      <c r="E16" s="1071" t="s">
        <v>350</v>
      </c>
      <c r="F16" s="966"/>
      <c r="G16" s="142">
        <v>11.84</v>
      </c>
      <c r="H16" s="255">
        <f t="shared" si="0"/>
        <v>0</v>
      </c>
      <c r="I16" s="262">
        <f>20-11-2</f>
        <v>7</v>
      </c>
      <c r="J16" s="255">
        <f t="shared" si="1"/>
        <v>0</v>
      </c>
    </row>
    <row r="17" spans="1:189" s="129" customFormat="1" ht="17.100000000000001" hidden="1" customHeight="1">
      <c r="A17" s="1068"/>
      <c r="B17" s="1069"/>
      <c r="C17" s="1069"/>
      <c r="D17" s="1070"/>
      <c r="E17" s="1071" t="s">
        <v>351</v>
      </c>
      <c r="F17" s="966"/>
      <c r="G17" s="142">
        <v>9.84</v>
      </c>
      <c r="H17" s="255">
        <f t="shared" si="0"/>
        <v>0</v>
      </c>
      <c r="I17" s="262">
        <f>2*2</f>
        <v>4</v>
      </c>
      <c r="J17" s="255">
        <f t="shared" si="1"/>
        <v>0</v>
      </c>
    </row>
    <row r="18" spans="1:189" s="129" customFormat="1" ht="17.100000000000001" customHeight="1">
      <c r="A18" s="1945" t="s">
        <v>675</v>
      </c>
      <c r="B18" s="1946"/>
      <c r="C18" s="1952"/>
      <c r="D18" s="1953"/>
      <c r="E18" s="1953"/>
      <c r="F18" s="1954"/>
      <c r="G18" s="142"/>
      <c r="H18" s="255"/>
      <c r="I18" s="262"/>
      <c r="J18" s="255"/>
    </row>
    <row r="19" spans="1:189" s="129" customFormat="1" ht="24" customHeight="1">
      <c r="A19" s="1073" t="s">
        <v>661</v>
      </c>
      <c r="B19" s="1014" t="s">
        <v>584</v>
      </c>
      <c r="C19" s="1063" t="s">
        <v>98</v>
      </c>
      <c r="D19" s="1063" t="s">
        <v>99</v>
      </c>
      <c r="E19" s="1074" t="s">
        <v>100</v>
      </c>
      <c r="F19" s="1074" t="s">
        <v>114</v>
      </c>
      <c r="G19" s="142"/>
      <c r="H19" s="255">
        <f>SUM(H13:H17)</f>
        <v>12496.8</v>
      </c>
      <c r="I19" s="262"/>
      <c r="J19" s="255">
        <f>SUM(J13:J17)</f>
        <v>4445</v>
      </c>
    </row>
    <row r="20" spans="1:189" s="129" customFormat="1" ht="24.75" customHeight="1">
      <c r="A20" s="1075" t="e">
        <f>+#REF!</f>
        <v>#REF!</v>
      </c>
      <c r="B20" s="1076"/>
      <c r="C20" s="1014"/>
      <c r="D20" s="1014"/>
      <c r="E20" s="1077"/>
      <c r="F20" s="1077"/>
      <c r="G20" s="142"/>
      <c r="H20" s="255">
        <f>+H19+9.84*20*(50-35)</f>
        <v>15448.8</v>
      </c>
      <c r="I20" s="262"/>
      <c r="J20" s="255">
        <f>+J19+4*2*20*50</f>
        <v>12445</v>
      </c>
    </row>
    <row r="21" spans="1:189" s="129" customFormat="1" ht="27.95" customHeight="1">
      <c r="A21" s="896" t="e">
        <f>+#REF!</f>
        <v>#REF!</v>
      </c>
      <c r="B21" s="914" t="e">
        <f>+#REF!</f>
        <v>#REF!</v>
      </c>
      <c r="C21" s="833"/>
      <c r="D21" s="833"/>
      <c r="E21" s="834"/>
      <c r="F21" s="811"/>
      <c r="G21" s="142"/>
      <c r="H21" s="255"/>
      <c r="I21" s="262"/>
      <c r="J21" s="255">
        <f t="shared" si="1"/>
        <v>0</v>
      </c>
    </row>
    <row r="22" spans="1:189" s="129" customFormat="1" ht="15.95" customHeight="1">
      <c r="A22" s="899"/>
      <c r="B22" s="924"/>
      <c r="C22" s="835" t="s">
        <v>618</v>
      </c>
      <c r="D22" s="835">
        <v>1</v>
      </c>
      <c r="E22" s="812"/>
      <c r="F22" s="812"/>
      <c r="G22" s="142"/>
      <c r="H22" s="328">
        <f>+F156*0.085</f>
        <v>0</v>
      </c>
      <c r="I22" s="262">
        <v>1</v>
      </c>
      <c r="J22" s="255">
        <f>H22*I22</f>
        <v>0</v>
      </c>
    </row>
    <row r="23" spans="1:189" s="129" customFormat="1" ht="15.95" customHeight="1">
      <c r="A23" s="896" t="e">
        <f>+#REF!</f>
        <v>#REF!</v>
      </c>
      <c r="B23" s="914" t="e">
        <f>+#REF!</f>
        <v>#REF!</v>
      </c>
      <c r="C23" s="833"/>
      <c r="D23" s="833"/>
      <c r="E23" s="811"/>
      <c r="F23" s="811"/>
      <c r="G23" s="142"/>
      <c r="H23" s="255"/>
      <c r="I23" s="262"/>
      <c r="J23" s="255"/>
    </row>
    <row r="24" spans="1:189" s="129" customFormat="1" ht="15.95" customHeight="1">
      <c r="A24" s="899"/>
      <c r="B24" s="1078"/>
      <c r="C24" s="835" t="s">
        <v>618</v>
      </c>
      <c r="D24" s="835">
        <v>1</v>
      </c>
      <c r="E24" s="812"/>
      <c r="F24" s="812"/>
      <c r="G24" s="142"/>
      <c r="H24" s="255">
        <f>+F22*0.08</f>
        <v>0</v>
      </c>
      <c r="I24" s="262">
        <v>1.1000000000000001</v>
      </c>
      <c r="J24" s="255">
        <f>H24*I24</f>
        <v>0</v>
      </c>
    </row>
    <row r="25" spans="1:189" s="129" customFormat="1" ht="19.5" customHeight="1">
      <c r="A25" s="911"/>
      <c r="B25" s="1079"/>
      <c r="C25" s="1080"/>
      <c r="D25" s="1021"/>
      <c r="E25" s="1081" t="s">
        <v>108</v>
      </c>
      <c r="F25" s="1082"/>
      <c r="G25" s="142"/>
      <c r="H25" s="255">
        <f>SUM(F13:F17)</f>
        <v>1270</v>
      </c>
      <c r="I25" s="262"/>
      <c r="J25" s="255"/>
    </row>
    <row r="26" spans="1:189" s="129" customFormat="1" ht="20.100000000000001" customHeight="1">
      <c r="A26" s="1938" t="e">
        <f>+#REF!</f>
        <v>#REF!</v>
      </c>
      <c r="B26" s="1938"/>
      <c r="C26" s="1938"/>
      <c r="D26" s="1938"/>
      <c r="E26" s="1938"/>
      <c r="F26" s="1938"/>
      <c r="G26" s="142"/>
      <c r="H26" s="255"/>
      <c r="I26" s="262"/>
      <c r="J26" s="255"/>
    </row>
    <row r="27" spans="1:189" s="129" customFormat="1" ht="15.95" customHeight="1">
      <c r="A27" s="989" t="e">
        <f>+#REF!</f>
        <v>#REF!</v>
      </c>
      <c r="B27" s="989" t="e">
        <f>+#REF!</f>
        <v>#REF!</v>
      </c>
      <c r="C27" s="957"/>
      <c r="D27" s="957"/>
      <c r="E27" s="957"/>
      <c r="F27" s="957"/>
      <c r="H27" s="255"/>
      <c r="I27" s="262"/>
      <c r="J27" s="255"/>
      <c r="N27" s="129">
        <f>1.7*3</f>
        <v>5.0999999999999996</v>
      </c>
    </row>
    <row r="28" spans="1:189" s="129" customFormat="1" ht="15.95" customHeight="1">
      <c r="A28" s="1083"/>
      <c r="B28" s="990"/>
      <c r="C28" s="847" t="s">
        <v>25</v>
      </c>
      <c r="D28" s="960">
        <v>1</v>
      </c>
      <c r="E28" s="960"/>
      <c r="F28" s="960"/>
      <c r="G28" s="334" t="e">
        <f>+#REF!</f>
        <v>#REF!</v>
      </c>
      <c r="H28" s="255">
        <f>+F156</f>
        <v>0</v>
      </c>
      <c r="I28" s="142">
        <v>0.02</v>
      </c>
      <c r="J28" s="255"/>
    </row>
    <row r="29" spans="1:189" s="225" customFormat="1" ht="15.95" customHeight="1">
      <c r="A29" s="989" t="e">
        <f>+#REF!</f>
        <v>#REF!</v>
      </c>
      <c r="B29" s="989" t="e">
        <f>+#REF!</f>
        <v>#REF!</v>
      </c>
      <c r="C29" s="957"/>
      <c r="D29" s="957"/>
      <c r="E29" s="957"/>
      <c r="F29" s="957"/>
      <c r="G29" s="334"/>
      <c r="H29" s="259"/>
      <c r="I29" s="265"/>
      <c r="J29" s="259"/>
      <c r="K29" s="226"/>
      <c r="L29" s="226"/>
      <c r="M29" s="226"/>
      <c r="N29" s="226"/>
      <c r="O29" s="226"/>
      <c r="P29" s="226"/>
      <c r="Q29" s="226"/>
      <c r="R29" s="226"/>
      <c r="S29" s="226"/>
      <c r="T29" s="226"/>
      <c r="U29" s="226"/>
      <c r="V29" s="226"/>
      <c r="W29" s="226"/>
      <c r="X29" s="226"/>
      <c r="Y29" s="226"/>
      <c r="Z29" s="226"/>
      <c r="AA29" s="226"/>
      <c r="AB29" s="226"/>
      <c r="AC29" s="226"/>
      <c r="AD29" s="226"/>
      <c r="AE29" s="226"/>
      <c r="AF29" s="226"/>
      <c r="AG29" s="226"/>
      <c r="AH29" s="226"/>
      <c r="AI29" s="226"/>
      <c r="AJ29" s="226"/>
      <c r="AK29" s="226"/>
      <c r="AL29" s="226"/>
      <c r="AM29" s="226"/>
      <c r="AN29" s="226"/>
      <c r="AO29" s="226"/>
      <c r="AP29" s="226"/>
      <c r="AQ29" s="226"/>
      <c r="AR29" s="226"/>
      <c r="AS29" s="226"/>
      <c r="AT29" s="226"/>
      <c r="AU29" s="226"/>
      <c r="AV29" s="226"/>
      <c r="AW29" s="226"/>
      <c r="AX29" s="226"/>
      <c r="AY29" s="226"/>
      <c r="AZ29" s="226"/>
      <c r="BA29" s="226"/>
      <c r="BB29" s="226"/>
      <c r="BC29" s="226"/>
      <c r="BD29" s="226"/>
      <c r="BE29" s="226"/>
      <c r="BF29" s="226"/>
      <c r="BG29" s="226"/>
      <c r="BH29" s="226"/>
      <c r="BI29" s="226"/>
      <c r="BJ29" s="226"/>
      <c r="BK29" s="226"/>
      <c r="BL29" s="226"/>
      <c r="BM29" s="226"/>
      <c r="BN29" s="226"/>
      <c r="BO29" s="226"/>
      <c r="BP29" s="226"/>
      <c r="BQ29" s="226"/>
      <c r="BR29" s="226"/>
      <c r="BS29" s="226"/>
      <c r="BT29" s="226"/>
      <c r="BU29" s="226"/>
      <c r="BV29" s="226"/>
      <c r="BW29" s="226"/>
      <c r="BX29" s="226"/>
      <c r="BY29" s="226"/>
      <c r="BZ29" s="226"/>
      <c r="CA29" s="226"/>
      <c r="CB29" s="226"/>
      <c r="CC29" s="226"/>
      <c r="CD29" s="226"/>
      <c r="CE29" s="226"/>
      <c r="CF29" s="226"/>
      <c r="CG29" s="226"/>
      <c r="CH29" s="226"/>
      <c r="CI29" s="226"/>
      <c r="CJ29" s="226"/>
      <c r="CK29" s="226"/>
      <c r="CL29" s="226"/>
      <c r="CM29" s="226"/>
      <c r="CN29" s="226"/>
      <c r="CO29" s="226"/>
      <c r="CP29" s="226"/>
      <c r="CQ29" s="226"/>
      <c r="CR29" s="226"/>
      <c r="CS29" s="226"/>
      <c r="CT29" s="226"/>
      <c r="CU29" s="226"/>
      <c r="CV29" s="226"/>
      <c r="CW29" s="226"/>
      <c r="CX29" s="226"/>
      <c r="CY29" s="226"/>
      <c r="CZ29" s="226"/>
      <c r="DA29" s="226"/>
      <c r="DB29" s="226"/>
      <c r="DC29" s="226"/>
      <c r="DD29" s="226"/>
      <c r="DE29" s="226"/>
      <c r="DF29" s="226"/>
      <c r="DG29" s="226"/>
      <c r="DH29" s="226"/>
      <c r="DI29" s="226"/>
      <c r="DJ29" s="226"/>
      <c r="DK29" s="226"/>
      <c r="DL29" s="226"/>
      <c r="DM29" s="226"/>
      <c r="DN29" s="226"/>
      <c r="DO29" s="226"/>
      <c r="DP29" s="226"/>
      <c r="DQ29" s="226"/>
      <c r="DR29" s="226"/>
      <c r="DS29" s="226"/>
      <c r="DT29" s="226"/>
      <c r="DU29" s="226"/>
      <c r="DV29" s="226"/>
      <c r="DW29" s="226"/>
      <c r="DX29" s="226"/>
      <c r="DY29" s="226"/>
      <c r="DZ29" s="226"/>
      <c r="EA29" s="226"/>
      <c r="EB29" s="226"/>
      <c r="EC29" s="226"/>
      <c r="ED29" s="226"/>
      <c r="EE29" s="226"/>
      <c r="EF29" s="226"/>
      <c r="EG29" s="226"/>
      <c r="EH29" s="226"/>
      <c r="EI29" s="226"/>
      <c r="EJ29" s="226"/>
      <c r="EK29" s="226"/>
      <c r="EL29" s="226"/>
      <c r="EM29" s="226"/>
      <c r="EN29" s="226"/>
      <c r="EO29" s="226"/>
      <c r="EP29" s="226"/>
      <c r="EQ29" s="226"/>
      <c r="ER29" s="226"/>
      <c r="ES29" s="226"/>
      <c r="ET29" s="226"/>
      <c r="EU29" s="226"/>
      <c r="EV29" s="226"/>
      <c r="EW29" s="226"/>
      <c r="EX29" s="226"/>
      <c r="EY29" s="226"/>
      <c r="EZ29" s="226"/>
      <c r="FA29" s="226"/>
      <c r="FB29" s="226"/>
      <c r="FC29" s="226"/>
      <c r="FD29" s="226"/>
      <c r="FE29" s="226"/>
      <c r="FF29" s="226"/>
      <c r="FG29" s="226"/>
      <c r="FH29" s="226"/>
      <c r="FI29" s="226"/>
      <c r="FJ29" s="226"/>
      <c r="FK29" s="226"/>
      <c r="FL29" s="226"/>
      <c r="FM29" s="226"/>
      <c r="FN29" s="226"/>
      <c r="FO29" s="226"/>
      <c r="FP29" s="226"/>
      <c r="FQ29" s="226"/>
      <c r="FR29" s="226"/>
      <c r="FS29" s="226"/>
      <c r="FT29" s="226"/>
      <c r="FU29" s="226"/>
      <c r="FV29" s="226"/>
      <c r="FW29" s="226"/>
      <c r="FX29" s="226"/>
      <c r="FY29" s="226"/>
      <c r="FZ29" s="226"/>
      <c r="GA29" s="226"/>
      <c r="GB29" s="226"/>
      <c r="GC29" s="226"/>
      <c r="GD29" s="226"/>
      <c r="GE29" s="226"/>
      <c r="GF29" s="226"/>
      <c r="GG29" s="226"/>
    </row>
    <row r="30" spans="1:189" s="225" customFormat="1" ht="15.95" customHeight="1">
      <c r="A30" s="1083"/>
      <c r="B30" s="990"/>
      <c r="C30" s="847" t="s">
        <v>25</v>
      </c>
      <c r="D30" s="960">
        <v>1</v>
      </c>
      <c r="E30" s="960"/>
      <c r="F30" s="960"/>
      <c r="G30" s="334">
        <f t="shared" ref="G30" si="2">+H30*I30</f>
        <v>0</v>
      </c>
      <c r="H30" s="259">
        <f>+H28</f>
        <v>0</v>
      </c>
      <c r="I30" s="265">
        <v>0.02</v>
      </c>
      <c r="J30" s="259">
        <f>H30*I30</f>
        <v>0</v>
      </c>
      <c r="K30" s="226"/>
      <c r="L30" s="226"/>
      <c r="M30" s="226"/>
      <c r="N30" s="226"/>
      <c r="O30" s="226"/>
      <c r="P30" s="226"/>
      <c r="Q30" s="226"/>
      <c r="R30" s="226"/>
      <c r="S30" s="226"/>
      <c r="T30" s="226"/>
      <c r="U30" s="226"/>
      <c r="V30" s="226"/>
      <c r="W30" s="226"/>
      <c r="X30" s="226"/>
      <c r="Y30" s="226"/>
      <c r="Z30" s="226"/>
      <c r="AA30" s="226"/>
      <c r="AB30" s="226"/>
      <c r="AC30" s="226"/>
      <c r="AD30" s="226"/>
      <c r="AE30" s="226"/>
      <c r="AF30" s="226"/>
      <c r="AG30" s="226"/>
      <c r="AH30" s="226"/>
      <c r="AI30" s="226"/>
      <c r="AJ30" s="226"/>
      <c r="AK30" s="226"/>
      <c r="AL30" s="226"/>
      <c r="AM30" s="226"/>
      <c r="AN30" s="226"/>
      <c r="AO30" s="226"/>
      <c r="AP30" s="226"/>
      <c r="AQ30" s="226"/>
      <c r="AR30" s="226"/>
      <c r="AS30" s="226"/>
      <c r="AT30" s="226"/>
      <c r="AU30" s="226"/>
      <c r="AV30" s="226"/>
      <c r="AW30" s="226"/>
      <c r="AX30" s="226"/>
      <c r="AY30" s="226"/>
      <c r="AZ30" s="226"/>
      <c r="BA30" s="226"/>
      <c r="BB30" s="226"/>
      <c r="BC30" s="226"/>
      <c r="BD30" s="226"/>
      <c r="BE30" s="226"/>
      <c r="BF30" s="226"/>
      <c r="BG30" s="226"/>
      <c r="BH30" s="226"/>
      <c r="BI30" s="226"/>
      <c r="BJ30" s="226"/>
      <c r="BK30" s="226"/>
      <c r="BL30" s="226"/>
      <c r="BM30" s="226"/>
      <c r="BN30" s="226"/>
      <c r="BO30" s="226"/>
      <c r="BP30" s="226"/>
      <c r="BQ30" s="226"/>
      <c r="BR30" s="226"/>
      <c r="BS30" s="226"/>
      <c r="BT30" s="226"/>
      <c r="BU30" s="226"/>
      <c r="BV30" s="226"/>
      <c r="BW30" s="226"/>
      <c r="BX30" s="226"/>
      <c r="BY30" s="226"/>
      <c r="BZ30" s="226"/>
      <c r="CA30" s="226"/>
      <c r="CB30" s="226"/>
      <c r="CC30" s="226"/>
      <c r="CD30" s="226"/>
      <c r="CE30" s="226"/>
      <c r="CF30" s="226"/>
      <c r="CG30" s="226"/>
      <c r="CH30" s="226"/>
      <c r="CI30" s="226"/>
      <c r="CJ30" s="226"/>
      <c r="CK30" s="226"/>
      <c r="CL30" s="226"/>
      <c r="CM30" s="226"/>
      <c r="CN30" s="226"/>
      <c r="CO30" s="226"/>
      <c r="CP30" s="226"/>
      <c r="CQ30" s="226"/>
      <c r="CR30" s="226"/>
      <c r="CS30" s="226"/>
      <c r="CT30" s="226"/>
      <c r="CU30" s="226"/>
      <c r="CV30" s="226"/>
      <c r="CW30" s="226"/>
      <c r="CX30" s="226"/>
      <c r="CY30" s="226"/>
      <c r="CZ30" s="226"/>
      <c r="DA30" s="226"/>
      <c r="DB30" s="226"/>
      <c r="DC30" s="226"/>
      <c r="DD30" s="226"/>
      <c r="DE30" s="226"/>
      <c r="DF30" s="226"/>
      <c r="DG30" s="226"/>
      <c r="DH30" s="226"/>
      <c r="DI30" s="226"/>
      <c r="DJ30" s="226"/>
      <c r="DK30" s="226"/>
      <c r="DL30" s="226"/>
      <c r="DM30" s="226"/>
      <c r="DN30" s="226"/>
      <c r="DO30" s="226"/>
      <c r="DP30" s="226"/>
      <c r="DQ30" s="226"/>
      <c r="DR30" s="226"/>
      <c r="DS30" s="226"/>
      <c r="DT30" s="226"/>
      <c r="DU30" s="226"/>
      <c r="DV30" s="226"/>
      <c r="DW30" s="226"/>
      <c r="DX30" s="226"/>
      <c r="DY30" s="226"/>
      <c r="DZ30" s="226"/>
      <c r="EA30" s="226"/>
      <c r="EB30" s="226"/>
      <c r="EC30" s="226"/>
      <c r="ED30" s="226"/>
      <c r="EE30" s="226"/>
      <c r="EF30" s="226"/>
      <c r="EG30" s="226"/>
      <c r="EH30" s="226"/>
      <c r="EI30" s="226"/>
      <c r="EJ30" s="226"/>
      <c r="EK30" s="226"/>
      <c r="EL30" s="226"/>
      <c r="EM30" s="226"/>
      <c r="EN30" s="226"/>
      <c r="EO30" s="226"/>
      <c r="EP30" s="226"/>
      <c r="EQ30" s="226"/>
      <c r="ER30" s="226"/>
      <c r="ES30" s="226"/>
      <c r="ET30" s="226"/>
      <c r="EU30" s="226"/>
      <c r="EV30" s="226"/>
      <c r="EW30" s="226"/>
      <c r="EX30" s="226"/>
      <c r="EY30" s="226"/>
      <c r="EZ30" s="226"/>
      <c r="FA30" s="226"/>
      <c r="FB30" s="226"/>
      <c r="FC30" s="226"/>
      <c r="FD30" s="226"/>
      <c r="FE30" s="226"/>
      <c r="FF30" s="226"/>
      <c r="FG30" s="226"/>
      <c r="FH30" s="226"/>
      <c r="FI30" s="226"/>
      <c r="FJ30" s="226"/>
      <c r="FK30" s="226"/>
      <c r="FL30" s="226"/>
      <c r="FM30" s="226"/>
      <c r="FN30" s="226"/>
      <c r="FO30" s="226"/>
      <c r="FP30" s="226"/>
      <c r="FQ30" s="226"/>
      <c r="FR30" s="226"/>
      <c r="FS30" s="226"/>
      <c r="FT30" s="226"/>
      <c r="FU30" s="226"/>
      <c r="FV30" s="226"/>
      <c r="FW30" s="226"/>
      <c r="FX30" s="226"/>
      <c r="FY30" s="226"/>
      <c r="FZ30" s="226"/>
      <c r="GA30" s="226"/>
      <c r="GB30" s="226"/>
      <c r="GC30" s="226"/>
      <c r="GD30" s="226"/>
      <c r="GE30" s="226"/>
      <c r="GF30" s="226"/>
      <c r="GG30" s="226"/>
    </row>
    <row r="31" spans="1:189" ht="15.95" customHeight="1">
      <c r="A31" s="989" t="e">
        <f>+#REF!</f>
        <v>#REF!</v>
      </c>
      <c r="B31" s="989" t="e">
        <f>+#REF!</f>
        <v>#REF!</v>
      </c>
      <c r="C31" s="957"/>
      <c r="D31" s="957"/>
      <c r="E31" s="957"/>
      <c r="F31" s="957"/>
      <c r="G31" s="334"/>
    </row>
    <row r="32" spans="1:189" ht="15.95" customHeight="1">
      <c r="A32" s="1083"/>
      <c r="B32" s="990"/>
      <c r="C32" s="847" t="s">
        <v>25</v>
      </c>
      <c r="D32" s="960">
        <v>1</v>
      </c>
      <c r="E32" s="960"/>
      <c r="F32" s="960"/>
      <c r="G32" s="334" t="e">
        <f>+#REF!</f>
        <v>#REF!</v>
      </c>
      <c r="H32" s="255">
        <f>+H30</f>
        <v>0</v>
      </c>
      <c r="I32" s="262">
        <v>0.01</v>
      </c>
    </row>
    <row r="33" spans="1:10" s="129" customFormat="1" ht="15.95" customHeight="1">
      <c r="A33" s="989" t="e">
        <f>+#REF!</f>
        <v>#REF!</v>
      </c>
      <c r="B33" s="989" t="e">
        <f>+#REF!</f>
        <v>#REF!</v>
      </c>
      <c r="C33" s="957"/>
      <c r="D33" s="957"/>
      <c r="E33" s="957"/>
      <c r="F33" s="957"/>
      <c r="G33" s="334"/>
      <c r="H33" s="255"/>
      <c r="I33" s="262"/>
      <c r="J33" s="255"/>
    </row>
    <row r="34" spans="1:10" s="129" customFormat="1" ht="15.95" customHeight="1">
      <c r="A34" s="1083"/>
      <c r="B34" s="990"/>
      <c r="C34" s="847" t="s">
        <v>25</v>
      </c>
      <c r="D34" s="960">
        <v>1</v>
      </c>
      <c r="E34" s="960"/>
      <c r="F34" s="960"/>
      <c r="G34" s="142"/>
      <c r="H34" s="255">
        <f>H24/50*50%</f>
        <v>0</v>
      </c>
      <c r="I34" s="265">
        <v>1.05</v>
      </c>
      <c r="J34" s="259">
        <f>H34*I34</f>
        <v>0</v>
      </c>
    </row>
    <row r="35" spans="1:10" s="129" customFormat="1" ht="15.95" customHeight="1">
      <c r="A35" s="989" t="e">
        <f>+#REF!</f>
        <v>#REF!</v>
      </c>
      <c r="B35" s="989" t="e">
        <f>+#REF!</f>
        <v>#REF!</v>
      </c>
      <c r="C35" s="957"/>
      <c r="D35" s="957"/>
      <c r="E35" s="957"/>
      <c r="F35" s="957"/>
      <c r="G35" s="142"/>
      <c r="H35" s="255">
        <f>H24/25*50%</f>
        <v>0</v>
      </c>
      <c r="I35" s="265">
        <v>1.05</v>
      </c>
      <c r="J35" s="259">
        <f>H35*I35</f>
        <v>0</v>
      </c>
    </row>
    <row r="36" spans="1:10" s="129" customFormat="1" ht="15.95" customHeight="1">
      <c r="A36" s="1083"/>
      <c r="B36" s="990"/>
      <c r="C36" s="847" t="s">
        <v>25</v>
      </c>
      <c r="D36" s="988"/>
      <c r="E36" s="960"/>
      <c r="F36" s="960"/>
      <c r="G36" s="334" t="e">
        <f>SUM(G28:G32)</f>
        <v>#REF!</v>
      </c>
      <c r="H36" s="255">
        <v>20</v>
      </c>
      <c r="I36" s="265">
        <v>1.05</v>
      </c>
      <c r="J36" s="259">
        <f>H36*I36</f>
        <v>21</v>
      </c>
    </row>
    <row r="37" spans="1:10" s="129" customFormat="1" ht="15.95" customHeight="1">
      <c r="A37" s="989" t="e">
        <f>+#REF!</f>
        <v>#REF!</v>
      </c>
      <c r="B37" s="989" t="e">
        <f>+#REF!</f>
        <v>#REF!</v>
      </c>
      <c r="C37" s="957"/>
      <c r="D37" s="957"/>
      <c r="E37" s="957"/>
      <c r="F37" s="957"/>
      <c r="G37" s="142"/>
      <c r="H37" s="255">
        <f>30%*H24</f>
        <v>0</v>
      </c>
      <c r="I37" s="265">
        <v>1.05</v>
      </c>
      <c r="J37" s="259">
        <f>H37*I37</f>
        <v>0</v>
      </c>
    </row>
    <row r="38" spans="1:10" s="129" customFormat="1" ht="15.95" customHeight="1">
      <c r="A38" s="1083"/>
      <c r="B38" s="990"/>
      <c r="C38" s="847" t="s">
        <v>27</v>
      </c>
      <c r="D38" s="960">
        <v>20</v>
      </c>
      <c r="E38" s="960"/>
      <c r="F38" s="960"/>
      <c r="G38" s="142"/>
      <c r="H38" s="255"/>
      <c r="I38" s="262"/>
      <c r="J38" s="255"/>
    </row>
    <row r="39" spans="1:10" s="129" customFormat="1" ht="20.100000000000001" customHeight="1">
      <c r="A39" s="1084"/>
      <c r="B39" s="1080"/>
      <c r="C39" s="1080"/>
      <c r="D39" s="1021"/>
      <c r="E39" s="1085" t="s">
        <v>106</v>
      </c>
      <c r="F39" s="1082"/>
      <c r="G39" s="142"/>
      <c r="H39" s="255"/>
      <c r="I39" s="262"/>
      <c r="J39" s="255"/>
    </row>
    <row r="40" spans="1:10" s="129" customFormat="1" ht="15.95" customHeight="1">
      <c r="A40" s="881"/>
      <c r="B40" s="882"/>
      <c r="C40" s="882"/>
      <c r="D40" s="882"/>
      <c r="E40" s="882"/>
      <c r="F40" s="882"/>
      <c r="G40" s="142"/>
      <c r="H40" s="255"/>
      <c r="I40" s="262"/>
      <c r="J40" s="255"/>
    </row>
    <row r="41" spans="1:10" s="129" customFormat="1" ht="20.100000000000001" customHeight="1">
      <c r="A41" s="1084"/>
      <c r="B41" s="1080"/>
      <c r="C41" s="1080"/>
      <c r="D41" s="1021"/>
      <c r="E41" s="1085" t="s">
        <v>107</v>
      </c>
      <c r="F41" s="1082">
        <f>+F25+F39</f>
        <v>0</v>
      </c>
      <c r="G41" s="142"/>
      <c r="H41" s="255"/>
      <c r="I41" s="262"/>
      <c r="J41" s="255"/>
    </row>
    <row r="42" spans="1:10" s="129" customFormat="1" ht="20.100000000000001" customHeight="1">
      <c r="A42" s="1938" t="e">
        <f>+#REF!</f>
        <v>#REF!</v>
      </c>
      <c r="B42" s="1938"/>
      <c r="C42" s="1938"/>
      <c r="D42" s="1938"/>
      <c r="E42" s="1938"/>
      <c r="F42" s="1938"/>
      <c r="G42" s="142"/>
      <c r="H42" s="255"/>
      <c r="I42" s="262"/>
      <c r="J42" s="255"/>
    </row>
    <row r="43" spans="1:10" s="129" customFormat="1" ht="15.95" customHeight="1">
      <c r="A43" s="910" t="e">
        <f>+#REF!</f>
        <v>#REF!</v>
      </c>
      <c r="B43" s="916" t="e">
        <f>+#REF!</f>
        <v>#REF!</v>
      </c>
      <c r="C43" s="845"/>
      <c r="D43" s="833"/>
      <c r="E43" s="848"/>
      <c r="F43" s="811"/>
      <c r="G43" s="142"/>
      <c r="H43" s="255"/>
      <c r="I43" s="262"/>
      <c r="J43" s="255"/>
    </row>
    <row r="44" spans="1:10" s="129" customFormat="1" ht="15.95" customHeight="1">
      <c r="A44" s="885"/>
      <c r="B44" s="924"/>
      <c r="C44" s="840" t="s">
        <v>618</v>
      </c>
      <c r="D44" s="838">
        <v>1</v>
      </c>
      <c r="E44" s="813"/>
      <c r="F44" s="812"/>
      <c r="G44" s="142"/>
      <c r="H44" s="255"/>
      <c r="I44" s="262"/>
      <c r="J44" s="255"/>
    </row>
    <row r="45" spans="1:10" s="129" customFormat="1" ht="15.95" customHeight="1">
      <c r="A45" s="910" t="e">
        <f>+#REF!</f>
        <v>#REF!</v>
      </c>
      <c r="B45" s="916" t="e">
        <f>+#REF!</f>
        <v>#REF!</v>
      </c>
      <c r="C45" s="845"/>
      <c r="D45" s="833"/>
      <c r="E45" s="848"/>
      <c r="F45" s="811"/>
      <c r="G45" s="142"/>
      <c r="H45" s="255"/>
      <c r="I45" s="262"/>
      <c r="J45" s="255"/>
    </row>
    <row r="46" spans="1:10" s="129" customFormat="1" ht="15.95" customHeight="1">
      <c r="A46" s="885" t="e">
        <f>+#REF!</f>
        <v>#REF!</v>
      </c>
      <c r="B46" s="924" t="e">
        <f>+#REF!</f>
        <v>#REF!</v>
      </c>
      <c r="C46" s="840" t="s">
        <v>94</v>
      </c>
      <c r="D46" s="838">
        <f>J46</f>
        <v>30480</v>
      </c>
      <c r="E46" s="813"/>
      <c r="F46" s="812"/>
      <c r="G46" s="142"/>
      <c r="H46" s="328">
        <f>+H25*20</f>
        <v>25400</v>
      </c>
      <c r="I46" s="262">
        <v>1.2</v>
      </c>
      <c r="J46" s="255">
        <f>H46*I46</f>
        <v>30480</v>
      </c>
    </row>
    <row r="47" spans="1:10" s="129" customFormat="1" ht="15.95" customHeight="1">
      <c r="A47" s="910" t="e">
        <f>+#REF!</f>
        <v>#REF!</v>
      </c>
      <c r="B47" s="916" t="e">
        <f>+#REF!</f>
        <v>#REF!</v>
      </c>
      <c r="C47" s="845"/>
      <c r="D47" s="833"/>
      <c r="E47" s="848"/>
      <c r="F47" s="811"/>
      <c r="G47" s="142"/>
      <c r="H47" s="255"/>
      <c r="I47" s="262"/>
      <c r="J47" s="255"/>
    </row>
    <row r="48" spans="1:10" s="129" customFormat="1" ht="15.95" customHeight="1">
      <c r="A48" s="885"/>
      <c r="B48" s="924"/>
      <c r="C48" s="840" t="s">
        <v>27</v>
      </c>
      <c r="D48" s="838">
        <f>J48</f>
        <v>13.334999999999999</v>
      </c>
      <c r="E48" s="813"/>
      <c r="F48" s="812"/>
      <c r="G48" s="142"/>
      <c r="H48" s="255">
        <f>+H25/100</f>
        <v>12.7</v>
      </c>
      <c r="I48" s="262">
        <v>1.05</v>
      </c>
      <c r="J48" s="255">
        <f>H48*I48</f>
        <v>13.334999999999999</v>
      </c>
    </row>
    <row r="49" spans="1:11" s="129" customFormat="1" ht="15.95" customHeight="1">
      <c r="A49" s="896" t="e">
        <f>+#REF!</f>
        <v>#REF!</v>
      </c>
      <c r="B49" s="914" t="e">
        <f>+#REF!</f>
        <v>#REF!</v>
      </c>
      <c r="C49" s="965"/>
      <c r="D49" s="936"/>
      <c r="E49" s="848"/>
      <c r="F49" s="811"/>
      <c r="G49" s="142"/>
      <c r="H49" s="255"/>
      <c r="I49" s="262"/>
      <c r="J49" s="255"/>
    </row>
    <row r="50" spans="1:11" s="129" customFormat="1" ht="15.95" customHeight="1">
      <c r="A50" s="1086" t="e">
        <f>+#REF!</f>
        <v>#REF!</v>
      </c>
      <c r="B50" s="931" t="e">
        <f>+#REF!</f>
        <v>#REF!</v>
      </c>
      <c r="C50" s="839" t="s">
        <v>618</v>
      </c>
      <c r="D50" s="1064">
        <v>1</v>
      </c>
      <c r="E50" s="388"/>
      <c r="F50" s="930"/>
      <c r="G50" s="142"/>
      <c r="H50" s="262">
        <f>H25/1000</f>
        <v>1.27</v>
      </c>
      <c r="I50" s="262">
        <f>1.05</f>
        <v>1.05</v>
      </c>
      <c r="J50" s="262">
        <f>H50*I50</f>
        <v>1.3335000000000001</v>
      </c>
    </row>
    <row r="51" spans="1:11" s="129" customFormat="1" ht="15.95" customHeight="1">
      <c r="A51" s="1086" t="e">
        <f>+#REF!</f>
        <v>#REF!</v>
      </c>
      <c r="B51" s="931" t="e">
        <f>+#REF!</f>
        <v>#REF!</v>
      </c>
      <c r="C51" s="839" t="s">
        <v>618</v>
      </c>
      <c r="D51" s="1064">
        <v>1</v>
      </c>
      <c r="E51" s="388"/>
      <c r="F51" s="930"/>
      <c r="G51" s="142"/>
      <c r="H51" s="262">
        <f>H50</f>
        <v>1.27</v>
      </c>
      <c r="I51" s="262">
        <f>1.05</f>
        <v>1.05</v>
      </c>
      <c r="J51" s="262">
        <f>H51*I51</f>
        <v>1.3335000000000001</v>
      </c>
    </row>
    <row r="52" spans="1:11" s="129" customFormat="1" ht="15.95" customHeight="1">
      <c r="A52" s="1086" t="e">
        <f>+#REF!</f>
        <v>#REF!</v>
      </c>
      <c r="B52" s="931" t="e">
        <f>+#REF!</f>
        <v>#REF!</v>
      </c>
      <c r="C52" s="839" t="s">
        <v>205</v>
      </c>
      <c r="D52" s="843">
        <f>J52</f>
        <v>1778</v>
      </c>
      <c r="E52" s="388"/>
      <c r="F52" s="930"/>
      <c r="G52" s="142"/>
      <c r="H52" s="262">
        <f>+F15</f>
        <v>1270</v>
      </c>
      <c r="I52" s="262">
        <v>1.4</v>
      </c>
      <c r="J52" s="262">
        <f>ROUND(H52*I52,0)</f>
        <v>1778</v>
      </c>
    </row>
    <row r="53" spans="1:11" s="129" customFormat="1" ht="15.95" customHeight="1">
      <c r="A53" s="1087" t="e">
        <f>+#REF!</f>
        <v>#REF!</v>
      </c>
      <c r="B53" s="924" t="e">
        <f>+#REF!</f>
        <v>#REF!</v>
      </c>
      <c r="C53" s="840" t="s">
        <v>618</v>
      </c>
      <c r="D53" s="1065">
        <v>1</v>
      </c>
      <c r="E53" s="813"/>
      <c r="F53" s="812"/>
      <c r="G53" s="142"/>
      <c r="H53" s="262">
        <f>H51</f>
        <v>1.27</v>
      </c>
      <c r="I53" s="262">
        <f>1.05</f>
        <v>1.05</v>
      </c>
      <c r="J53" s="262">
        <f>H53*I53</f>
        <v>1.3335000000000001</v>
      </c>
    </row>
    <row r="54" spans="1:11" s="129" customFormat="1" ht="15.95" customHeight="1">
      <c r="A54" s="910" t="e">
        <f>+#REF!</f>
        <v>#REF!</v>
      </c>
      <c r="B54" s="916" t="e">
        <f>+#REF!</f>
        <v>#REF!</v>
      </c>
      <c r="C54" s="965"/>
      <c r="D54" s="936"/>
      <c r="E54" s="848"/>
      <c r="F54" s="811"/>
      <c r="G54" s="142"/>
      <c r="H54" s="255"/>
      <c r="I54" s="262"/>
      <c r="J54" s="255"/>
    </row>
    <row r="55" spans="1:11" s="129" customFormat="1" ht="15.95" customHeight="1">
      <c r="A55" s="885"/>
      <c r="B55" s="932"/>
      <c r="C55" s="840" t="s">
        <v>94</v>
      </c>
      <c r="D55" s="838">
        <f>J55</f>
        <v>13970.000000000002</v>
      </c>
      <c r="E55" s="813"/>
      <c r="F55" s="812"/>
      <c r="G55" s="142"/>
      <c r="H55" s="255">
        <f>+(F13/2+F15)*10</f>
        <v>12700</v>
      </c>
      <c r="I55" s="262">
        <f>1.1</f>
        <v>1.1000000000000001</v>
      </c>
      <c r="J55" s="255">
        <f>H55*I55</f>
        <v>13970.000000000002</v>
      </c>
    </row>
    <row r="56" spans="1:11" s="129" customFormat="1" ht="15.95" customHeight="1">
      <c r="A56" s="910" t="e">
        <f>+#REF!</f>
        <v>#REF!</v>
      </c>
      <c r="B56" s="916" t="e">
        <f>+#REF!</f>
        <v>#REF!</v>
      </c>
      <c r="C56" s="965"/>
      <c r="D56" s="936"/>
      <c r="E56" s="848"/>
      <c r="F56" s="811"/>
      <c r="G56" s="142"/>
      <c r="H56" s="255">
        <f>370+163*2</f>
        <v>696</v>
      </c>
      <c r="I56" s="262"/>
      <c r="J56" s="255"/>
    </row>
    <row r="57" spans="1:11" s="129" customFormat="1" ht="15.95" customHeight="1">
      <c r="A57" s="885"/>
      <c r="B57" s="932"/>
      <c r="C57" s="840" t="s">
        <v>1</v>
      </c>
      <c r="D57" s="838">
        <f>J57</f>
        <v>2794</v>
      </c>
      <c r="E57" s="813"/>
      <c r="F57" s="812"/>
      <c r="G57" s="142"/>
      <c r="H57" s="255">
        <f>+(F13/2+F15)*2</f>
        <v>2540</v>
      </c>
      <c r="I57" s="262">
        <f>1.1</f>
        <v>1.1000000000000001</v>
      </c>
      <c r="J57" s="255">
        <f>H57*I57</f>
        <v>2794</v>
      </c>
    </row>
    <row r="58" spans="1:11" s="129" customFormat="1" ht="15.95" customHeight="1">
      <c r="A58" s="910" t="e">
        <f>+#REF!</f>
        <v>#REF!</v>
      </c>
      <c r="B58" s="916" t="e">
        <f>+#REF!</f>
        <v>#REF!</v>
      </c>
      <c r="C58" s="965"/>
      <c r="D58" s="936"/>
      <c r="E58" s="848"/>
      <c r="F58" s="811"/>
      <c r="G58" s="142"/>
      <c r="H58" s="255"/>
      <c r="I58" s="262"/>
      <c r="J58" s="255"/>
    </row>
    <row r="59" spans="1:11" s="129" customFormat="1" ht="15.95" customHeight="1">
      <c r="A59" s="991" t="e">
        <f>+#REF!</f>
        <v>#REF!</v>
      </c>
      <c r="B59" s="929" t="e">
        <f>+#REF!</f>
        <v>#REF!</v>
      </c>
      <c r="C59" s="1037" t="s">
        <v>1</v>
      </c>
      <c r="D59" s="1066">
        <f>J59</f>
        <v>1053.6500000000001</v>
      </c>
      <c r="E59" s="388"/>
      <c r="F59" s="930"/>
      <c r="G59" s="142"/>
      <c r="H59" s="262">
        <f>120+1470+401+310+260+130+320+350+250+355+350+550+255+2160+1140+175+175+130+130+745+372+245+740+1060+345+550+263+475+300+913+790+777+395+320+123+120+396+322+200+206+506+180+270+95+95+240+255+230+200+204+110</f>
        <v>21073</v>
      </c>
      <c r="I59" s="262">
        <f>0.5*0.1</f>
        <v>0.05</v>
      </c>
      <c r="J59" s="255">
        <f>H59*I59</f>
        <v>1053.6500000000001</v>
      </c>
    </row>
    <row r="60" spans="1:11" s="129" customFormat="1" ht="15.95" customHeight="1">
      <c r="A60" s="910" t="e">
        <f>+#REF!</f>
        <v>#REF!</v>
      </c>
      <c r="B60" s="916" t="e">
        <f>+#REF!</f>
        <v>#REF!</v>
      </c>
      <c r="C60" s="965"/>
      <c r="D60" s="936"/>
      <c r="E60" s="848"/>
      <c r="F60" s="811"/>
      <c r="G60" s="142"/>
      <c r="H60" s="255"/>
      <c r="I60" s="262"/>
      <c r="J60" s="255"/>
    </row>
    <row r="61" spans="1:11" s="129" customFormat="1" ht="15.95" customHeight="1">
      <c r="A61" s="885"/>
      <c r="B61" s="932"/>
      <c r="C61" s="840" t="s">
        <v>94</v>
      </c>
      <c r="D61" s="838">
        <f>J61</f>
        <v>165</v>
      </c>
      <c r="E61" s="813"/>
      <c r="F61" s="812"/>
      <c r="G61" s="142"/>
      <c r="H61" s="255">
        <f>11*(14*0+15)</f>
        <v>165</v>
      </c>
      <c r="I61" s="262">
        <v>1</v>
      </c>
      <c r="J61" s="255">
        <f>H61*I61</f>
        <v>165</v>
      </c>
      <c r="K61" s="129" t="s">
        <v>353</v>
      </c>
    </row>
    <row r="62" spans="1:11" s="402" customFormat="1" ht="15.95" customHeight="1">
      <c r="A62" s="910" t="e">
        <f>+#REF!</f>
        <v>#REF!</v>
      </c>
      <c r="B62" s="916" t="e">
        <f>+#REF!</f>
        <v>#REF!</v>
      </c>
      <c r="C62" s="965"/>
      <c r="D62" s="936"/>
      <c r="E62" s="848"/>
      <c r="F62" s="811"/>
      <c r="H62" s="268"/>
      <c r="I62" s="269"/>
      <c r="J62" s="268"/>
    </row>
    <row r="63" spans="1:11" s="402" customFormat="1" ht="15.95" customHeight="1">
      <c r="A63" s="885"/>
      <c r="B63" s="932"/>
      <c r="C63" s="840" t="s">
        <v>1</v>
      </c>
      <c r="D63" s="838">
        <v>178</v>
      </c>
      <c r="E63" s="813"/>
      <c r="F63" s="812"/>
      <c r="H63" s="268">
        <f>162</f>
        <v>162</v>
      </c>
      <c r="I63" s="269">
        <v>1.1000000000000001</v>
      </c>
      <c r="J63" s="268">
        <f>H63*I63</f>
        <v>178.20000000000002</v>
      </c>
    </row>
    <row r="64" spans="1:11" s="129" customFormat="1" ht="20.100000000000001" customHeight="1">
      <c r="A64" s="1088"/>
      <c r="B64" s="1089"/>
      <c r="C64" s="1080"/>
      <c r="D64" s="1021"/>
      <c r="E64" s="1085" t="s">
        <v>111</v>
      </c>
      <c r="F64" s="1082"/>
      <c r="G64" s="142"/>
      <c r="H64" s="255"/>
      <c r="I64" s="262"/>
      <c r="J64" s="255"/>
    </row>
    <row r="65" spans="1:12" s="129" customFormat="1" ht="15.95" customHeight="1">
      <c r="A65" s="1090"/>
      <c r="B65" s="1039"/>
      <c r="C65" s="272"/>
      <c r="D65" s="274"/>
      <c r="E65" s="314"/>
      <c r="F65" s="314"/>
      <c r="G65" s="142"/>
      <c r="H65" s="255"/>
      <c r="I65" s="262"/>
      <c r="J65" s="255"/>
    </row>
    <row r="66" spans="1:12" s="129" customFormat="1" ht="20.100000000000001" customHeight="1">
      <c r="A66" s="1950" t="e">
        <f>+#REF!</f>
        <v>#REF!</v>
      </c>
      <c r="B66" s="1950"/>
      <c r="C66" s="1950"/>
      <c r="D66" s="1950"/>
      <c r="E66" s="1950"/>
      <c r="F66" s="1950"/>
      <c r="G66" s="142"/>
      <c r="H66" s="255"/>
      <c r="I66" s="262"/>
      <c r="J66" s="255"/>
    </row>
    <row r="67" spans="1:12" s="129" customFormat="1" ht="15.95" customHeight="1">
      <c r="A67" s="896" t="e">
        <f>+#REF!</f>
        <v>#REF!</v>
      </c>
      <c r="B67" s="914" t="e">
        <f>+#REF!</f>
        <v>#REF!</v>
      </c>
      <c r="C67" s="845"/>
      <c r="D67" s="936"/>
      <c r="E67" s="848"/>
      <c r="F67" s="811"/>
      <c r="G67" s="142"/>
      <c r="H67" s="255"/>
      <c r="I67" s="262"/>
      <c r="J67" s="255"/>
    </row>
    <row r="68" spans="1:12" s="129" customFormat="1" ht="15.95" customHeight="1">
      <c r="A68" s="1087" t="e">
        <f>+#REF!</f>
        <v>#REF!</v>
      </c>
      <c r="B68" s="924" t="e">
        <f>+#REF!</f>
        <v>#REF!</v>
      </c>
      <c r="C68" s="840" t="s">
        <v>95</v>
      </c>
      <c r="D68" s="838">
        <f>J68</f>
        <v>9779</v>
      </c>
      <c r="E68" s="813"/>
      <c r="F68" s="812"/>
      <c r="G68" s="142"/>
      <c r="H68" s="256">
        <f>+F15*0.7*10</f>
        <v>8890</v>
      </c>
      <c r="I68" s="262">
        <v>1.1000000000000001</v>
      </c>
      <c r="J68" s="255">
        <f>H68*I68</f>
        <v>9779</v>
      </c>
      <c r="L68" s="129" t="s">
        <v>354</v>
      </c>
    </row>
    <row r="69" spans="1:12" s="129" customFormat="1" ht="15.95" customHeight="1">
      <c r="A69" s="896" t="e">
        <f>+#REF!</f>
        <v>#REF!</v>
      </c>
      <c r="B69" s="914" t="e">
        <f>+#REF!</f>
        <v>#REF!</v>
      </c>
      <c r="C69" s="845"/>
      <c r="D69" s="936"/>
      <c r="E69" s="848"/>
      <c r="F69" s="811"/>
      <c r="G69" s="142"/>
      <c r="H69" s="255"/>
      <c r="I69" s="262"/>
      <c r="J69" s="255">
        <f>J68*0</f>
        <v>0</v>
      </c>
    </row>
    <row r="70" spans="1:12" s="129" customFormat="1" ht="15.95" customHeight="1">
      <c r="A70" s="1087"/>
      <c r="B70" s="924"/>
      <c r="C70" s="840" t="s">
        <v>95</v>
      </c>
      <c r="D70" s="838">
        <f>D68*0.1</f>
        <v>977.90000000000009</v>
      </c>
      <c r="E70" s="813"/>
      <c r="F70" s="812"/>
      <c r="G70" s="142"/>
      <c r="H70" s="255"/>
      <c r="I70" s="262"/>
      <c r="J70" s="255"/>
    </row>
    <row r="71" spans="1:12" s="129" customFormat="1" ht="15.95" customHeight="1">
      <c r="A71" s="896" t="e">
        <f>+#REF!</f>
        <v>#REF!</v>
      </c>
      <c r="B71" s="914" t="e">
        <f>+#REF!</f>
        <v>#REF!</v>
      </c>
      <c r="C71" s="845"/>
      <c r="D71" s="936"/>
      <c r="E71" s="848"/>
      <c r="F71" s="811"/>
      <c r="G71" s="142"/>
      <c r="H71" s="255"/>
      <c r="I71" s="262"/>
      <c r="J71" s="255"/>
    </row>
    <row r="72" spans="1:12" s="129" customFormat="1" ht="15.95" customHeight="1">
      <c r="A72" s="1087"/>
      <c r="B72" s="924"/>
      <c r="C72" s="840" t="s">
        <v>95</v>
      </c>
      <c r="D72" s="838">
        <f>+K72</f>
        <v>2933.7000000000003</v>
      </c>
      <c r="E72" s="813"/>
      <c r="F72" s="812"/>
      <c r="G72" s="142"/>
      <c r="H72" s="255">
        <f>+H68*0.3</f>
        <v>2667</v>
      </c>
      <c r="I72" s="262">
        <v>1.1000000000000001</v>
      </c>
      <c r="J72" s="255">
        <f>H72*I72</f>
        <v>2933.7000000000003</v>
      </c>
      <c r="K72" s="129">
        <f>J72-J69</f>
        <v>2933.7000000000003</v>
      </c>
    </row>
    <row r="73" spans="1:12" s="205" customFormat="1" ht="15.95" customHeight="1">
      <c r="A73" s="896" t="e">
        <f>+#REF!</f>
        <v>#REF!</v>
      </c>
      <c r="B73" s="914" t="e">
        <f>+#REF!</f>
        <v>#REF!</v>
      </c>
      <c r="C73" s="845"/>
      <c r="D73" s="936"/>
      <c r="E73" s="848"/>
      <c r="F73" s="811"/>
      <c r="H73" s="258"/>
      <c r="I73" s="264"/>
      <c r="J73" s="258"/>
    </row>
    <row r="74" spans="1:12" s="205" customFormat="1" ht="15.95" customHeight="1">
      <c r="A74" s="1087"/>
      <c r="B74" s="924"/>
      <c r="C74" s="840" t="s">
        <v>94</v>
      </c>
      <c r="D74" s="838">
        <f>+J74</f>
        <v>2508</v>
      </c>
      <c r="E74" s="813"/>
      <c r="F74" s="812"/>
      <c r="H74" s="258">
        <f>+H151/0.2</f>
        <v>2280</v>
      </c>
      <c r="I74" s="264">
        <v>1.1000000000000001</v>
      </c>
      <c r="J74" s="258">
        <f>+H74*I74</f>
        <v>2508</v>
      </c>
    </row>
    <row r="75" spans="1:12" s="129" customFormat="1" ht="20.100000000000001" customHeight="1">
      <c r="A75" s="1084"/>
      <c r="B75" s="1091"/>
      <c r="C75" s="1080"/>
      <c r="D75" s="1021"/>
      <c r="E75" s="1085" t="s">
        <v>110</v>
      </c>
      <c r="F75" s="1082"/>
      <c r="G75" s="142"/>
      <c r="H75" s="255"/>
      <c r="I75" s="262"/>
      <c r="J75" s="255"/>
    </row>
    <row r="76" spans="1:12" s="129" customFormat="1" ht="20.100000000000001" customHeight="1">
      <c r="A76" s="1938" t="e">
        <f>+#REF!</f>
        <v>#REF!</v>
      </c>
      <c r="B76" s="1938"/>
      <c r="C76" s="1938"/>
      <c r="D76" s="1938"/>
      <c r="E76" s="1938"/>
      <c r="F76" s="1938"/>
      <c r="G76" s="142"/>
      <c r="H76" s="145">
        <f>+J83*0.15</f>
        <v>2433.1859999999997</v>
      </c>
      <c r="I76" s="262">
        <v>1.05</v>
      </c>
      <c r="J76" s="255">
        <f>H76*I76</f>
        <v>2554.8453</v>
      </c>
    </row>
    <row r="77" spans="1:12" s="129" customFormat="1" ht="15.95" customHeight="1">
      <c r="A77" s="896" t="e">
        <f>+#REF!</f>
        <v>#REF!</v>
      </c>
      <c r="B77" s="914" t="e">
        <f>+#REF!</f>
        <v>#REF!</v>
      </c>
      <c r="C77" s="845"/>
      <c r="D77" s="833"/>
      <c r="E77" s="848"/>
      <c r="F77" s="811"/>
      <c r="G77" s="142"/>
      <c r="H77" s="255"/>
      <c r="I77" s="262"/>
      <c r="J77" s="255"/>
      <c r="K77" s="129" t="s">
        <v>273</v>
      </c>
    </row>
    <row r="78" spans="1:12" s="129" customFormat="1" ht="15.95" customHeight="1">
      <c r="A78" s="1087" t="e">
        <f>+#REF!</f>
        <v>#REF!</v>
      </c>
      <c r="B78" s="924" t="e">
        <f>+#REF!</f>
        <v>#REF!</v>
      </c>
      <c r="C78" s="840" t="s">
        <v>95</v>
      </c>
      <c r="D78" s="838">
        <f>J78</f>
        <v>8705.4282000000003</v>
      </c>
      <c r="E78" s="813"/>
      <c r="F78" s="812"/>
      <c r="G78" s="142"/>
      <c r="H78" s="145">
        <f>+J83*0.35+J84*0.2</f>
        <v>8290.884</v>
      </c>
      <c r="I78" s="262">
        <v>1.05</v>
      </c>
      <c r="J78" s="255">
        <f>H78*I78</f>
        <v>8705.4282000000003</v>
      </c>
    </row>
    <row r="79" spans="1:12" s="129" customFormat="1" ht="15.95" customHeight="1">
      <c r="A79" s="1092" t="e">
        <f>+#REF!</f>
        <v>#REF!</v>
      </c>
      <c r="B79" s="914" t="e">
        <f>+#REF!</f>
        <v>#REF!</v>
      </c>
      <c r="C79" s="845"/>
      <c r="D79" s="833"/>
      <c r="E79" s="848"/>
      <c r="F79" s="811"/>
      <c r="G79" s="142"/>
      <c r="H79" s="255"/>
      <c r="I79" s="262"/>
      <c r="J79" s="255"/>
    </row>
    <row r="80" spans="1:12" s="129" customFormat="1" ht="15.95" customHeight="1">
      <c r="A80" s="885"/>
      <c r="B80" s="924"/>
      <c r="C80" s="840" t="s">
        <v>14</v>
      </c>
      <c r="D80" s="838">
        <f>J80</f>
        <v>249097.41675</v>
      </c>
      <c r="E80" s="813"/>
      <c r="F80" s="812"/>
      <c r="G80" s="142"/>
      <c r="H80" s="255">
        <f>H76*1950*5%</f>
        <v>237235.63499999998</v>
      </c>
      <c r="I80" s="262">
        <v>1.05</v>
      </c>
      <c r="J80" s="255">
        <f>H80*I80</f>
        <v>249097.41675</v>
      </c>
    </row>
    <row r="81" spans="1:10" s="129" customFormat="1" ht="15.95" customHeight="1">
      <c r="A81" s="896" t="e">
        <f>+#REF!</f>
        <v>#REF!</v>
      </c>
      <c r="B81" s="914" t="e">
        <f>+#REF!</f>
        <v>#REF!</v>
      </c>
      <c r="C81" s="849"/>
      <c r="D81" s="848"/>
      <c r="E81" s="848"/>
      <c r="F81" s="811"/>
      <c r="G81" s="142"/>
      <c r="H81" s="255"/>
      <c r="I81" s="262"/>
      <c r="J81" s="255"/>
    </row>
    <row r="82" spans="1:10" s="129" customFormat="1" ht="15.95" customHeight="1">
      <c r="A82" s="1086" t="e">
        <f>+#REF!</f>
        <v>#REF!</v>
      </c>
      <c r="B82" s="931" t="e">
        <f>+#REF!</f>
        <v>#REF!</v>
      </c>
      <c r="C82" s="839"/>
      <c r="D82" s="388"/>
      <c r="E82" s="388"/>
      <c r="F82" s="930"/>
      <c r="G82" s="142"/>
      <c r="H82" s="255"/>
      <c r="I82" s="262"/>
      <c r="J82" s="255"/>
    </row>
    <row r="83" spans="1:10" s="129" customFormat="1" ht="15.95" customHeight="1">
      <c r="A83" s="1086" t="e">
        <f>+#REF!</f>
        <v>#REF!</v>
      </c>
      <c r="B83" s="931" t="e">
        <f>+#REF!</f>
        <v>#REF!</v>
      </c>
      <c r="C83" s="839" t="s">
        <v>94</v>
      </c>
      <c r="D83" s="388">
        <f>+J83*0.91</f>
        <v>14761.3284</v>
      </c>
      <c r="E83" s="388"/>
      <c r="F83" s="930"/>
      <c r="G83" s="142"/>
      <c r="H83" s="299">
        <f>+H20</f>
        <v>15448.8</v>
      </c>
      <c r="I83" s="262">
        <v>1.05</v>
      </c>
      <c r="J83" s="255">
        <f>+H83*I83</f>
        <v>16221.24</v>
      </c>
    </row>
    <row r="84" spans="1:10" s="129" customFormat="1" ht="15.95" customHeight="1">
      <c r="A84" s="1093" t="e">
        <f>+#REF!</f>
        <v>#REF!</v>
      </c>
      <c r="B84" s="1094" t="e">
        <f>+#REF!</f>
        <v>#REF!</v>
      </c>
      <c r="C84" s="850" t="s">
        <v>94</v>
      </c>
      <c r="D84" s="1095">
        <f>+J84*0.83</f>
        <v>10845.817499999999</v>
      </c>
      <c r="E84" s="1095"/>
      <c r="F84" s="1096"/>
      <c r="G84" s="142"/>
      <c r="H84" s="255">
        <f>+J20</f>
        <v>12445</v>
      </c>
      <c r="I84" s="262">
        <v>1.05</v>
      </c>
      <c r="J84" s="255">
        <f>+H84*I84</f>
        <v>13067.25</v>
      </c>
    </row>
    <row r="85" spans="1:10" s="129" customFormat="1" ht="15.95" customHeight="1">
      <c r="A85" s="896" t="e">
        <f>+#REF!</f>
        <v>#REF!</v>
      </c>
      <c r="B85" s="914" t="e">
        <f>+#REF!</f>
        <v>#REF!</v>
      </c>
      <c r="C85" s="849"/>
      <c r="D85" s="842"/>
      <c r="E85" s="848"/>
      <c r="F85" s="811"/>
      <c r="G85" s="142"/>
      <c r="H85" s="255"/>
      <c r="I85" s="262">
        <v>1.05</v>
      </c>
      <c r="J85" s="255">
        <f t="shared" ref="J85:J92" si="3">+H85*I85</f>
        <v>0</v>
      </c>
    </row>
    <row r="86" spans="1:10" s="129" customFormat="1" ht="15.95" customHeight="1">
      <c r="A86" s="1086" t="e">
        <f>+#REF!</f>
        <v>#REF!</v>
      </c>
      <c r="B86" s="931" t="e">
        <f>+#REF!</f>
        <v>#REF!</v>
      </c>
      <c r="C86" s="839" t="s">
        <v>94</v>
      </c>
      <c r="D86" s="843">
        <f>+D83</f>
        <v>14761.3284</v>
      </c>
      <c r="E86" s="388"/>
      <c r="F86" s="930"/>
      <c r="G86" s="142"/>
      <c r="H86" s="255"/>
      <c r="I86" s="262">
        <v>1.05</v>
      </c>
      <c r="J86" s="255">
        <f t="shared" si="3"/>
        <v>0</v>
      </c>
    </row>
    <row r="87" spans="1:10" s="129" customFormat="1" ht="15.95" customHeight="1">
      <c r="A87" s="1087" t="e">
        <f>+#REF!</f>
        <v>#REF!</v>
      </c>
      <c r="B87" s="924" t="e">
        <f>+#REF!</f>
        <v>#REF!</v>
      </c>
      <c r="C87" s="840" t="s">
        <v>94</v>
      </c>
      <c r="D87" s="838">
        <f>+D84</f>
        <v>10845.817499999999</v>
      </c>
      <c r="E87" s="813"/>
      <c r="F87" s="812"/>
      <c r="G87" s="142"/>
      <c r="H87" s="255"/>
      <c r="I87" s="262">
        <v>1.05</v>
      </c>
      <c r="J87" s="255">
        <f t="shared" si="3"/>
        <v>0</v>
      </c>
    </row>
    <row r="88" spans="1:10" s="129" customFormat="1" ht="15.95" customHeight="1">
      <c r="A88" s="896" t="e">
        <f>+#REF!</f>
        <v>#REF!</v>
      </c>
      <c r="B88" s="914" t="e">
        <f>+#REF!</f>
        <v>#REF!</v>
      </c>
      <c r="C88" s="849"/>
      <c r="D88" s="842"/>
      <c r="E88" s="848"/>
      <c r="F88" s="811"/>
      <c r="G88" s="142"/>
      <c r="H88" s="255"/>
      <c r="I88" s="262">
        <v>1.05</v>
      </c>
      <c r="J88" s="255">
        <f t="shared" si="3"/>
        <v>0</v>
      </c>
    </row>
    <row r="89" spans="1:10" s="129" customFormat="1" ht="15.95" customHeight="1">
      <c r="A89" s="1086" t="e">
        <f>+#REF!</f>
        <v>#REF!</v>
      </c>
      <c r="B89" s="931" t="e">
        <f>+#REF!</f>
        <v>#REF!</v>
      </c>
      <c r="C89" s="839" t="s">
        <v>205</v>
      </c>
      <c r="D89" s="843"/>
      <c r="E89" s="388"/>
      <c r="F89" s="930"/>
      <c r="G89" s="142"/>
      <c r="H89" s="255"/>
      <c r="I89" s="262">
        <v>1.05</v>
      </c>
      <c r="J89" s="255">
        <f t="shared" si="3"/>
        <v>0</v>
      </c>
    </row>
    <row r="90" spans="1:10" s="129" customFormat="1" ht="15.95" customHeight="1">
      <c r="A90" s="1086" t="e">
        <f>+#REF!</f>
        <v>#REF!</v>
      </c>
      <c r="B90" s="931" t="e">
        <f>+#REF!</f>
        <v>#REF!</v>
      </c>
      <c r="C90" s="839" t="s">
        <v>205</v>
      </c>
      <c r="D90" s="843">
        <f>+J90</f>
        <v>420</v>
      </c>
      <c r="E90" s="388"/>
      <c r="F90" s="930"/>
      <c r="G90" s="142"/>
      <c r="H90" s="255">
        <f>+F13+F14+20*20</f>
        <v>400</v>
      </c>
      <c r="I90" s="262">
        <v>1.05</v>
      </c>
      <c r="J90" s="255">
        <f t="shared" si="3"/>
        <v>420</v>
      </c>
    </row>
    <row r="91" spans="1:10" s="129" customFormat="1" ht="15.95" customHeight="1">
      <c r="A91" s="1086" t="e">
        <f>+#REF!</f>
        <v>#REF!</v>
      </c>
      <c r="B91" s="931" t="e">
        <f>+#REF!</f>
        <v>#REF!</v>
      </c>
      <c r="C91" s="839" t="s">
        <v>205</v>
      </c>
      <c r="D91" s="843">
        <f>+J91</f>
        <v>3297</v>
      </c>
      <c r="E91" s="388"/>
      <c r="F91" s="930"/>
      <c r="G91" s="142"/>
      <c r="H91" s="255">
        <f>+F13+F14+F15*2+F16*2+F17*2+20*2*(50-35)</f>
        <v>3140</v>
      </c>
      <c r="I91" s="262">
        <v>1.05</v>
      </c>
      <c r="J91" s="255">
        <f t="shared" si="3"/>
        <v>3297</v>
      </c>
    </row>
    <row r="92" spans="1:10" s="129" customFormat="1" ht="15.95" customHeight="1">
      <c r="A92" s="1093" t="e">
        <f>+#REF!</f>
        <v>#REF!</v>
      </c>
      <c r="B92" s="1094" t="e">
        <f>+#REF!</f>
        <v>#REF!</v>
      </c>
      <c r="C92" s="850" t="s">
        <v>205</v>
      </c>
      <c r="D92" s="851">
        <f>+J92</f>
        <v>1963.5</v>
      </c>
      <c r="E92" s="1095"/>
      <c r="F92" s="1096"/>
      <c r="G92" s="142"/>
      <c r="H92" s="255">
        <f>+F13+F14+F15+F16*2+F17*2+20*(50-35)*2</f>
        <v>1870</v>
      </c>
      <c r="I92" s="262">
        <v>1.05</v>
      </c>
      <c r="J92" s="255">
        <f t="shared" si="3"/>
        <v>1963.5</v>
      </c>
    </row>
    <row r="93" spans="1:10" s="129" customFormat="1" ht="15.95" customHeight="1">
      <c r="A93" s="896" t="e">
        <f>+#REF!</f>
        <v>#REF!</v>
      </c>
      <c r="B93" s="914" t="e">
        <f>+#REF!</f>
        <v>#REF!</v>
      </c>
      <c r="C93" s="849"/>
      <c r="D93" s="842"/>
      <c r="E93" s="848"/>
      <c r="F93" s="811"/>
      <c r="G93" s="142"/>
      <c r="H93" s="255"/>
      <c r="I93" s="262"/>
      <c r="J93" s="255"/>
    </row>
    <row r="94" spans="1:10" s="129" customFormat="1" ht="15.95" customHeight="1">
      <c r="A94" s="1086" t="e">
        <f>+#REF!</f>
        <v>#REF!</v>
      </c>
      <c r="B94" s="931" t="e">
        <f>+#REF!</f>
        <v>#REF!</v>
      </c>
      <c r="C94" s="839" t="s">
        <v>205</v>
      </c>
      <c r="D94" s="843">
        <f>+D90</f>
        <v>420</v>
      </c>
      <c r="E94" s="388"/>
      <c r="F94" s="930"/>
      <c r="G94" s="142"/>
      <c r="H94" s="255"/>
      <c r="I94" s="262"/>
      <c r="J94" s="255"/>
    </row>
    <row r="95" spans="1:10" s="129" customFormat="1" ht="15.95" customHeight="1">
      <c r="A95" s="1086" t="e">
        <f>+#REF!</f>
        <v>#REF!</v>
      </c>
      <c r="B95" s="931" t="e">
        <f>+#REF!</f>
        <v>#REF!</v>
      </c>
      <c r="C95" s="839" t="s">
        <v>205</v>
      </c>
      <c r="D95" s="843">
        <f>+D91</f>
        <v>3297</v>
      </c>
      <c r="E95" s="388"/>
      <c r="F95" s="930"/>
      <c r="G95" s="142"/>
      <c r="H95" s="255"/>
      <c r="I95" s="262"/>
      <c r="J95" s="255"/>
    </row>
    <row r="96" spans="1:10" s="129" customFormat="1" ht="15.95" customHeight="1">
      <c r="A96" s="1087" t="e">
        <f>+#REF!</f>
        <v>#REF!</v>
      </c>
      <c r="B96" s="924" t="e">
        <f>+#REF!</f>
        <v>#REF!</v>
      </c>
      <c r="C96" s="840" t="s">
        <v>205</v>
      </c>
      <c r="D96" s="838">
        <f>+D92</f>
        <v>1963.5</v>
      </c>
      <c r="E96" s="813"/>
      <c r="F96" s="812"/>
      <c r="G96" s="142"/>
      <c r="H96" s="255"/>
      <c r="I96" s="262"/>
      <c r="J96" s="255"/>
    </row>
    <row r="97" spans="1:12" s="129" customFormat="1" ht="30" customHeight="1">
      <c r="A97" s="896" t="e">
        <f>+#REF!</f>
        <v>#REF!</v>
      </c>
      <c r="B97" s="914" t="e">
        <f>+#REF!</f>
        <v>#REF!</v>
      </c>
      <c r="C97" s="849"/>
      <c r="D97" s="842"/>
      <c r="E97" s="848"/>
      <c r="F97" s="811"/>
      <c r="G97" s="142"/>
      <c r="H97" s="255"/>
      <c r="I97" s="262"/>
      <c r="J97" s="255"/>
    </row>
    <row r="98" spans="1:12" s="129" customFormat="1" ht="15.95" customHeight="1">
      <c r="A98" s="1086" t="e">
        <f>+#REF!</f>
        <v>#REF!</v>
      </c>
      <c r="B98" s="931" t="e">
        <f>+#REF!</f>
        <v>#REF!</v>
      </c>
      <c r="C98" s="839"/>
      <c r="D98" s="843"/>
      <c r="E98" s="388"/>
      <c r="F98" s="930"/>
      <c r="G98" s="142"/>
      <c r="H98" s="255"/>
      <c r="I98" s="262"/>
      <c r="J98" s="255"/>
    </row>
    <row r="99" spans="1:12" s="129" customFormat="1" ht="15.95" customHeight="1">
      <c r="A99" s="1086" t="e">
        <f>+#REF!</f>
        <v>#REF!</v>
      </c>
      <c r="B99" s="931" t="e">
        <f>+#REF!</f>
        <v>#REF!</v>
      </c>
      <c r="C99" s="839" t="s">
        <v>94</v>
      </c>
      <c r="D99" s="843">
        <f>+D83*0.1</f>
        <v>1476.1328400000002</v>
      </c>
      <c r="E99" s="388"/>
      <c r="F99" s="930"/>
      <c r="G99" s="142"/>
      <c r="H99" s="255"/>
      <c r="I99" s="262"/>
      <c r="J99" s="255"/>
    </row>
    <row r="100" spans="1:12" s="129" customFormat="1" ht="15.95" customHeight="1">
      <c r="A100" s="1086" t="e">
        <f>+#REF!</f>
        <v>#REF!</v>
      </c>
      <c r="B100" s="931" t="e">
        <f>+#REF!</f>
        <v>#REF!</v>
      </c>
      <c r="C100" s="839" t="s">
        <v>94</v>
      </c>
      <c r="D100" s="843">
        <f>+D84*0.2</f>
        <v>2169.1635000000001</v>
      </c>
      <c r="E100" s="388"/>
      <c r="F100" s="930"/>
      <c r="G100" s="142"/>
      <c r="H100" s="255"/>
      <c r="I100" s="262"/>
      <c r="J100" s="255"/>
    </row>
    <row r="101" spans="1:12" s="129" customFormat="1" ht="15.95" customHeight="1">
      <c r="A101" s="1086" t="e">
        <f>+#REF!</f>
        <v>#REF!</v>
      </c>
      <c r="B101" s="931" t="e">
        <f>+#REF!</f>
        <v>#REF!</v>
      </c>
      <c r="C101" s="839"/>
      <c r="D101" s="843"/>
      <c r="E101" s="388"/>
      <c r="F101" s="930"/>
      <c r="G101" s="142"/>
      <c r="H101" s="255"/>
      <c r="I101" s="262"/>
      <c r="J101" s="255"/>
    </row>
    <row r="102" spans="1:12" s="129" customFormat="1" ht="15.95" customHeight="1">
      <c r="A102" s="1086" t="e">
        <f>+#REF!</f>
        <v>#REF!</v>
      </c>
      <c r="B102" s="931" t="e">
        <f>+#REF!</f>
        <v>#REF!</v>
      </c>
      <c r="C102" s="839" t="s">
        <v>94</v>
      </c>
      <c r="D102" s="843">
        <f>+D99</f>
        <v>1476.1328400000002</v>
      </c>
      <c r="E102" s="388"/>
      <c r="F102" s="930"/>
      <c r="G102" s="142"/>
      <c r="H102" s="255"/>
      <c r="I102" s="262"/>
      <c r="J102" s="255"/>
    </row>
    <row r="103" spans="1:12" s="129" customFormat="1" ht="15.95" customHeight="1">
      <c r="A103" s="1087" t="e">
        <f>+#REF!</f>
        <v>#REF!</v>
      </c>
      <c r="B103" s="924" t="e">
        <f>+#REF!</f>
        <v>#REF!</v>
      </c>
      <c r="C103" s="840" t="s">
        <v>94</v>
      </c>
      <c r="D103" s="838">
        <f>+D100</f>
        <v>2169.1635000000001</v>
      </c>
      <c r="E103" s="813"/>
      <c r="F103" s="812"/>
      <c r="G103" s="142"/>
      <c r="H103" s="255"/>
      <c r="I103" s="262"/>
      <c r="J103" s="255"/>
    </row>
    <row r="104" spans="1:12" s="129" customFormat="1" ht="15.95" customHeight="1">
      <c r="A104" s="1090"/>
      <c r="B104" s="1047"/>
      <c r="C104" s="1080"/>
      <c r="D104" s="1021"/>
      <c r="E104" s="1085" t="s">
        <v>109</v>
      </c>
      <c r="F104" s="1082"/>
      <c r="G104" s="142"/>
      <c r="H104" s="255"/>
      <c r="I104" s="262"/>
      <c r="J104" s="255"/>
    </row>
    <row r="105" spans="1:12" s="129" customFormat="1" ht="15.95" customHeight="1">
      <c r="A105" s="1090"/>
      <c r="B105" s="1047"/>
      <c r="C105" s="272"/>
      <c r="D105" s="274"/>
      <c r="E105" s="1097"/>
      <c r="F105" s="1097"/>
      <c r="G105" s="142"/>
      <c r="H105" s="255"/>
      <c r="I105" s="262"/>
      <c r="J105" s="255"/>
      <c r="L105" s="129">
        <f>5.9/2</f>
        <v>2.95</v>
      </c>
    </row>
    <row r="106" spans="1:12" s="129" customFormat="1" ht="15.95" customHeight="1">
      <c r="A106" s="1938" t="e">
        <f>+#REF!</f>
        <v>#REF!</v>
      </c>
      <c r="B106" s="1938"/>
      <c r="C106" s="1938"/>
      <c r="D106" s="1938"/>
      <c r="E106" s="1938"/>
      <c r="F106" s="1938"/>
      <c r="G106" s="142"/>
      <c r="H106" s="255"/>
      <c r="I106" s="262"/>
      <c r="J106" s="255"/>
      <c r="L106" s="129">
        <f>2.95*2</f>
        <v>5.9</v>
      </c>
    </row>
    <row r="107" spans="1:12" s="129" customFormat="1" ht="15.95" customHeight="1">
      <c r="A107" s="896" t="e">
        <f>+#REF!</f>
        <v>#REF!</v>
      </c>
      <c r="B107" s="914" t="e">
        <f>+#REF!</f>
        <v>#REF!</v>
      </c>
      <c r="C107" s="845"/>
      <c r="D107" s="833"/>
      <c r="E107" s="848"/>
      <c r="F107" s="909"/>
      <c r="G107" s="142"/>
      <c r="H107" s="255"/>
      <c r="I107" s="262"/>
      <c r="J107" s="255"/>
      <c r="L107" s="129">
        <v>6.1</v>
      </c>
    </row>
    <row r="108" spans="1:12" s="129" customFormat="1" ht="15.95" customHeight="1">
      <c r="A108" s="885"/>
      <c r="B108" s="897"/>
      <c r="C108" s="840" t="s">
        <v>95</v>
      </c>
      <c r="D108" s="838">
        <f>J108</f>
        <v>20797.920000000002</v>
      </c>
      <c r="E108" s="813"/>
      <c r="F108" s="812"/>
      <c r="G108" s="142"/>
      <c r="H108" s="256">
        <f>(12752+14883+1217+950*2.8)*0.6</f>
        <v>18907.2</v>
      </c>
      <c r="I108" s="262">
        <v>1.1000000000000001</v>
      </c>
      <c r="J108" s="255">
        <f>H108*I108</f>
        <v>20797.920000000002</v>
      </c>
      <c r="L108" s="129">
        <f>2*9</f>
        <v>18</v>
      </c>
    </row>
    <row r="109" spans="1:12" s="129" customFormat="1" ht="15.95" customHeight="1">
      <c r="A109" s="896" t="e">
        <f>+#REF!</f>
        <v>#REF!</v>
      </c>
      <c r="B109" s="914" t="e">
        <f>+#REF!</f>
        <v>#REF!</v>
      </c>
      <c r="C109" s="845"/>
      <c r="D109" s="833"/>
      <c r="E109" s="848"/>
      <c r="F109" s="909"/>
      <c r="G109" s="142"/>
      <c r="H109" s="255"/>
      <c r="I109" s="262"/>
      <c r="J109" s="255"/>
      <c r="L109" s="129">
        <f>2*2</f>
        <v>4</v>
      </c>
    </row>
    <row r="110" spans="1:12" s="129" customFormat="1" ht="15.95" customHeight="1">
      <c r="A110" s="885"/>
      <c r="B110" s="897"/>
      <c r="C110" s="840" t="s">
        <v>95</v>
      </c>
      <c r="D110" s="838">
        <f>J110</f>
        <v>14552.876250000001</v>
      </c>
      <c r="E110" s="813"/>
      <c r="F110" s="812"/>
      <c r="G110" s="142"/>
      <c r="H110" s="256">
        <f>(H108-(6.3*2.4*F8)-(4.3*2.4*F3)-(1+0.25*2+0.1*2)*(1.5+0.25*2+0.1)*F9)*0.75</f>
        <v>13229.887500000001</v>
      </c>
      <c r="I110" s="262">
        <v>1.1000000000000001</v>
      </c>
      <c r="J110" s="255">
        <f>H110*I110</f>
        <v>14552.876250000001</v>
      </c>
      <c r="L110" s="129">
        <f>2*3</f>
        <v>6</v>
      </c>
    </row>
    <row r="111" spans="1:12" s="129" customFormat="1" ht="15.95" customHeight="1">
      <c r="A111" s="896" t="e">
        <f>+#REF!</f>
        <v>#REF!</v>
      </c>
      <c r="B111" s="914" t="e">
        <f>+#REF!</f>
        <v>#REF!</v>
      </c>
      <c r="C111" s="845"/>
      <c r="D111" s="833"/>
      <c r="E111" s="848"/>
      <c r="F111" s="909"/>
      <c r="G111" s="142"/>
      <c r="H111" s="255"/>
      <c r="I111" s="262"/>
      <c r="J111" s="255"/>
    </row>
    <row r="112" spans="1:12" s="129" customFormat="1" ht="15.95" customHeight="1">
      <c r="A112" s="885"/>
      <c r="B112" s="897"/>
      <c r="C112" s="840" t="s">
        <v>95</v>
      </c>
      <c r="D112" s="838">
        <f>100*0.6</f>
        <v>60</v>
      </c>
      <c r="E112" s="813"/>
      <c r="F112" s="812"/>
      <c r="G112" s="142"/>
      <c r="H112" s="255"/>
      <c r="I112" s="262"/>
      <c r="J112" s="255"/>
    </row>
    <row r="113" spans="1:189" s="129" customFormat="1" ht="15.95" customHeight="1">
      <c r="A113" s="896" t="e">
        <f>+#REF!</f>
        <v>#REF!</v>
      </c>
      <c r="B113" s="914" t="e">
        <f>+#REF!</f>
        <v>#REF!</v>
      </c>
      <c r="C113" s="845"/>
      <c r="D113" s="833"/>
      <c r="E113" s="848"/>
      <c r="F113" s="909"/>
      <c r="G113" s="142"/>
      <c r="H113" s="255"/>
      <c r="I113" s="262"/>
      <c r="J113" s="255"/>
    </row>
    <row r="114" spans="1:189" s="129" customFormat="1" ht="15.95" customHeight="1">
      <c r="A114" s="885"/>
      <c r="B114" s="897"/>
      <c r="C114" s="840" t="s">
        <v>94</v>
      </c>
      <c r="D114" s="838">
        <f>350*0.6</f>
        <v>210</v>
      </c>
      <c r="E114" s="813"/>
      <c r="F114" s="812"/>
      <c r="G114" s="142"/>
      <c r="H114" s="255"/>
      <c r="I114" s="262"/>
      <c r="J114" s="255">
        <f>6.2+2</f>
        <v>8.1999999999999993</v>
      </c>
      <c r="K114" s="129">
        <f>2</f>
        <v>2</v>
      </c>
    </row>
    <row r="115" spans="1:189" s="129" customFormat="1" ht="15.95" customHeight="1">
      <c r="A115" s="896" t="e">
        <f>+#REF!</f>
        <v>#REF!</v>
      </c>
      <c r="B115" s="914" t="e">
        <f>+#REF!</f>
        <v>#REF!</v>
      </c>
      <c r="C115" s="845"/>
      <c r="D115" s="833"/>
      <c r="E115" s="848"/>
      <c r="F115" s="909"/>
      <c r="G115" s="142"/>
      <c r="H115" s="255"/>
      <c r="I115" s="262"/>
      <c r="J115" s="255"/>
      <c r="K115" s="129">
        <f>J114*K114/2</f>
        <v>8.1999999999999993</v>
      </c>
    </row>
    <row r="116" spans="1:189" s="129" customFormat="1" ht="15.95" customHeight="1">
      <c r="A116" s="885" t="e">
        <f>+#REF!</f>
        <v>#REF!</v>
      </c>
      <c r="B116" s="897" t="e">
        <f>+#REF!</f>
        <v>#REF!</v>
      </c>
      <c r="C116" s="840" t="s">
        <v>14</v>
      </c>
      <c r="D116" s="838">
        <f>(D120)*110</f>
        <v>21450</v>
      </c>
      <c r="E116" s="813"/>
      <c r="F116" s="812"/>
      <c r="G116" s="142"/>
      <c r="H116" s="255"/>
      <c r="I116" s="262"/>
      <c r="J116" s="255"/>
    </row>
    <row r="117" spans="1:189" s="129" customFormat="1" ht="15.95" customHeight="1">
      <c r="A117" s="896" t="e">
        <f>+#REF!</f>
        <v>#REF!</v>
      </c>
      <c r="B117" s="914" t="e">
        <f>+#REF!</f>
        <v>#REF!</v>
      </c>
      <c r="C117" s="845"/>
      <c r="D117" s="833"/>
      <c r="E117" s="848"/>
      <c r="F117" s="909"/>
      <c r="G117" s="142"/>
      <c r="H117" s="255"/>
      <c r="I117" s="262"/>
      <c r="J117" s="255"/>
      <c r="L117" s="129">
        <f>0.1+0.25+0.25+0.25+0.1</f>
        <v>0.95</v>
      </c>
    </row>
    <row r="118" spans="1:189" s="129" customFormat="1" ht="15.95" customHeight="1">
      <c r="A118" s="885"/>
      <c r="B118" s="897"/>
      <c r="C118" s="840" t="s">
        <v>95</v>
      </c>
      <c r="D118" s="838">
        <f>150*0.6</f>
        <v>90</v>
      </c>
      <c r="E118" s="813"/>
      <c r="F118" s="812"/>
      <c r="G118" s="142"/>
      <c r="H118" s="255"/>
      <c r="I118" s="262"/>
      <c r="J118" s="255"/>
      <c r="L118" s="129">
        <f>1*2+L117</f>
        <v>2.95</v>
      </c>
      <c r="N118" s="129">
        <f>0.1+0.25+1.8+0.25</f>
        <v>2.4</v>
      </c>
    </row>
    <row r="119" spans="1:189" s="129" customFormat="1" ht="15.95" customHeight="1">
      <c r="A119" s="896" t="e">
        <f>+#REF!</f>
        <v>#REF!</v>
      </c>
      <c r="B119" s="914" t="e">
        <f>+#REF!</f>
        <v>#REF!</v>
      </c>
      <c r="C119" s="845"/>
      <c r="D119" s="833"/>
      <c r="E119" s="848"/>
      <c r="F119" s="909"/>
      <c r="G119" s="142"/>
      <c r="H119" s="255"/>
      <c r="I119" s="262"/>
      <c r="J119" s="255"/>
    </row>
    <row r="120" spans="1:189" s="129" customFormat="1" ht="15.95" customHeight="1">
      <c r="A120" s="885"/>
      <c r="B120" s="897"/>
      <c r="C120" s="840" t="s">
        <v>95</v>
      </c>
      <c r="D120" s="838">
        <f>300*0.65</f>
        <v>195</v>
      </c>
      <c r="E120" s="813"/>
      <c r="F120" s="812"/>
      <c r="G120" s="142"/>
      <c r="H120" s="255"/>
      <c r="I120" s="262"/>
      <c r="J120" s="255"/>
    </row>
    <row r="121" spans="1:189" s="129" customFormat="1" ht="30" customHeight="1">
      <c r="A121" s="910" t="e">
        <f>+#REF!</f>
        <v>#REF!</v>
      </c>
      <c r="B121" s="934" t="e">
        <f>+#REF!</f>
        <v>#REF!</v>
      </c>
      <c r="C121" s="965"/>
      <c r="D121" s="936"/>
      <c r="E121" s="848"/>
      <c r="F121" s="811"/>
      <c r="G121" s="142"/>
      <c r="H121" s="255"/>
      <c r="I121" s="262"/>
      <c r="J121" s="255"/>
    </row>
    <row r="122" spans="1:189" s="129" customFormat="1" ht="15.95" customHeight="1">
      <c r="A122" s="991" t="e">
        <f>+#REF!</f>
        <v>#REF!</v>
      </c>
      <c r="B122" s="929" t="e">
        <f>+#REF!</f>
        <v>#REF!</v>
      </c>
      <c r="C122" s="839" t="s">
        <v>94</v>
      </c>
      <c r="D122" s="1066">
        <f>J122</f>
        <v>31.609500000000001</v>
      </c>
      <c r="E122" s="388"/>
      <c r="F122" s="930"/>
      <c r="G122" s="142"/>
      <c r="H122" s="255">
        <f>3%*J59</f>
        <v>31.609500000000001</v>
      </c>
      <c r="I122" s="262">
        <v>1</v>
      </c>
      <c r="J122" s="255">
        <f>H122*I122</f>
        <v>31.609500000000001</v>
      </c>
    </row>
    <row r="123" spans="1:189" s="129" customFormat="1" ht="15.95" customHeight="1">
      <c r="A123" s="991" t="e">
        <f>+#REF!</f>
        <v>#REF!</v>
      </c>
      <c r="B123" s="929" t="e">
        <f>+#REF!</f>
        <v>#REF!</v>
      </c>
      <c r="C123" s="839" t="s">
        <v>94</v>
      </c>
      <c r="D123" s="1066">
        <f>J123</f>
        <v>105.36500000000001</v>
      </c>
      <c r="E123" s="388"/>
      <c r="F123" s="930"/>
      <c r="G123" s="142"/>
      <c r="H123" s="255">
        <f>0.5%*H59</f>
        <v>105.36500000000001</v>
      </c>
      <c r="I123" s="262">
        <v>1</v>
      </c>
      <c r="J123" s="255">
        <f>H123*I123</f>
        <v>105.36500000000001</v>
      </c>
    </row>
    <row r="124" spans="1:189" s="129" customFormat="1" ht="15.95" customHeight="1">
      <c r="A124" s="885" t="e">
        <f>+#REF!</f>
        <v>#REF!</v>
      </c>
      <c r="B124" s="886" t="e">
        <f>+#REF!</f>
        <v>#REF!</v>
      </c>
      <c r="C124" s="840" t="s">
        <v>94</v>
      </c>
      <c r="D124" s="1067">
        <f>H124</f>
        <v>20</v>
      </c>
      <c r="E124" s="813"/>
      <c r="F124" s="812"/>
      <c r="G124" s="142"/>
      <c r="H124" s="255">
        <f>10*2</f>
        <v>20</v>
      </c>
      <c r="I124" s="262"/>
      <c r="J124" s="255"/>
    </row>
    <row r="125" spans="1:189" s="129" customFormat="1" ht="15.95" customHeight="1">
      <c r="A125" s="910" t="e">
        <f>+#REF!</f>
        <v>#REF!</v>
      </c>
      <c r="B125" s="916" t="e">
        <f>+#REF!</f>
        <v>#REF!</v>
      </c>
      <c r="C125" s="965"/>
      <c r="D125" s="936"/>
      <c r="E125" s="848"/>
      <c r="F125" s="811"/>
      <c r="G125" s="142"/>
      <c r="H125" s="255"/>
      <c r="I125" s="262"/>
      <c r="J125" s="255"/>
      <c r="L125" s="129">
        <f>+(10+7)*2*2</f>
        <v>68</v>
      </c>
    </row>
    <row r="126" spans="1:189" ht="15.95" customHeight="1">
      <c r="A126" s="885" t="e">
        <f>+#REF!</f>
        <v>#REF!</v>
      </c>
      <c r="B126" s="886" t="e">
        <f>+#REF!</f>
        <v>#REF!</v>
      </c>
      <c r="C126" s="1098" t="s">
        <v>1</v>
      </c>
      <c r="D126" s="1067">
        <f>5*60</f>
        <v>300</v>
      </c>
      <c r="E126" s="813"/>
      <c r="F126" s="812"/>
      <c r="L126" s="270" t="e">
        <f>+#REF!+#REF!</f>
        <v>#REF!</v>
      </c>
    </row>
    <row r="127" spans="1:189" s="225" customFormat="1" ht="15.95" customHeight="1">
      <c r="A127" s="910" t="e">
        <f>+#REF!</f>
        <v>#REF!</v>
      </c>
      <c r="B127" s="916" t="e">
        <f>+#REF!</f>
        <v>#REF!</v>
      </c>
      <c r="C127" s="849"/>
      <c r="D127" s="842"/>
      <c r="E127" s="848"/>
      <c r="F127" s="811"/>
      <c r="H127" s="259"/>
      <c r="I127" s="265"/>
      <c r="J127" s="259"/>
      <c r="K127" s="226"/>
      <c r="L127" s="226"/>
      <c r="M127" s="226"/>
      <c r="N127" s="226"/>
      <c r="O127" s="226"/>
      <c r="P127" s="226"/>
      <c r="Q127" s="226"/>
      <c r="R127" s="226"/>
      <c r="S127" s="226"/>
      <c r="T127" s="226"/>
      <c r="U127" s="226"/>
      <c r="V127" s="226"/>
      <c r="W127" s="226"/>
      <c r="X127" s="226"/>
      <c r="Y127" s="226"/>
      <c r="Z127" s="226"/>
      <c r="AA127" s="226"/>
      <c r="AB127" s="226"/>
      <c r="AC127" s="226"/>
      <c r="AD127" s="226"/>
      <c r="AE127" s="226"/>
      <c r="AF127" s="226"/>
      <c r="AG127" s="226"/>
      <c r="AH127" s="226"/>
      <c r="AI127" s="226"/>
      <c r="AJ127" s="226"/>
      <c r="AK127" s="226"/>
      <c r="AL127" s="226"/>
      <c r="AM127" s="226"/>
      <c r="AN127" s="226"/>
      <c r="AO127" s="226"/>
      <c r="AP127" s="226"/>
      <c r="AQ127" s="226"/>
      <c r="AR127" s="226"/>
      <c r="AS127" s="226"/>
      <c r="AT127" s="226"/>
      <c r="AU127" s="226"/>
      <c r="AV127" s="226"/>
      <c r="AW127" s="226"/>
      <c r="AX127" s="226"/>
      <c r="AY127" s="226"/>
      <c r="AZ127" s="226"/>
      <c r="BA127" s="226"/>
      <c r="BB127" s="226"/>
      <c r="BC127" s="226"/>
      <c r="BD127" s="226"/>
      <c r="BE127" s="226"/>
      <c r="BF127" s="226"/>
      <c r="BG127" s="226"/>
      <c r="BH127" s="226"/>
      <c r="BI127" s="226"/>
      <c r="BJ127" s="226"/>
      <c r="BK127" s="226"/>
      <c r="BL127" s="226"/>
      <c r="BM127" s="226"/>
      <c r="BN127" s="226"/>
      <c r="BO127" s="226"/>
      <c r="BP127" s="226"/>
      <c r="BQ127" s="226"/>
      <c r="BR127" s="226"/>
      <c r="BS127" s="226"/>
      <c r="BT127" s="226"/>
      <c r="BU127" s="226"/>
      <c r="BV127" s="226"/>
      <c r="BW127" s="226"/>
      <c r="BX127" s="226"/>
      <c r="BY127" s="226"/>
      <c r="BZ127" s="226"/>
      <c r="CA127" s="226"/>
      <c r="CB127" s="226"/>
      <c r="CC127" s="226"/>
      <c r="CD127" s="226"/>
      <c r="CE127" s="226"/>
      <c r="CF127" s="226"/>
      <c r="CG127" s="226"/>
      <c r="CH127" s="226"/>
      <c r="CI127" s="226"/>
      <c r="CJ127" s="226"/>
      <c r="CK127" s="226"/>
      <c r="CL127" s="226"/>
      <c r="CM127" s="226"/>
      <c r="CN127" s="226"/>
      <c r="CO127" s="226"/>
      <c r="CP127" s="226"/>
      <c r="CQ127" s="226"/>
      <c r="CR127" s="226"/>
      <c r="CS127" s="226"/>
      <c r="CT127" s="226"/>
      <c r="CU127" s="226"/>
      <c r="CV127" s="226"/>
      <c r="CW127" s="226"/>
      <c r="CX127" s="226"/>
      <c r="CY127" s="226"/>
      <c r="CZ127" s="226"/>
      <c r="DA127" s="226"/>
      <c r="DB127" s="226"/>
      <c r="DC127" s="226"/>
      <c r="DD127" s="226"/>
      <c r="DE127" s="226"/>
      <c r="DF127" s="226"/>
      <c r="DG127" s="226"/>
      <c r="DH127" s="226"/>
      <c r="DI127" s="226"/>
      <c r="DJ127" s="226"/>
      <c r="DK127" s="226"/>
      <c r="DL127" s="226"/>
      <c r="DM127" s="226"/>
      <c r="DN127" s="226"/>
      <c r="DO127" s="226"/>
      <c r="DP127" s="226"/>
      <c r="DQ127" s="226"/>
      <c r="DR127" s="226"/>
      <c r="DS127" s="226"/>
      <c r="DT127" s="226"/>
      <c r="DU127" s="226"/>
      <c r="DV127" s="226"/>
      <c r="DW127" s="226"/>
      <c r="DX127" s="226"/>
      <c r="DY127" s="226"/>
      <c r="DZ127" s="226"/>
      <c r="EA127" s="226"/>
      <c r="EB127" s="226"/>
      <c r="EC127" s="226"/>
      <c r="ED127" s="226"/>
      <c r="EE127" s="226"/>
      <c r="EF127" s="226"/>
      <c r="EG127" s="226"/>
      <c r="EH127" s="226"/>
      <c r="EI127" s="226"/>
      <c r="EJ127" s="226"/>
      <c r="EK127" s="226"/>
      <c r="EL127" s="226"/>
      <c r="EM127" s="226"/>
      <c r="EN127" s="226"/>
      <c r="EO127" s="226"/>
      <c r="EP127" s="226"/>
      <c r="EQ127" s="226"/>
      <c r="ER127" s="226"/>
      <c r="ES127" s="226"/>
      <c r="ET127" s="226"/>
      <c r="EU127" s="226"/>
      <c r="EV127" s="226"/>
      <c r="EW127" s="226"/>
      <c r="EX127" s="226"/>
      <c r="EY127" s="226"/>
      <c r="EZ127" s="226"/>
      <c r="FA127" s="226"/>
      <c r="FB127" s="226"/>
      <c r="FC127" s="226"/>
      <c r="FD127" s="226"/>
      <c r="FE127" s="226"/>
      <c r="FF127" s="226"/>
      <c r="FG127" s="226"/>
      <c r="FH127" s="226"/>
      <c r="FI127" s="226"/>
      <c r="FJ127" s="226"/>
      <c r="FK127" s="226"/>
      <c r="FL127" s="226"/>
      <c r="FM127" s="226"/>
      <c r="FN127" s="226"/>
      <c r="FO127" s="226"/>
      <c r="FP127" s="226"/>
      <c r="FQ127" s="226"/>
      <c r="FR127" s="226"/>
      <c r="FS127" s="226"/>
      <c r="FT127" s="226"/>
      <c r="FU127" s="226"/>
      <c r="FV127" s="226"/>
      <c r="FW127" s="226"/>
      <c r="FX127" s="226"/>
      <c r="FY127" s="226"/>
      <c r="FZ127" s="226"/>
      <c r="GA127" s="226"/>
      <c r="GB127" s="226"/>
      <c r="GC127" s="226"/>
      <c r="GD127" s="226"/>
      <c r="GE127" s="226"/>
      <c r="GF127" s="226"/>
      <c r="GG127" s="226"/>
    </row>
    <row r="128" spans="1:189" s="225" customFormat="1" ht="15.95" customHeight="1">
      <c r="A128" s="991" t="e">
        <f>+#REF!</f>
        <v>#REF!</v>
      </c>
      <c r="B128" s="929" t="e">
        <f>+#REF!</f>
        <v>#REF!</v>
      </c>
      <c r="C128" s="839" t="s">
        <v>1</v>
      </c>
      <c r="D128" s="843">
        <f>J128</f>
        <v>1417.92</v>
      </c>
      <c r="E128" s="388"/>
      <c r="F128" s="930"/>
      <c r="H128" s="259">
        <f>F7</f>
        <v>1350.4</v>
      </c>
      <c r="I128" s="265">
        <v>1.05</v>
      </c>
      <c r="J128" s="259">
        <f t="shared" ref="J128:J129" si="4">H128*I128</f>
        <v>1417.92</v>
      </c>
      <c r="K128" s="226"/>
      <c r="L128" s="226"/>
      <c r="M128" s="226"/>
      <c r="N128" s="226"/>
      <c r="O128" s="226"/>
      <c r="P128" s="226"/>
      <c r="Q128" s="226"/>
      <c r="R128" s="226"/>
      <c r="S128" s="226"/>
      <c r="T128" s="226"/>
      <c r="U128" s="226"/>
      <c r="V128" s="226"/>
      <c r="W128" s="226"/>
      <c r="X128" s="226"/>
      <c r="Y128" s="226"/>
      <c r="Z128" s="226"/>
      <c r="AA128" s="226"/>
      <c r="AB128" s="226"/>
      <c r="AC128" s="226"/>
      <c r="AD128" s="226"/>
      <c r="AE128" s="226"/>
      <c r="AF128" s="226"/>
      <c r="AG128" s="226"/>
      <c r="AH128" s="226"/>
      <c r="AI128" s="226"/>
      <c r="AJ128" s="226"/>
      <c r="AK128" s="226"/>
      <c r="AL128" s="226"/>
      <c r="AM128" s="226"/>
      <c r="AN128" s="226"/>
      <c r="AO128" s="226"/>
      <c r="AP128" s="226"/>
      <c r="AQ128" s="226"/>
      <c r="AR128" s="226"/>
      <c r="AS128" s="226"/>
      <c r="AT128" s="226"/>
      <c r="AU128" s="226"/>
      <c r="AV128" s="226"/>
      <c r="AW128" s="226"/>
      <c r="AX128" s="226"/>
      <c r="AY128" s="226"/>
      <c r="AZ128" s="226"/>
      <c r="BA128" s="226"/>
      <c r="BB128" s="226"/>
      <c r="BC128" s="226"/>
      <c r="BD128" s="226"/>
      <c r="BE128" s="226"/>
      <c r="BF128" s="226"/>
      <c r="BG128" s="226"/>
      <c r="BH128" s="226"/>
      <c r="BI128" s="226"/>
      <c r="BJ128" s="226"/>
      <c r="BK128" s="226"/>
      <c r="BL128" s="226"/>
      <c r="BM128" s="226"/>
      <c r="BN128" s="226"/>
      <c r="BO128" s="226"/>
      <c r="BP128" s="226"/>
      <c r="BQ128" s="226"/>
      <c r="BR128" s="226"/>
      <c r="BS128" s="226"/>
      <c r="BT128" s="226"/>
      <c r="BU128" s="226"/>
      <c r="BV128" s="226"/>
      <c r="BW128" s="226"/>
      <c r="BX128" s="226"/>
      <c r="BY128" s="226"/>
      <c r="BZ128" s="226"/>
      <c r="CA128" s="226"/>
      <c r="CB128" s="226"/>
      <c r="CC128" s="226"/>
      <c r="CD128" s="226"/>
      <c r="CE128" s="226"/>
      <c r="CF128" s="226"/>
      <c r="CG128" s="226"/>
      <c r="CH128" s="226"/>
      <c r="CI128" s="226"/>
      <c r="CJ128" s="226"/>
      <c r="CK128" s="226"/>
      <c r="CL128" s="226"/>
      <c r="CM128" s="226"/>
      <c r="CN128" s="226"/>
      <c r="CO128" s="226"/>
      <c r="CP128" s="226"/>
      <c r="CQ128" s="226"/>
      <c r="CR128" s="226"/>
      <c r="CS128" s="226"/>
      <c r="CT128" s="226"/>
      <c r="CU128" s="226"/>
      <c r="CV128" s="226"/>
      <c r="CW128" s="226"/>
      <c r="CX128" s="226"/>
      <c r="CY128" s="226"/>
      <c r="CZ128" s="226"/>
      <c r="DA128" s="226"/>
      <c r="DB128" s="226"/>
      <c r="DC128" s="226"/>
      <c r="DD128" s="226"/>
      <c r="DE128" s="226"/>
      <c r="DF128" s="226"/>
      <c r="DG128" s="226"/>
      <c r="DH128" s="226"/>
      <c r="DI128" s="226"/>
      <c r="DJ128" s="226"/>
      <c r="DK128" s="226"/>
      <c r="DL128" s="226"/>
      <c r="DM128" s="226"/>
      <c r="DN128" s="226"/>
      <c r="DO128" s="226"/>
      <c r="DP128" s="226"/>
      <c r="DQ128" s="226"/>
      <c r="DR128" s="226"/>
      <c r="DS128" s="226"/>
      <c r="DT128" s="226"/>
      <c r="DU128" s="226"/>
      <c r="DV128" s="226"/>
      <c r="DW128" s="226"/>
      <c r="DX128" s="226"/>
      <c r="DY128" s="226"/>
      <c r="DZ128" s="226"/>
      <c r="EA128" s="226"/>
      <c r="EB128" s="226"/>
      <c r="EC128" s="226"/>
      <c r="ED128" s="226"/>
      <c r="EE128" s="226"/>
      <c r="EF128" s="226"/>
      <c r="EG128" s="226"/>
      <c r="EH128" s="226"/>
      <c r="EI128" s="226"/>
      <c r="EJ128" s="226"/>
      <c r="EK128" s="226"/>
      <c r="EL128" s="226"/>
      <c r="EM128" s="226"/>
      <c r="EN128" s="226"/>
      <c r="EO128" s="226"/>
      <c r="EP128" s="226"/>
      <c r="EQ128" s="226"/>
      <c r="ER128" s="226"/>
      <c r="ES128" s="226"/>
      <c r="ET128" s="226"/>
      <c r="EU128" s="226"/>
      <c r="EV128" s="226"/>
      <c r="EW128" s="226"/>
      <c r="EX128" s="226"/>
      <c r="EY128" s="226"/>
      <c r="EZ128" s="226"/>
      <c r="FA128" s="226"/>
      <c r="FB128" s="226"/>
      <c r="FC128" s="226"/>
      <c r="FD128" s="226"/>
      <c r="FE128" s="226"/>
      <c r="FF128" s="226"/>
      <c r="FG128" s="226"/>
      <c r="FH128" s="226"/>
      <c r="FI128" s="226"/>
      <c r="FJ128" s="226"/>
      <c r="FK128" s="226"/>
      <c r="FL128" s="226"/>
      <c r="FM128" s="226"/>
      <c r="FN128" s="226"/>
      <c r="FO128" s="226"/>
      <c r="FP128" s="226"/>
      <c r="FQ128" s="226"/>
      <c r="FR128" s="226"/>
      <c r="FS128" s="226"/>
      <c r="FT128" s="226"/>
      <c r="FU128" s="226"/>
      <c r="FV128" s="226"/>
      <c r="FW128" s="226"/>
      <c r="FX128" s="226"/>
      <c r="FY128" s="226"/>
      <c r="FZ128" s="226"/>
      <c r="GA128" s="226"/>
      <c r="GB128" s="226"/>
      <c r="GC128" s="226"/>
      <c r="GD128" s="226"/>
      <c r="GE128" s="226"/>
      <c r="GF128" s="226"/>
      <c r="GG128" s="226"/>
    </row>
    <row r="129" spans="1:189" s="225" customFormat="1" ht="15.95" customHeight="1">
      <c r="A129" s="991" t="e">
        <f>+#REF!</f>
        <v>#REF!</v>
      </c>
      <c r="B129" s="929" t="e">
        <f>+#REF!</f>
        <v>#REF!</v>
      </c>
      <c r="C129" s="839" t="s">
        <v>1</v>
      </c>
      <c r="D129" s="843">
        <f t="shared" ref="D129" si="5">J129</f>
        <v>420</v>
      </c>
      <c r="E129" s="388"/>
      <c r="F129" s="930"/>
      <c r="H129" s="259">
        <f>F6</f>
        <v>400</v>
      </c>
      <c r="I129" s="265">
        <v>1.05</v>
      </c>
      <c r="J129" s="259">
        <f t="shared" si="4"/>
        <v>420</v>
      </c>
      <c r="K129" s="226"/>
      <c r="L129" s="226"/>
      <c r="M129" s="226"/>
      <c r="N129" s="226"/>
      <c r="O129" s="226"/>
      <c r="P129" s="226"/>
      <c r="Q129" s="226"/>
      <c r="R129" s="226"/>
      <c r="S129" s="226"/>
      <c r="T129" s="226"/>
      <c r="U129" s="226"/>
      <c r="V129" s="226"/>
      <c r="W129" s="226"/>
      <c r="X129" s="226"/>
      <c r="Y129" s="226"/>
      <c r="Z129" s="226"/>
      <c r="AA129" s="226"/>
      <c r="AB129" s="226"/>
      <c r="AC129" s="226"/>
      <c r="AD129" s="226"/>
      <c r="AE129" s="226"/>
      <c r="AF129" s="226"/>
      <c r="AG129" s="226"/>
      <c r="AH129" s="226"/>
      <c r="AI129" s="226"/>
      <c r="AJ129" s="226"/>
      <c r="AK129" s="226"/>
      <c r="AL129" s="226"/>
      <c r="AM129" s="226"/>
      <c r="AN129" s="226"/>
      <c r="AO129" s="226"/>
      <c r="AP129" s="226"/>
      <c r="AQ129" s="226"/>
      <c r="AR129" s="226"/>
      <c r="AS129" s="226"/>
      <c r="AT129" s="226"/>
      <c r="AU129" s="226"/>
      <c r="AV129" s="226"/>
      <c r="AW129" s="226"/>
      <c r="AX129" s="226"/>
      <c r="AY129" s="226"/>
      <c r="AZ129" s="226"/>
      <c r="BA129" s="226"/>
      <c r="BB129" s="226"/>
      <c r="BC129" s="226"/>
      <c r="BD129" s="226"/>
      <c r="BE129" s="226"/>
      <c r="BF129" s="226"/>
      <c r="BG129" s="226"/>
      <c r="BH129" s="226"/>
      <c r="BI129" s="226"/>
      <c r="BJ129" s="226"/>
      <c r="BK129" s="226"/>
      <c r="BL129" s="226"/>
      <c r="BM129" s="226"/>
      <c r="BN129" s="226"/>
      <c r="BO129" s="226"/>
      <c r="BP129" s="226"/>
      <c r="BQ129" s="226"/>
      <c r="BR129" s="226"/>
      <c r="BS129" s="226"/>
      <c r="BT129" s="226"/>
      <c r="BU129" s="226"/>
      <c r="BV129" s="226"/>
      <c r="BW129" s="226"/>
      <c r="BX129" s="226"/>
      <c r="BY129" s="226"/>
      <c r="BZ129" s="226"/>
      <c r="CA129" s="226"/>
      <c r="CB129" s="226"/>
      <c r="CC129" s="226"/>
      <c r="CD129" s="226"/>
      <c r="CE129" s="226"/>
      <c r="CF129" s="226"/>
      <c r="CG129" s="226"/>
      <c r="CH129" s="226"/>
      <c r="CI129" s="226"/>
      <c r="CJ129" s="226"/>
      <c r="CK129" s="226"/>
      <c r="CL129" s="226"/>
      <c r="CM129" s="226"/>
      <c r="CN129" s="226"/>
      <c r="CO129" s="226"/>
      <c r="CP129" s="226"/>
      <c r="CQ129" s="226"/>
      <c r="CR129" s="226"/>
      <c r="CS129" s="226"/>
      <c r="CT129" s="226"/>
      <c r="CU129" s="226"/>
      <c r="CV129" s="226"/>
      <c r="CW129" s="226"/>
      <c r="CX129" s="226"/>
      <c r="CY129" s="226"/>
      <c r="CZ129" s="226"/>
      <c r="DA129" s="226"/>
      <c r="DB129" s="226"/>
      <c r="DC129" s="226"/>
      <c r="DD129" s="226"/>
      <c r="DE129" s="226"/>
      <c r="DF129" s="226"/>
      <c r="DG129" s="226"/>
      <c r="DH129" s="226"/>
      <c r="DI129" s="226"/>
      <c r="DJ129" s="226"/>
      <c r="DK129" s="226"/>
      <c r="DL129" s="226"/>
      <c r="DM129" s="226"/>
      <c r="DN129" s="226"/>
      <c r="DO129" s="226"/>
      <c r="DP129" s="226"/>
      <c r="DQ129" s="226"/>
      <c r="DR129" s="226"/>
      <c r="DS129" s="226"/>
      <c r="DT129" s="226"/>
      <c r="DU129" s="226"/>
      <c r="DV129" s="226"/>
      <c r="DW129" s="226"/>
      <c r="DX129" s="226"/>
      <c r="DY129" s="226"/>
      <c r="DZ129" s="226"/>
      <c r="EA129" s="226"/>
      <c r="EB129" s="226"/>
      <c r="EC129" s="226"/>
      <c r="ED129" s="226"/>
      <c r="EE129" s="226"/>
      <c r="EF129" s="226"/>
      <c r="EG129" s="226"/>
      <c r="EH129" s="226"/>
      <c r="EI129" s="226"/>
      <c r="EJ129" s="226"/>
      <c r="EK129" s="226"/>
      <c r="EL129" s="226"/>
      <c r="EM129" s="226"/>
      <c r="EN129" s="226"/>
      <c r="EO129" s="226"/>
      <c r="EP129" s="226"/>
      <c r="EQ129" s="226"/>
      <c r="ER129" s="226"/>
      <c r="ES129" s="226"/>
      <c r="ET129" s="226"/>
      <c r="EU129" s="226"/>
      <c r="EV129" s="226"/>
      <c r="EW129" s="226"/>
      <c r="EX129" s="226"/>
      <c r="EY129" s="226"/>
      <c r="EZ129" s="226"/>
      <c r="FA129" s="226"/>
      <c r="FB129" s="226"/>
      <c r="FC129" s="226"/>
      <c r="FD129" s="226"/>
      <c r="FE129" s="226"/>
      <c r="FF129" s="226"/>
      <c r="FG129" s="226"/>
      <c r="FH129" s="226"/>
      <c r="FI129" s="226"/>
      <c r="FJ129" s="226"/>
      <c r="FK129" s="226"/>
      <c r="FL129" s="226"/>
      <c r="FM129" s="226"/>
      <c r="FN129" s="226"/>
      <c r="FO129" s="226"/>
      <c r="FP129" s="226"/>
      <c r="FQ129" s="226"/>
      <c r="FR129" s="226"/>
      <c r="FS129" s="226"/>
      <c r="FT129" s="226"/>
      <c r="FU129" s="226"/>
      <c r="FV129" s="226"/>
      <c r="FW129" s="226"/>
      <c r="FX129" s="226"/>
      <c r="FY129" s="226"/>
      <c r="FZ129" s="226"/>
      <c r="GA129" s="226"/>
      <c r="GB129" s="226"/>
      <c r="GC129" s="226"/>
      <c r="GD129" s="226"/>
      <c r="GE129" s="226"/>
      <c r="GF129" s="226"/>
      <c r="GG129" s="226"/>
    </row>
    <row r="130" spans="1:189" s="225" customFormat="1" ht="15.95" customHeight="1">
      <c r="A130" s="910" t="e">
        <f>+#REF!</f>
        <v>#REF!</v>
      </c>
      <c r="B130" s="916" t="e">
        <f>+#REF!</f>
        <v>#REF!</v>
      </c>
      <c r="C130" s="849"/>
      <c r="D130" s="842"/>
      <c r="E130" s="848"/>
      <c r="F130" s="811"/>
      <c r="H130" s="259"/>
      <c r="I130" s="265"/>
      <c r="J130" s="259"/>
      <c r="K130" s="226"/>
      <c r="L130" s="226"/>
      <c r="M130" s="226"/>
      <c r="N130" s="226"/>
      <c r="O130" s="226"/>
      <c r="P130" s="226"/>
      <c r="Q130" s="226"/>
      <c r="R130" s="226"/>
      <c r="S130" s="226"/>
      <c r="T130" s="226"/>
      <c r="U130" s="226"/>
      <c r="V130" s="226"/>
      <c r="W130" s="226"/>
      <c r="X130" s="226"/>
      <c r="Y130" s="226"/>
      <c r="Z130" s="226"/>
      <c r="AA130" s="226"/>
      <c r="AB130" s="226"/>
      <c r="AC130" s="226"/>
      <c r="AD130" s="226"/>
      <c r="AE130" s="226"/>
      <c r="AF130" s="226"/>
      <c r="AG130" s="226"/>
      <c r="AH130" s="226"/>
      <c r="AI130" s="226"/>
      <c r="AJ130" s="226"/>
      <c r="AK130" s="226"/>
      <c r="AL130" s="226"/>
      <c r="AM130" s="226"/>
      <c r="AN130" s="226"/>
      <c r="AO130" s="226"/>
      <c r="AP130" s="226"/>
      <c r="AQ130" s="226"/>
      <c r="AR130" s="226"/>
      <c r="AS130" s="226"/>
      <c r="AT130" s="226"/>
      <c r="AU130" s="226"/>
      <c r="AV130" s="226"/>
      <c r="AW130" s="226"/>
      <c r="AX130" s="226"/>
      <c r="AY130" s="226"/>
      <c r="AZ130" s="226"/>
      <c r="BA130" s="226"/>
      <c r="BB130" s="226"/>
      <c r="BC130" s="226"/>
      <c r="BD130" s="226"/>
      <c r="BE130" s="226"/>
      <c r="BF130" s="226"/>
      <c r="BG130" s="226"/>
      <c r="BH130" s="226"/>
      <c r="BI130" s="226"/>
      <c r="BJ130" s="226"/>
      <c r="BK130" s="226"/>
      <c r="BL130" s="226"/>
      <c r="BM130" s="226"/>
      <c r="BN130" s="226"/>
      <c r="BO130" s="226"/>
      <c r="BP130" s="226"/>
      <c r="BQ130" s="226"/>
      <c r="BR130" s="226"/>
      <c r="BS130" s="226"/>
      <c r="BT130" s="226"/>
      <c r="BU130" s="226"/>
      <c r="BV130" s="226"/>
      <c r="BW130" s="226"/>
      <c r="BX130" s="226"/>
      <c r="BY130" s="226"/>
      <c r="BZ130" s="226"/>
      <c r="CA130" s="226"/>
      <c r="CB130" s="226"/>
      <c r="CC130" s="226"/>
      <c r="CD130" s="226"/>
      <c r="CE130" s="226"/>
      <c r="CF130" s="226"/>
      <c r="CG130" s="226"/>
      <c r="CH130" s="226"/>
      <c r="CI130" s="226"/>
      <c r="CJ130" s="226"/>
      <c r="CK130" s="226"/>
      <c r="CL130" s="226"/>
      <c r="CM130" s="226"/>
      <c r="CN130" s="226"/>
      <c r="CO130" s="226"/>
      <c r="CP130" s="226"/>
      <c r="CQ130" s="226"/>
      <c r="CR130" s="226"/>
      <c r="CS130" s="226"/>
      <c r="CT130" s="226"/>
      <c r="CU130" s="226"/>
      <c r="CV130" s="226"/>
      <c r="CW130" s="226"/>
      <c r="CX130" s="226"/>
      <c r="CY130" s="226"/>
      <c r="CZ130" s="226"/>
      <c r="DA130" s="226"/>
      <c r="DB130" s="226"/>
      <c r="DC130" s="226"/>
      <c r="DD130" s="226"/>
      <c r="DE130" s="226"/>
      <c r="DF130" s="226"/>
      <c r="DG130" s="226"/>
      <c r="DH130" s="226"/>
      <c r="DI130" s="226"/>
      <c r="DJ130" s="226"/>
      <c r="DK130" s="226"/>
      <c r="DL130" s="226"/>
      <c r="DM130" s="226"/>
      <c r="DN130" s="226"/>
      <c r="DO130" s="226"/>
      <c r="DP130" s="226"/>
      <c r="DQ130" s="226"/>
      <c r="DR130" s="226"/>
      <c r="DS130" s="226"/>
      <c r="DT130" s="226"/>
      <c r="DU130" s="226"/>
      <c r="DV130" s="226"/>
      <c r="DW130" s="226"/>
      <c r="DX130" s="226"/>
      <c r="DY130" s="226"/>
      <c r="DZ130" s="226"/>
      <c r="EA130" s="226"/>
      <c r="EB130" s="226"/>
      <c r="EC130" s="226"/>
      <c r="ED130" s="226"/>
      <c r="EE130" s="226"/>
      <c r="EF130" s="226"/>
      <c r="EG130" s="226"/>
      <c r="EH130" s="226"/>
      <c r="EI130" s="226"/>
      <c r="EJ130" s="226"/>
      <c r="EK130" s="226"/>
      <c r="EL130" s="226"/>
      <c r="EM130" s="226"/>
      <c r="EN130" s="226"/>
      <c r="EO130" s="226"/>
      <c r="EP130" s="226"/>
      <c r="EQ130" s="226"/>
      <c r="ER130" s="226"/>
      <c r="ES130" s="226"/>
      <c r="ET130" s="226"/>
      <c r="EU130" s="226"/>
      <c r="EV130" s="226"/>
      <c r="EW130" s="226"/>
      <c r="EX130" s="226"/>
      <c r="EY130" s="226"/>
      <c r="EZ130" s="226"/>
      <c r="FA130" s="226"/>
      <c r="FB130" s="226"/>
      <c r="FC130" s="226"/>
      <c r="FD130" s="226"/>
      <c r="FE130" s="226"/>
      <c r="FF130" s="226"/>
      <c r="FG130" s="226"/>
      <c r="FH130" s="226"/>
      <c r="FI130" s="226"/>
      <c r="FJ130" s="226"/>
      <c r="FK130" s="226"/>
      <c r="FL130" s="226"/>
      <c r="FM130" s="226"/>
      <c r="FN130" s="226"/>
      <c r="FO130" s="226"/>
      <c r="FP130" s="226"/>
      <c r="FQ130" s="226"/>
      <c r="FR130" s="226"/>
      <c r="FS130" s="226"/>
      <c r="FT130" s="226"/>
      <c r="FU130" s="226"/>
      <c r="FV130" s="226"/>
      <c r="FW130" s="226"/>
      <c r="FX130" s="226"/>
      <c r="FY130" s="226"/>
      <c r="FZ130" s="226"/>
      <c r="GA130" s="226"/>
      <c r="GB130" s="226"/>
      <c r="GC130" s="226"/>
      <c r="GD130" s="226"/>
      <c r="GE130" s="226"/>
      <c r="GF130" s="226"/>
      <c r="GG130" s="226"/>
    </row>
    <row r="131" spans="1:189" s="225" customFormat="1" ht="15.95" customHeight="1">
      <c r="A131" s="991" t="e">
        <f>+#REF!</f>
        <v>#REF!</v>
      </c>
      <c r="B131" s="929" t="e">
        <f>+#REF!</f>
        <v>#REF!</v>
      </c>
      <c r="C131" s="839" t="s">
        <v>1</v>
      </c>
      <c r="D131" s="843">
        <f>J131</f>
        <v>372.75</v>
      </c>
      <c r="E131" s="388"/>
      <c r="F131" s="930"/>
      <c r="H131" s="259">
        <f>F9</f>
        <v>355</v>
      </c>
      <c r="I131" s="265">
        <v>1.05</v>
      </c>
      <c r="J131" s="259">
        <f>H131*I131</f>
        <v>372.75</v>
      </c>
      <c r="K131" s="226"/>
      <c r="L131" s="226"/>
      <c r="M131" s="226"/>
      <c r="N131" s="226"/>
      <c r="O131" s="226"/>
      <c r="P131" s="226"/>
      <c r="Q131" s="226"/>
      <c r="R131" s="226"/>
      <c r="S131" s="226"/>
      <c r="T131" s="226"/>
      <c r="U131" s="226"/>
      <c r="V131" s="226"/>
      <c r="W131" s="226"/>
      <c r="X131" s="226"/>
      <c r="Y131" s="226"/>
      <c r="Z131" s="226"/>
      <c r="AA131" s="226"/>
      <c r="AB131" s="226"/>
      <c r="AC131" s="226"/>
      <c r="AD131" s="226"/>
      <c r="AE131" s="226"/>
      <c r="AF131" s="226"/>
      <c r="AG131" s="226"/>
      <c r="AH131" s="226"/>
      <c r="AI131" s="226"/>
      <c r="AJ131" s="226"/>
      <c r="AK131" s="226"/>
      <c r="AL131" s="226"/>
      <c r="AM131" s="226"/>
      <c r="AN131" s="226"/>
      <c r="AO131" s="226"/>
      <c r="AP131" s="226"/>
      <c r="AQ131" s="226"/>
      <c r="AR131" s="226"/>
      <c r="AS131" s="226"/>
      <c r="AT131" s="226"/>
      <c r="AU131" s="226"/>
      <c r="AV131" s="226"/>
      <c r="AW131" s="226"/>
      <c r="AX131" s="226"/>
      <c r="AY131" s="226"/>
      <c r="AZ131" s="226"/>
      <c r="BA131" s="226"/>
      <c r="BB131" s="226"/>
      <c r="BC131" s="226"/>
      <c r="BD131" s="226"/>
      <c r="BE131" s="226"/>
      <c r="BF131" s="226"/>
      <c r="BG131" s="226"/>
      <c r="BH131" s="226"/>
      <c r="BI131" s="226"/>
      <c r="BJ131" s="226"/>
      <c r="BK131" s="226"/>
      <c r="BL131" s="226"/>
      <c r="BM131" s="226"/>
      <c r="BN131" s="226"/>
      <c r="BO131" s="226"/>
      <c r="BP131" s="226"/>
      <c r="BQ131" s="226"/>
      <c r="BR131" s="226"/>
      <c r="BS131" s="226"/>
      <c r="BT131" s="226"/>
      <c r="BU131" s="226"/>
      <c r="BV131" s="226"/>
      <c r="BW131" s="226"/>
      <c r="BX131" s="226"/>
      <c r="BY131" s="226"/>
      <c r="BZ131" s="226"/>
      <c r="CA131" s="226"/>
      <c r="CB131" s="226"/>
      <c r="CC131" s="226"/>
      <c r="CD131" s="226"/>
      <c r="CE131" s="226"/>
      <c r="CF131" s="226"/>
      <c r="CG131" s="226"/>
      <c r="CH131" s="226"/>
      <c r="CI131" s="226"/>
      <c r="CJ131" s="226"/>
      <c r="CK131" s="226"/>
      <c r="CL131" s="226"/>
      <c r="CM131" s="226"/>
      <c r="CN131" s="226"/>
      <c r="CO131" s="226"/>
      <c r="CP131" s="226"/>
      <c r="CQ131" s="226"/>
      <c r="CR131" s="226"/>
      <c r="CS131" s="226"/>
      <c r="CT131" s="226"/>
      <c r="CU131" s="226"/>
      <c r="CV131" s="226"/>
      <c r="CW131" s="226"/>
      <c r="CX131" s="226"/>
      <c r="CY131" s="226"/>
      <c r="CZ131" s="226"/>
      <c r="DA131" s="226"/>
      <c r="DB131" s="226"/>
      <c r="DC131" s="226"/>
      <c r="DD131" s="226"/>
      <c r="DE131" s="226"/>
      <c r="DF131" s="226"/>
      <c r="DG131" s="226"/>
      <c r="DH131" s="226"/>
      <c r="DI131" s="226"/>
      <c r="DJ131" s="226"/>
      <c r="DK131" s="226"/>
      <c r="DL131" s="226"/>
      <c r="DM131" s="226"/>
      <c r="DN131" s="226"/>
      <c r="DO131" s="226"/>
      <c r="DP131" s="226"/>
      <c r="DQ131" s="226"/>
      <c r="DR131" s="226"/>
      <c r="DS131" s="226"/>
      <c r="DT131" s="226"/>
      <c r="DU131" s="226"/>
      <c r="DV131" s="226"/>
      <c r="DW131" s="226"/>
      <c r="DX131" s="226"/>
      <c r="DY131" s="226"/>
      <c r="DZ131" s="226"/>
      <c r="EA131" s="226"/>
      <c r="EB131" s="226"/>
      <c r="EC131" s="226"/>
      <c r="ED131" s="226"/>
      <c r="EE131" s="226"/>
      <c r="EF131" s="226"/>
      <c r="EG131" s="226"/>
      <c r="EH131" s="226"/>
      <c r="EI131" s="226"/>
      <c r="EJ131" s="226"/>
      <c r="EK131" s="226"/>
      <c r="EL131" s="226"/>
      <c r="EM131" s="226"/>
      <c r="EN131" s="226"/>
      <c r="EO131" s="226"/>
      <c r="EP131" s="226"/>
      <c r="EQ131" s="226"/>
      <c r="ER131" s="226"/>
      <c r="ES131" s="226"/>
      <c r="ET131" s="226"/>
      <c r="EU131" s="226"/>
      <c r="EV131" s="226"/>
      <c r="EW131" s="226"/>
      <c r="EX131" s="226"/>
      <c r="EY131" s="226"/>
      <c r="EZ131" s="226"/>
      <c r="FA131" s="226"/>
      <c r="FB131" s="226"/>
      <c r="FC131" s="226"/>
      <c r="FD131" s="226"/>
      <c r="FE131" s="226"/>
      <c r="FF131" s="226"/>
      <c r="FG131" s="226"/>
      <c r="FH131" s="226"/>
      <c r="FI131" s="226"/>
      <c r="FJ131" s="226"/>
      <c r="FK131" s="226"/>
      <c r="FL131" s="226"/>
      <c r="FM131" s="226"/>
      <c r="FN131" s="226"/>
      <c r="FO131" s="226"/>
      <c r="FP131" s="226"/>
      <c r="FQ131" s="226"/>
      <c r="FR131" s="226"/>
      <c r="FS131" s="226"/>
      <c r="FT131" s="226"/>
      <c r="FU131" s="226"/>
      <c r="FV131" s="226"/>
      <c r="FW131" s="226"/>
      <c r="FX131" s="226"/>
      <c r="FY131" s="226"/>
      <c r="FZ131" s="226"/>
      <c r="GA131" s="226"/>
      <c r="GB131" s="226"/>
      <c r="GC131" s="226"/>
      <c r="GD131" s="226"/>
      <c r="GE131" s="226"/>
      <c r="GF131" s="226"/>
      <c r="GG131" s="226"/>
    </row>
    <row r="132" spans="1:189" s="225" customFormat="1" ht="15.95" customHeight="1">
      <c r="A132" s="991" t="e">
        <f>+#REF!</f>
        <v>#REF!</v>
      </c>
      <c r="B132" s="929" t="e">
        <f>+#REF!</f>
        <v>#REF!</v>
      </c>
      <c r="C132" s="839" t="s">
        <v>1</v>
      </c>
      <c r="D132" s="843">
        <f>+J132</f>
        <v>336</v>
      </c>
      <c r="E132" s="388"/>
      <c r="F132" s="930"/>
      <c r="H132" s="259">
        <f>+F10</f>
        <v>320</v>
      </c>
      <c r="I132" s="265">
        <v>1.05</v>
      </c>
      <c r="J132" s="259">
        <f>H132*I132</f>
        <v>336</v>
      </c>
      <c r="K132" s="226"/>
      <c r="L132" s="226"/>
      <c r="M132" s="226"/>
      <c r="N132" s="226"/>
      <c r="O132" s="226"/>
      <c r="P132" s="226"/>
      <c r="Q132" s="226"/>
      <c r="R132" s="226"/>
      <c r="S132" s="226"/>
      <c r="T132" s="226"/>
      <c r="U132" s="226"/>
      <c r="V132" s="226"/>
      <c r="W132" s="226"/>
      <c r="X132" s="226"/>
      <c r="Y132" s="226"/>
      <c r="Z132" s="226"/>
      <c r="AA132" s="226"/>
      <c r="AB132" s="226"/>
      <c r="AC132" s="226"/>
      <c r="AD132" s="226"/>
      <c r="AE132" s="226"/>
      <c r="AF132" s="226"/>
      <c r="AG132" s="226"/>
      <c r="AH132" s="226"/>
      <c r="AI132" s="226"/>
      <c r="AJ132" s="226"/>
      <c r="AK132" s="226"/>
      <c r="AL132" s="226"/>
      <c r="AM132" s="226"/>
      <c r="AN132" s="226"/>
      <c r="AO132" s="226"/>
      <c r="AP132" s="226"/>
      <c r="AQ132" s="226"/>
      <c r="AR132" s="226"/>
      <c r="AS132" s="226"/>
      <c r="AT132" s="226"/>
      <c r="AU132" s="226"/>
      <c r="AV132" s="226"/>
      <c r="AW132" s="226"/>
      <c r="AX132" s="226"/>
      <c r="AY132" s="226"/>
      <c r="AZ132" s="226"/>
      <c r="BA132" s="226"/>
      <c r="BB132" s="226"/>
      <c r="BC132" s="226"/>
      <c r="BD132" s="226"/>
      <c r="BE132" s="226"/>
      <c r="BF132" s="226"/>
      <c r="BG132" s="226"/>
      <c r="BH132" s="226"/>
      <c r="BI132" s="226"/>
      <c r="BJ132" s="226"/>
      <c r="BK132" s="226"/>
      <c r="BL132" s="226"/>
      <c r="BM132" s="226"/>
      <c r="BN132" s="226"/>
      <c r="BO132" s="226"/>
      <c r="BP132" s="226"/>
      <c r="BQ132" s="226"/>
      <c r="BR132" s="226"/>
      <c r="BS132" s="226"/>
      <c r="BT132" s="226"/>
      <c r="BU132" s="226"/>
      <c r="BV132" s="226"/>
      <c r="BW132" s="226"/>
      <c r="BX132" s="226"/>
      <c r="BY132" s="226"/>
      <c r="BZ132" s="226"/>
      <c r="CA132" s="226"/>
      <c r="CB132" s="226"/>
      <c r="CC132" s="226"/>
      <c r="CD132" s="226"/>
      <c r="CE132" s="226"/>
      <c r="CF132" s="226"/>
      <c r="CG132" s="226"/>
      <c r="CH132" s="226"/>
      <c r="CI132" s="226"/>
      <c r="CJ132" s="226"/>
      <c r="CK132" s="226"/>
      <c r="CL132" s="226"/>
      <c r="CM132" s="226"/>
      <c r="CN132" s="226"/>
      <c r="CO132" s="226"/>
      <c r="CP132" s="226"/>
      <c r="CQ132" s="226"/>
      <c r="CR132" s="226"/>
      <c r="CS132" s="226"/>
      <c r="CT132" s="226"/>
      <c r="CU132" s="226"/>
      <c r="CV132" s="226"/>
      <c r="CW132" s="226"/>
      <c r="CX132" s="226"/>
      <c r="CY132" s="226"/>
      <c r="CZ132" s="226"/>
      <c r="DA132" s="226"/>
      <c r="DB132" s="226"/>
      <c r="DC132" s="226"/>
      <c r="DD132" s="226"/>
      <c r="DE132" s="226"/>
      <c r="DF132" s="226"/>
      <c r="DG132" s="226"/>
      <c r="DH132" s="226"/>
      <c r="DI132" s="226"/>
      <c r="DJ132" s="226"/>
      <c r="DK132" s="226"/>
      <c r="DL132" s="226"/>
      <c r="DM132" s="226"/>
      <c r="DN132" s="226"/>
      <c r="DO132" s="226"/>
      <c r="DP132" s="226"/>
      <c r="DQ132" s="226"/>
      <c r="DR132" s="226"/>
      <c r="DS132" s="226"/>
      <c r="DT132" s="226"/>
      <c r="DU132" s="226"/>
      <c r="DV132" s="226"/>
      <c r="DW132" s="226"/>
      <c r="DX132" s="226"/>
      <c r="DY132" s="226"/>
      <c r="DZ132" s="226"/>
      <c r="EA132" s="226"/>
      <c r="EB132" s="226"/>
      <c r="EC132" s="226"/>
      <c r="ED132" s="226"/>
      <c r="EE132" s="226"/>
      <c r="EF132" s="226"/>
      <c r="EG132" s="226"/>
      <c r="EH132" s="226"/>
      <c r="EI132" s="226"/>
      <c r="EJ132" s="226"/>
      <c r="EK132" s="226"/>
      <c r="EL132" s="226"/>
      <c r="EM132" s="226"/>
      <c r="EN132" s="226"/>
      <c r="EO132" s="226"/>
      <c r="EP132" s="226"/>
      <c r="EQ132" s="226"/>
      <c r="ER132" s="226"/>
      <c r="ES132" s="226"/>
      <c r="ET132" s="226"/>
      <c r="EU132" s="226"/>
      <c r="EV132" s="226"/>
      <c r="EW132" s="226"/>
      <c r="EX132" s="226"/>
      <c r="EY132" s="226"/>
      <c r="EZ132" s="226"/>
      <c r="FA132" s="226"/>
      <c r="FB132" s="226"/>
      <c r="FC132" s="226"/>
      <c r="FD132" s="226"/>
      <c r="FE132" s="226"/>
      <c r="FF132" s="226"/>
      <c r="FG132" s="226"/>
      <c r="FH132" s="226"/>
      <c r="FI132" s="226"/>
      <c r="FJ132" s="226"/>
      <c r="FK132" s="226"/>
      <c r="FL132" s="226"/>
      <c r="FM132" s="226"/>
      <c r="FN132" s="226"/>
      <c r="FO132" s="226"/>
      <c r="FP132" s="226"/>
      <c r="FQ132" s="226"/>
      <c r="FR132" s="226"/>
      <c r="FS132" s="226"/>
      <c r="FT132" s="226"/>
      <c r="FU132" s="226"/>
      <c r="FV132" s="226"/>
      <c r="FW132" s="226"/>
      <c r="FX132" s="226"/>
      <c r="FY132" s="226"/>
      <c r="FZ132" s="226"/>
      <c r="GA132" s="226"/>
      <c r="GB132" s="226"/>
      <c r="GC132" s="226"/>
      <c r="GD132" s="226"/>
      <c r="GE132" s="226"/>
      <c r="GF132" s="226"/>
      <c r="GG132" s="226"/>
    </row>
    <row r="133" spans="1:189" s="225" customFormat="1" ht="15.95" customHeight="1">
      <c r="A133" s="991" t="e">
        <f>+#REF!</f>
        <v>#REF!</v>
      </c>
      <c r="B133" s="929" t="e">
        <f>+#REF!</f>
        <v>#REF!</v>
      </c>
      <c r="C133" s="839"/>
      <c r="D133" s="843">
        <f>+J133</f>
        <v>483</v>
      </c>
      <c r="E133" s="388"/>
      <c r="F133" s="930"/>
      <c r="H133" s="259">
        <f>+F11</f>
        <v>460</v>
      </c>
      <c r="I133" s="265">
        <v>1.05</v>
      </c>
      <c r="J133" s="259">
        <f>H133*I133</f>
        <v>483</v>
      </c>
      <c r="K133" s="226"/>
      <c r="L133" s="226"/>
      <c r="M133" s="226"/>
      <c r="N133" s="226"/>
      <c r="O133" s="226"/>
      <c r="P133" s="226"/>
      <c r="Q133" s="226"/>
      <c r="R133" s="226"/>
      <c r="S133" s="226"/>
      <c r="T133" s="226"/>
      <c r="U133" s="226"/>
      <c r="V133" s="226"/>
      <c r="W133" s="226"/>
      <c r="X133" s="226"/>
      <c r="Y133" s="226"/>
      <c r="Z133" s="226"/>
      <c r="AA133" s="226"/>
      <c r="AB133" s="226"/>
      <c r="AC133" s="226"/>
      <c r="AD133" s="226"/>
      <c r="AE133" s="226"/>
      <c r="AF133" s="226"/>
      <c r="AG133" s="226"/>
      <c r="AH133" s="226"/>
      <c r="AI133" s="226"/>
      <c r="AJ133" s="226"/>
      <c r="AK133" s="226"/>
      <c r="AL133" s="226"/>
      <c r="AM133" s="226"/>
      <c r="AN133" s="226"/>
      <c r="AO133" s="226"/>
      <c r="AP133" s="226"/>
      <c r="AQ133" s="226"/>
      <c r="AR133" s="226"/>
      <c r="AS133" s="226"/>
      <c r="AT133" s="226"/>
      <c r="AU133" s="226"/>
      <c r="AV133" s="226"/>
      <c r="AW133" s="226"/>
      <c r="AX133" s="226"/>
      <c r="AY133" s="226"/>
      <c r="AZ133" s="226"/>
      <c r="BA133" s="226"/>
      <c r="BB133" s="226"/>
      <c r="BC133" s="226"/>
      <c r="BD133" s="226"/>
      <c r="BE133" s="226"/>
      <c r="BF133" s="226"/>
      <c r="BG133" s="226"/>
      <c r="BH133" s="226"/>
      <c r="BI133" s="226"/>
      <c r="BJ133" s="226"/>
      <c r="BK133" s="226"/>
      <c r="BL133" s="226"/>
      <c r="BM133" s="226"/>
      <c r="BN133" s="226"/>
      <c r="BO133" s="226"/>
      <c r="BP133" s="226"/>
      <c r="BQ133" s="226"/>
      <c r="BR133" s="226"/>
      <c r="BS133" s="226"/>
      <c r="BT133" s="226"/>
      <c r="BU133" s="226"/>
      <c r="BV133" s="226"/>
      <c r="BW133" s="226"/>
      <c r="BX133" s="226"/>
      <c r="BY133" s="226"/>
      <c r="BZ133" s="226"/>
      <c r="CA133" s="226"/>
      <c r="CB133" s="226"/>
      <c r="CC133" s="226"/>
      <c r="CD133" s="226"/>
      <c r="CE133" s="226"/>
      <c r="CF133" s="226"/>
      <c r="CG133" s="226"/>
      <c r="CH133" s="226"/>
      <c r="CI133" s="226"/>
      <c r="CJ133" s="226"/>
      <c r="CK133" s="226"/>
      <c r="CL133" s="226"/>
      <c r="CM133" s="226"/>
      <c r="CN133" s="226"/>
      <c r="CO133" s="226"/>
      <c r="CP133" s="226"/>
      <c r="CQ133" s="226"/>
      <c r="CR133" s="226"/>
      <c r="CS133" s="226"/>
      <c r="CT133" s="226"/>
      <c r="CU133" s="226"/>
      <c r="CV133" s="226"/>
      <c r="CW133" s="226"/>
      <c r="CX133" s="226"/>
      <c r="CY133" s="226"/>
      <c r="CZ133" s="226"/>
      <c r="DA133" s="226"/>
      <c r="DB133" s="226"/>
      <c r="DC133" s="226"/>
      <c r="DD133" s="226"/>
      <c r="DE133" s="226"/>
      <c r="DF133" s="226"/>
      <c r="DG133" s="226"/>
      <c r="DH133" s="226"/>
      <c r="DI133" s="226"/>
      <c r="DJ133" s="226"/>
      <c r="DK133" s="226"/>
      <c r="DL133" s="226"/>
      <c r="DM133" s="226"/>
      <c r="DN133" s="226"/>
      <c r="DO133" s="226"/>
      <c r="DP133" s="226"/>
      <c r="DQ133" s="226"/>
      <c r="DR133" s="226"/>
      <c r="DS133" s="226"/>
      <c r="DT133" s="226"/>
      <c r="DU133" s="226"/>
      <c r="DV133" s="226"/>
      <c r="DW133" s="226"/>
      <c r="DX133" s="226"/>
      <c r="DY133" s="226"/>
      <c r="DZ133" s="226"/>
      <c r="EA133" s="226"/>
      <c r="EB133" s="226"/>
      <c r="EC133" s="226"/>
      <c r="ED133" s="226"/>
      <c r="EE133" s="226"/>
      <c r="EF133" s="226"/>
      <c r="EG133" s="226"/>
      <c r="EH133" s="226"/>
      <c r="EI133" s="226"/>
      <c r="EJ133" s="226"/>
      <c r="EK133" s="226"/>
      <c r="EL133" s="226"/>
      <c r="EM133" s="226"/>
      <c r="EN133" s="226"/>
      <c r="EO133" s="226"/>
      <c r="EP133" s="226"/>
      <c r="EQ133" s="226"/>
      <c r="ER133" s="226"/>
      <c r="ES133" s="226"/>
      <c r="ET133" s="226"/>
      <c r="EU133" s="226"/>
      <c r="EV133" s="226"/>
      <c r="EW133" s="226"/>
      <c r="EX133" s="226"/>
      <c r="EY133" s="226"/>
      <c r="EZ133" s="226"/>
      <c r="FA133" s="226"/>
      <c r="FB133" s="226"/>
      <c r="FC133" s="226"/>
      <c r="FD133" s="226"/>
      <c r="FE133" s="226"/>
      <c r="FF133" s="226"/>
      <c r="FG133" s="226"/>
      <c r="FH133" s="226"/>
      <c r="FI133" s="226"/>
      <c r="FJ133" s="226"/>
      <c r="FK133" s="226"/>
      <c r="FL133" s="226"/>
      <c r="FM133" s="226"/>
      <c r="FN133" s="226"/>
      <c r="FO133" s="226"/>
      <c r="FP133" s="226"/>
      <c r="FQ133" s="226"/>
      <c r="FR133" s="226"/>
      <c r="FS133" s="226"/>
      <c r="FT133" s="226"/>
      <c r="FU133" s="226"/>
      <c r="FV133" s="226"/>
      <c r="FW133" s="226"/>
      <c r="FX133" s="226"/>
      <c r="FY133" s="226"/>
      <c r="FZ133" s="226"/>
      <c r="GA133" s="226"/>
      <c r="GB133" s="226"/>
      <c r="GC133" s="226"/>
      <c r="GD133" s="226"/>
      <c r="GE133" s="226"/>
      <c r="GF133" s="226"/>
      <c r="GG133" s="226"/>
    </row>
    <row r="134" spans="1:189" s="198" customFormat="1" ht="15.95" customHeight="1">
      <c r="A134" s="910" t="e">
        <f>+#REF!</f>
        <v>#REF!</v>
      </c>
      <c r="B134" s="916" t="e">
        <f>+#REF!</f>
        <v>#REF!</v>
      </c>
      <c r="C134" s="849"/>
      <c r="D134" s="842"/>
      <c r="E134" s="848"/>
      <c r="F134" s="811"/>
      <c r="G134" s="225"/>
      <c r="H134" s="259"/>
      <c r="I134" s="265"/>
      <c r="J134" s="259"/>
      <c r="K134" s="199"/>
      <c r="L134" s="199"/>
      <c r="M134" s="199"/>
      <c r="N134" s="199"/>
      <c r="O134" s="199"/>
      <c r="P134" s="199"/>
      <c r="Q134" s="199"/>
      <c r="R134" s="199"/>
      <c r="S134" s="199"/>
      <c r="T134" s="199"/>
      <c r="U134" s="199"/>
      <c r="V134" s="199"/>
      <c r="W134" s="199"/>
      <c r="X134" s="199"/>
      <c r="Y134" s="199"/>
      <c r="Z134" s="199"/>
      <c r="AA134" s="199"/>
      <c r="AB134" s="199"/>
      <c r="AC134" s="199"/>
      <c r="AD134" s="199"/>
      <c r="AE134" s="199"/>
      <c r="AF134" s="199"/>
      <c r="AG134" s="199"/>
      <c r="AH134" s="199"/>
      <c r="AI134" s="199"/>
      <c r="AJ134" s="199"/>
      <c r="AK134" s="199"/>
      <c r="AL134" s="199"/>
      <c r="AM134" s="199"/>
      <c r="AN134" s="199"/>
      <c r="AO134" s="199"/>
      <c r="AP134" s="199"/>
      <c r="AQ134" s="199"/>
      <c r="AR134" s="199"/>
      <c r="AS134" s="199"/>
      <c r="AT134" s="199"/>
      <c r="AU134" s="199"/>
      <c r="AV134" s="199"/>
      <c r="AW134" s="199"/>
      <c r="AX134" s="199"/>
      <c r="AY134" s="199"/>
      <c r="AZ134" s="199"/>
      <c r="BA134" s="199"/>
      <c r="BB134" s="199"/>
      <c r="BC134" s="199"/>
      <c r="BD134" s="199"/>
      <c r="BE134" s="199"/>
      <c r="BF134" s="199"/>
      <c r="BG134" s="199"/>
      <c r="BH134" s="199"/>
      <c r="BI134" s="199"/>
      <c r="BJ134" s="199"/>
      <c r="BK134" s="199"/>
      <c r="BL134" s="199"/>
      <c r="BM134" s="199"/>
      <c r="BN134" s="199"/>
      <c r="BO134" s="199"/>
      <c r="BP134" s="199"/>
      <c r="BQ134" s="199"/>
      <c r="BR134" s="199"/>
      <c r="BS134" s="199"/>
      <c r="BT134" s="199"/>
      <c r="BU134" s="199"/>
      <c r="BV134" s="199"/>
      <c r="BW134" s="199"/>
      <c r="BX134" s="199"/>
      <c r="BY134" s="199"/>
      <c r="BZ134" s="199"/>
      <c r="CA134" s="199"/>
      <c r="CB134" s="199"/>
      <c r="CC134" s="199"/>
      <c r="CD134" s="199"/>
      <c r="CE134" s="199"/>
      <c r="CF134" s="199"/>
      <c r="CG134" s="199"/>
      <c r="CH134" s="199"/>
      <c r="CI134" s="199"/>
      <c r="CJ134" s="199"/>
      <c r="CK134" s="199"/>
      <c r="CL134" s="199"/>
      <c r="CM134" s="199"/>
      <c r="CN134" s="199"/>
      <c r="CO134" s="199"/>
      <c r="CP134" s="199"/>
      <c r="CQ134" s="199"/>
      <c r="CR134" s="199"/>
      <c r="CS134" s="199"/>
      <c r="CT134" s="199"/>
      <c r="CU134" s="199"/>
      <c r="CV134" s="199"/>
      <c r="CW134" s="199"/>
      <c r="CX134" s="199"/>
      <c r="CY134" s="199"/>
      <c r="CZ134" s="199"/>
      <c r="DA134" s="199"/>
      <c r="DB134" s="199"/>
      <c r="DC134" s="199"/>
      <c r="DD134" s="199"/>
      <c r="DE134" s="199"/>
      <c r="DF134" s="199"/>
      <c r="DG134" s="199"/>
      <c r="DH134" s="199"/>
      <c r="DI134" s="199"/>
      <c r="DJ134" s="199"/>
      <c r="DK134" s="199"/>
      <c r="DL134" s="199"/>
      <c r="DM134" s="199"/>
      <c r="DN134" s="199"/>
      <c r="DO134" s="199"/>
      <c r="DP134" s="199"/>
      <c r="DQ134" s="199"/>
      <c r="DR134" s="199"/>
      <c r="DS134" s="199"/>
      <c r="DT134" s="199"/>
      <c r="DU134" s="199"/>
      <c r="DV134" s="199"/>
      <c r="DW134" s="199"/>
      <c r="DX134" s="199"/>
      <c r="DY134" s="199"/>
      <c r="DZ134" s="199"/>
      <c r="EA134" s="199"/>
      <c r="EB134" s="199"/>
      <c r="EC134" s="199"/>
      <c r="ED134" s="199"/>
      <c r="EE134" s="199"/>
      <c r="EF134" s="199"/>
      <c r="EG134" s="199"/>
      <c r="EH134" s="199"/>
      <c r="EI134" s="199"/>
      <c r="EJ134" s="199"/>
      <c r="EK134" s="199"/>
      <c r="EL134" s="199"/>
      <c r="EM134" s="199"/>
      <c r="EN134" s="199"/>
      <c r="EO134" s="199"/>
      <c r="EP134" s="199"/>
      <c r="EQ134" s="199"/>
      <c r="ER134" s="199"/>
      <c r="ES134" s="199"/>
      <c r="ET134" s="199"/>
      <c r="EU134" s="199"/>
      <c r="EV134" s="199"/>
      <c r="EW134" s="199"/>
      <c r="EX134" s="199"/>
      <c r="EY134" s="199"/>
      <c r="EZ134" s="199"/>
      <c r="FA134" s="199"/>
      <c r="FB134" s="199"/>
      <c r="FC134" s="199"/>
      <c r="FD134" s="199"/>
      <c r="FE134" s="199"/>
      <c r="FF134" s="199"/>
      <c r="FG134" s="199"/>
      <c r="FH134" s="199"/>
      <c r="FI134" s="199"/>
      <c r="FJ134" s="199"/>
      <c r="FK134" s="199"/>
      <c r="FL134" s="199"/>
      <c r="FM134" s="199"/>
      <c r="FN134" s="199"/>
      <c r="FO134" s="199"/>
      <c r="FP134" s="199"/>
      <c r="FQ134" s="199"/>
      <c r="FR134" s="199"/>
      <c r="FS134" s="199"/>
      <c r="FT134" s="199"/>
      <c r="FU134" s="199"/>
      <c r="FV134" s="199"/>
      <c r="FW134" s="199"/>
      <c r="FX134" s="199"/>
      <c r="FY134" s="199"/>
      <c r="FZ134" s="199"/>
      <c r="GA134" s="199"/>
      <c r="GB134" s="199"/>
      <c r="GC134" s="199"/>
      <c r="GD134" s="199"/>
      <c r="GE134" s="199"/>
      <c r="GF134" s="199"/>
      <c r="GG134" s="199"/>
    </row>
    <row r="135" spans="1:189" s="225" customFormat="1" ht="15.95" customHeight="1">
      <c r="A135" s="885" t="e">
        <f>+#REF!</f>
        <v>#REF!</v>
      </c>
      <c r="B135" s="886" t="e">
        <f>+#REF!</f>
        <v>#REF!</v>
      </c>
      <c r="C135" s="840" t="s">
        <v>1</v>
      </c>
      <c r="D135" s="838">
        <f>J135</f>
        <v>390</v>
      </c>
      <c r="E135" s="813"/>
      <c r="F135" s="812"/>
      <c r="H135" s="259">
        <f>F12</f>
        <v>390</v>
      </c>
      <c r="I135" s="265">
        <v>1</v>
      </c>
      <c r="J135" s="259">
        <f>H135*I135</f>
        <v>390</v>
      </c>
      <c r="K135" s="226"/>
      <c r="L135" s="226"/>
      <c r="M135" s="226"/>
      <c r="N135" s="226"/>
      <c r="O135" s="226"/>
      <c r="P135" s="226"/>
      <c r="Q135" s="226"/>
      <c r="R135" s="226"/>
      <c r="S135" s="226"/>
      <c r="T135" s="226"/>
      <c r="U135" s="226"/>
      <c r="V135" s="226"/>
      <c r="W135" s="226"/>
      <c r="X135" s="226"/>
      <c r="Y135" s="226"/>
      <c r="Z135" s="226"/>
      <c r="AA135" s="226"/>
      <c r="AB135" s="226"/>
      <c r="AC135" s="226"/>
      <c r="AD135" s="226"/>
      <c r="AE135" s="226"/>
      <c r="AF135" s="226"/>
      <c r="AG135" s="226"/>
      <c r="AH135" s="226"/>
      <c r="AI135" s="226"/>
      <c r="AJ135" s="226"/>
      <c r="AK135" s="226"/>
      <c r="AL135" s="226"/>
      <c r="AM135" s="226"/>
      <c r="AN135" s="226"/>
      <c r="AO135" s="226"/>
      <c r="AP135" s="226"/>
      <c r="AQ135" s="226"/>
      <c r="AR135" s="226"/>
      <c r="AS135" s="226"/>
      <c r="AT135" s="226"/>
      <c r="AU135" s="226"/>
      <c r="AV135" s="226"/>
      <c r="AW135" s="226"/>
      <c r="AX135" s="226"/>
      <c r="AY135" s="226"/>
      <c r="AZ135" s="226"/>
      <c r="BA135" s="226"/>
      <c r="BB135" s="226"/>
      <c r="BC135" s="226"/>
      <c r="BD135" s="226"/>
      <c r="BE135" s="226"/>
      <c r="BF135" s="226"/>
      <c r="BG135" s="226"/>
      <c r="BH135" s="226"/>
      <c r="BI135" s="226"/>
      <c r="BJ135" s="226"/>
      <c r="BK135" s="226"/>
      <c r="BL135" s="226"/>
      <c r="BM135" s="226"/>
      <c r="BN135" s="226"/>
      <c r="BO135" s="226"/>
      <c r="BP135" s="226"/>
      <c r="BQ135" s="226"/>
      <c r="BR135" s="226"/>
      <c r="BS135" s="226"/>
      <c r="BT135" s="226"/>
      <c r="BU135" s="226"/>
      <c r="BV135" s="226"/>
      <c r="BW135" s="226"/>
      <c r="BX135" s="226"/>
      <c r="BY135" s="226"/>
      <c r="BZ135" s="226"/>
      <c r="CA135" s="226"/>
      <c r="CB135" s="226"/>
      <c r="CC135" s="226"/>
      <c r="CD135" s="226"/>
      <c r="CE135" s="226"/>
      <c r="CF135" s="226"/>
      <c r="CG135" s="226"/>
      <c r="CH135" s="226"/>
      <c r="CI135" s="226"/>
      <c r="CJ135" s="226"/>
      <c r="CK135" s="226"/>
      <c r="CL135" s="226"/>
      <c r="CM135" s="226"/>
      <c r="CN135" s="226"/>
      <c r="CO135" s="226"/>
      <c r="CP135" s="226"/>
      <c r="CQ135" s="226"/>
      <c r="CR135" s="226"/>
      <c r="CS135" s="226"/>
      <c r="CT135" s="226"/>
      <c r="CU135" s="226"/>
      <c r="CV135" s="226"/>
      <c r="CW135" s="226"/>
      <c r="CX135" s="226"/>
      <c r="CY135" s="226"/>
      <c r="CZ135" s="226"/>
      <c r="DA135" s="226"/>
      <c r="DB135" s="226"/>
      <c r="DC135" s="226"/>
      <c r="DD135" s="226"/>
      <c r="DE135" s="226"/>
      <c r="DF135" s="226"/>
      <c r="DG135" s="226"/>
      <c r="DH135" s="226"/>
      <c r="DI135" s="226"/>
      <c r="DJ135" s="226"/>
      <c r="DK135" s="226"/>
      <c r="DL135" s="226"/>
      <c r="DM135" s="226"/>
      <c r="DN135" s="226"/>
      <c r="DO135" s="226"/>
      <c r="DP135" s="226"/>
      <c r="DQ135" s="226"/>
      <c r="DR135" s="226"/>
      <c r="DS135" s="226"/>
      <c r="DT135" s="226"/>
      <c r="DU135" s="226"/>
      <c r="DV135" s="226"/>
      <c r="DW135" s="226"/>
      <c r="DX135" s="226"/>
      <c r="DY135" s="226"/>
      <c r="DZ135" s="226"/>
      <c r="EA135" s="226"/>
      <c r="EB135" s="226"/>
      <c r="EC135" s="226"/>
      <c r="ED135" s="226"/>
      <c r="EE135" s="226"/>
      <c r="EF135" s="226"/>
      <c r="EG135" s="226"/>
      <c r="EH135" s="226"/>
      <c r="EI135" s="226"/>
      <c r="EJ135" s="226"/>
      <c r="EK135" s="226"/>
      <c r="EL135" s="226"/>
      <c r="EM135" s="226"/>
      <c r="EN135" s="226"/>
      <c r="EO135" s="226"/>
      <c r="EP135" s="226"/>
      <c r="EQ135" s="226"/>
      <c r="ER135" s="226"/>
      <c r="ES135" s="226"/>
      <c r="ET135" s="226"/>
      <c r="EU135" s="226"/>
      <c r="EV135" s="226"/>
      <c r="EW135" s="226"/>
      <c r="EX135" s="226"/>
      <c r="EY135" s="226"/>
      <c r="EZ135" s="226"/>
      <c r="FA135" s="226"/>
      <c r="FB135" s="226"/>
      <c r="FC135" s="226"/>
      <c r="FD135" s="226"/>
      <c r="FE135" s="226"/>
      <c r="FF135" s="226"/>
      <c r="FG135" s="226"/>
      <c r="FH135" s="226"/>
      <c r="FI135" s="226"/>
      <c r="FJ135" s="226"/>
      <c r="FK135" s="226"/>
      <c r="FL135" s="226"/>
      <c r="FM135" s="226"/>
      <c r="FN135" s="226"/>
      <c r="FO135" s="226"/>
      <c r="FP135" s="226"/>
      <c r="FQ135" s="226"/>
      <c r="FR135" s="226"/>
      <c r="FS135" s="226"/>
      <c r="FT135" s="226"/>
      <c r="FU135" s="226"/>
      <c r="FV135" s="226"/>
      <c r="FW135" s="226"/>
      <c r="FX135" s="226"/>
      <c r="FY135" s="226"/>
      <c r="FZ135" s="226"/>
      <c r="GA135" s="226"/>
      <c r="GB135" s="226"/>
      <c r="GC135" s="226"/>
      <c r="GD135" s="226"/>
      <c r="GE135" s="226"/>
      <c r="GF135" s="226"/>
      <c r="GG135" s="226"/>
    </row>
    <row r="136" spans="1:189" s="198" customFormat="1" ht="15.95" customHeight="1">
      <c r="A136" s="910" t="e">
        <f>+#REF!</f>
        <v>#REF!</v>
      </c>
      <c r="B136" s="916" t="e">
        <f>+#REF!</f>
        <v>#REF!</v>
      </c>
      <c r="C136" s="849"/>
      <c r="D136" s="842"/>
      <c r="E136" s="848"/>
      <c r="F136" s="811"/>
      <c r="G136" s="225"/>
      <c r="H136" s="259"/>
      <c r="I136" s="265"/>
      <c r="J136" s="259"/>
      <c r="K136" s="199"/>
      <c r="L136" s="199"/>
      <c r="M136" s="199"/>
      <c r="N136" s="199"/>
      <c r="O136" s="199"/>
      <c r="P136" s="199"/>
      <c r="Q136" s="199"/>
      <c r="R136" s="199"/>
      <c r="S136" s="199"/>
      <c r="T136" s="199"/>
      <c r="U136" s="199"/>
      <c r="V136" s="199"/>
      <c r="W136" s="199"/>
      <c r="X136" s="199"/>
      <c r="Y136" s="199"/>
      <c r="Z136" s="199"/>
      <c r="AA136" s="199"/>
      <c r="AB136" s="199"/>
      <c r="AC136" s="199"/>
      <c r="AD136" s="199"/>
      <c r="AE136" s="199"/>
      <c r="AF136" s="199"/>
      <c r="AG136" s="199"/>
      <c r="AH136" s="199"/>
      <c r="AI136" s="199"/>
      <c r="AJ136" s="199"/>
      <c r="AK136" s="199"/>
      <c r="AL136" s="199"/>
      <c r="AM136" s="199"/>
      <c r="AN136" s="199"/>
      <c r="AO136" s="199"/>
      <c r="AP136" s="199"/>
      <c r="AQ136" s="199"/>
      <c r="AR136" s="199"/>
      <c r="AS136" s="199"/>
      <c r="AT136" s="199"/>
      <c r="AU136" s="199"/>
      <c r="AV136" s="199"/>
      <c r="AW136" s="199"/>
      <c r="AX136" s="199"/>
      <c r="AY136" s="199"/>
      <c r="AZ136" s="199"/>
      <c r="BA136" s="199"/>
      <c r="BB136" s="199"/>
      <c r="BC136" s="199"/>
      <c r="BD136" s="199"/>
      <c r="BE136" s="199"/>
      <c r="BF136" s="199"/>
      <c r="BG136" s="199"/>
      <c r="BH136" s="199"/>
      <c r="BI136" s="199"/>
      <c r="BJ136" s="199"/>
      <c r="BK136" s="199"/>
      <c r="BL136" s="199"/>
      <c r="BM136" s="199"/>
      <c r="BN136" s="199"/>
      <c r="BO136" s="199"/>
      <c r="BP136" s="199"/>
      <c r="BQ136" s="199"/>
      <c r="BR136" s="199"/>
      <c r="BS136" s="199"/>
      <c r="BT136" s="199"/>
      <c r="BU136" s="199"/>
      <c r="BV136" s="199"/>
      <c r="BW136" s="199"/>
      <c r="BX136" s="199"/>
      <c r="BY136" s="199"/>
      <c r="BZ136" s="199"/>
      <c r="CA136" s="199"/>
      <c r="CB136" s="199"/>
      <c r="CC136" s="199"/>
      <c r="CD136" s="199"/>
      <c r="CE136" s="199"/>
      <c r="CF136" s="199"/>
      <c r="CG136" s="199"/>
      <c r="CH136" s="199"/>
      <c r="CI136" s="199"/>
      <c r="CJ136" s="199"/>
      <c r="CK136" s="199"/>
      <c r="CL136" s="199"/>
      <c r="CM136" s="199"/>
      <c r="CN136" s="199"/>
      <c r="CO136" s="199"/>
      <c r="CP136" s="199"/>
      <c r="CQ136" s="199"/>
      <c r="CR136" s="199"/>
      <c r="CS136" s="199"/>
      <c r="CT136" s="199"/>
      <c r="CU136" s="199"/>
      <c r="CV136" s="199"/>
      <c r="CW136" s="199"/>
      <c r="CX136" s="199"/>
      <c r="CY136" s="199"/>
      <c r="CZ136" s="199"/>
      <c r="DA136" s="199"/>
      <c r="DB136" s="199"/>
      <c r="DC136" s="199"/>
      <c r="DD136" s="199"/>
      <c r="DE136" s="199"/>
      <c r="DF136" s="199"/>
      <c r="DG136" s="199"/>
      <c r="DH136" s="199"/>
      <c r="DI136" s="199"/>
      <c r="DJ136" s="199"/>
      <c r="DK136" s="199"/>
      <c r="DL136" s="199"/>
      <c r="DM136" s="199"/>
      <c r="DN136" s="199"/>
      <c r="DO136" s="199"/>
      <c r="DP136" s="199"/>
      <c r="DQ136" s="199"/>
      <c r="DR136" s="199"/>
      <c r="DS136" s="199"/>
      <c r="DT136" s="199"/>
      <c r="DU136" s="199"/>
      <c r="DV136" s="199"/>
      <c r="DW136" s="199"/>
      <c r="DX136" s="199"/>
      <c r="DY136" s="199"/>
      <c r="DZ136" s="199"/>
      <c r="EA136" s="199"/>
      <c r="EB136" s="199"/>
      <c r="EC136" s="199"/>
      <c r="ED136" s="199"/>
      <c r="EE136" s="199"/>
      <c r="EF136" s="199"/>
      <c r="EG136" s="199"/>
      <c r="EH136" s="199"/>
      <c r="EI136" s="199"/>
      <c r="EJ136" s="199"/>
      <c r="EK136" s="199"/>
      <c r="EL136" s="199"/>
      <c r="EM136" s="199"/>
      <c r="EN136" s="199"/>
      <c r="EO136" s="199"/>
      <c r="EP136" s="199"/>
      <c r="EQ136" s="199"/>
      <c r="ER136" s="199"/>
      <c r="ES136" s="199"/>
      <c r="ET136" s="199"/>
      <c r="EU136" s="199"/>
      <c r="EV136" s="199"/>
      <c r="EW136" s="199"/>
      <c r="EX136" s="199"/>
      <c r="EY136" s="199"/>
      <c r="EZ136" s="199"/>
      <c r="FA136" s="199"/>
      <c r="FB136" s="199"/>
      <c r="FC136" s="199"/>
      <c r="FD136" s="199"/>
      <c r="FE136" s="199"/>
      <c r="FF136" s="199"/>
      <c r="FG136" s="199"/>
      <c r="FH136" s="199"/>
      <c r="FI136" s="199"/>
      <c r="FJ136" s="199"/>
      <c r="FK136" s="199"/>
      <c r="FL136" s="199"/>
      <c r="FM136" s="199"/>
      <c r="FN136" s="199"/>
      <c r="FO136" s="199"/>
      <c r="FP136" s="199"/>
      <c r="FQ136" s="199"/>
      <c r="FR136" s="199"/>
      <c r="FS136" s="199"/>
      <c r="FT136" s="199"/>
      <c r="FU136" s="199"/>
      <c r="FV136" s="199"/>
      <c r="FW136" s="199"/>
      <c r="FX136" s="199"/>
      <c r="FY136" s="199"/>
      <c r="FZ136" s="199"/>
      <c r="GA136" s="199"/>
      <c r="GB136" s="199"/>
      <c r="GC136" s="199"/>
      <c r="GD136" s="199"/>
      <c r="GE136" s="199"/>
      <c r="GF136" s="199"/>
      <c r="GG136" s="199"/>
    </row>
    <row r="137" spans="1:189" s="225" customFormat="1" ht="15.95" customHeight="1">
      <c r="A137" s="899"/>
      <c r="B137" s="886"/>
      <c r="C137" s="840" t="s">
        <v>27</v>
      </c>
      <c r="D137" s="838">
        <v>1</v>
      </c>
      <c r="E137" s="813"/>
      <c r="F137" s="812"/>
      <c r="H137" s="259">
        <v>0</v>
      </c>
      <c r="I137" s="265">
        <v>1</v>
      </c>
      <c r="J137" s="259">
        <f>H137*I137</f>
        <v>0</v>
      </c>
      <c r="K137" s="226"/>
      <c r="L137" s="226"/>
      <c r="M137" s="226"/>
      <c r="N137" s="226"/>
      <c r="O137" s="226"/>
      <c r="P137" s="226"/>
      <c r="Q137" s="226"/>
      <c r="R137" s="226"/>
      <c r="S137" s="226"/>
      <c r="T137" s="226"/>
      <c r="U137" s="226"/>
      <c r="V137" s="226"/>
      <c r="W137" s="226"/>
      <c r="X137" s="226"/>
      <c r="Y137" s="226"/>
      <c r="Z137" s="226"/>
      <c r="AA137" s="226"/>
      <c r="AB137" s="226"/>
      <c r="AC137" s="226"/>
      <c r="AD137" s="226"/>
      <c r="AE137" s="226"/>
      <c r="AF137" s="226"/>
      <c r="AG137" s="226"/>
      <c r="AH137" s="226"/>
      <c r="AI137" s="226"/>
      <c r="AJ137" s="226"/>
      <c r="AK137" s="226"/>
      <c r="AL137" s="226"/>
      <c r="AM137" s="226"/>
      <c r="AN137" s="226"/>
      <c r="AO137" s="226"/>
      <c r="AP137" s="226"/>
      <c r="AQ137" s="226"/>
      <c r="AR137" s="226"/>
      <c r="AS137" s="226"/>
      <c r="AT137" s="226"/>
      <c r="AU137" s="226"/>
      <c r="AV137" s="226"/>
      <c r="AW137" s="226"/>
      <c r="AX137" s="226"/>
      <c r="AY137" s="226"/>
      <c r="AZ137" s="226"/>
      <c r="BA137" s="226"/>
      <c r="BB137" s="226"/>
      <c r="BC137" s="226"/>
      <c r="BD137" s="226"/>
      <c r="BE137" s="226"/>
      <c r="BF137" s="226"/>
      <c r="BG137" s="226"/>
      <c r="BH137" s="226"/>
      <c r="BI137" s="226"/>
      <c r="BJ137" s="226"/>
      <c r="BK137" s="226"/>
      <c r="BL137" s="226"/>
      <c r="BM137" s="226"/>
      <c r="BN137" s="226"/>
      <c r="BO137" s="226"/>
      <c r="BP137" s="226"/>
      <c r="BQ137" s="226"/>
      <c r="BR137" s="226"/>
      <c r="BS137" s="226"/>
      <c r="BT137" s="226"/>
      <c r="BU137" s="226"/>
      <c r="BV137" s="226"/>
      <c r="BW137" s="226"/>
      <c r="BX137" s="226"/>
      <c r="BY137" s="226"/>
      <c r="BZ137" s="226"/>
      <c r="CA137" s="226"/>
      <c r="CB137" s="226"/>
      <c r="CC137" s="226"/>
      <c r="CD137" s="226"/>
      <c r="CE137" s="226"/>
      <c r="CF137" s="226"/>
      <c r="CG137" s="226"/>
      <c r="CH137" s="226"/>
      <c r="CI137" s="226"/>
      <c r="CJ137" s="226"/>
      <c r="CK137" s="226"/>
      <c r="CL137" s="226"/>
      <c r="CM137" s="226"/>
      <c r="CN137" s="226"/>
      <c r="CO137" s="226"/>
      <c r="CP137" s="226"/>
      <c r="CQ137" s="226"/>
      <c r="CR137" s="226"/>
      <c r="CS137" s="226"/>
      <c r="CT137" s="226"/>
      <c r="CU137" s="226"/>
      <c r="CV137" s="226"/>
      <c r="CW137" s="226"/>
      <c r="CX137" s="226"/>
      <c r="CY137" s="226"/>
      <c r="CZ137" s="226"/>
      <c r="DA137" s="226"/>
      <c r="DB137" s="226"/>
      <c r="DC137" s="226"/>
      <c r="DD137" s="226"/>
      <c r="DE137" s="226"/>
      <c r="DF137" s="226"/>
      <c r="DG137" s="226"/>
      <c r="DH137" s="226"/>
      <c r="DI137" s="226"/>
      <c r="DJ137" s="226"/>
      <c r="DK137" s="226"/>
      <c r="DL137" s="226"/>
      <c r="DM137" s="226"/>
      <c r="DN137" s="226"/>
      <c r="DO137" s="226"/>
      <c r="DP137" s="226"/>
      <c r="DQ137" s="226"/>
      <c r="DR137" s="226"/>
      <c r="DS137" s="226"/>
      <c r="DT137" s="226"/>
      <c r="DU137" s="226"/>
      <c r="DV137" s="226"/>
      <c r="DW137" s="226"/>
      <c r="DX137" s="226"/>
      <c r="DY137" s="226"/>
      <c r="DZ137" s="226"/>
      <c r="EA137" s="226"/>
      <c r="EB137" s="226"/>
      <c r="EC137" s="226"/>
      <c r="ED137" s="226"/>
      <c r="EE137" s="226"/>
      <c r="EF137" s="226"/>
      <c r="EG137" s="226"/>
      <c r="EH137" s="226"/>
      <c r="EI137" s="226"/>
      <c r="EJ137" s="226"/>
      <c r="EK137" s="226"/>
      <c r="EL137" s="226"/>
      <c r="EM137" s="226"/>
      <c r="EN137" s="226"/>
      <c r="EO137" s="226"/>
      <c r="EP137" s="226"/>
      <c r="EQ137" s="226"/>
      <c r="ER137" s="226"/>
      <c r="ES137" s="226"/>
      <c r="ET137" s="226"/>
      <c r="EU137" s="226"/>
      <c r="EV137" s="226"/>
      <c r="EW137" s="226"/>
      <c r="EX137" s="226"/>
      <c r="EY137" s="226"/>
      <c r="EZ137" s="226"/>
      <c r="FA137" s="226"/>
      <c r="FB137" s="226"/>
      <c r="FC137" s="226"/>
      <c r="FD137" s="226"/>
      <c r="FE137" s="226"/>
      <c r="FF137" s="226"/>
      <c r="FG137" s="226"/>
      <c r="FH137" s="226"/>
      <c r="FI137" s="226"/>
      <c r="FJ137" s="226"/>
      <c r="FK137" s="226"/>
      <c r="FL137" s="226"/>
      <c r="FM137" s="226"/>
      <c r="FN137" s="226"/>
      <c r="FO137" s="226"/>
      <c r="FP137" s="226"/>
      <c r="FQ137" s="226"/>
      <c r="FR137" s="226"/>
      <c r="FS137" s="226"/>
      <c r="FT137" s="226"/>
      <c r="FU137" s="226"/>
      <c r="FV137" s="226"/>
      <c r="FW137" s="226"/>
      <c r="FX137" s="226"/>
      <c r="FY137" s="226"/>
      <c r="FZ137" s="226"/>
      <c r="GA137" s="226"/>
      <c r="GB137" s="226"/>
      <c r="GC137" s="226"/>
      <c r="GD137" s="226"/>
      <c r="GE137" s="226"/>
      <c r="GF137" s="226"/>
      <c r="GG137" s="226"/>
    </row>
    <row r="138" spans="1:189" s="225" customFormat="1" ht="15.95" customHeight="1">
      <c r="A138" s="910" t="e">
        <f>+#REF!</f>
        <v>#REF!</v>
      </c>
      <c r="B138" s="916" t="e">
        <f>+#REF!</f>
        <v>#REF!</v>
      </c>
      <c r="C138" s="849"/>
      <c r="D138" s="842"/>
      <c r="E138" s="848"/>
      <c r="F138" s="811"/>
      <c r="H138" s="259"/>
      <c r="I138" s="265"/>
      <c r="J138" s="259"/>
      <c r="K138" s="430" t="e">
        <f>+#REF!/#REF!</f>
        <v>#REF!</v>
      </c>
      <c r="L138" s="226">
        <v>3</v>
      </c>
      <c r="M138" s="226"/>
      <c r="N138" s="226"/>
      <c r="O138" s="226"/>
      <c r="P138" s="226"/>
      <c r="Q138" s="226"/>
      <c r="R138" s="226"/>
      <c r="S138" s="226"/>
      <c r="T138" s="226"/>
      <c r="U138" s="226"/>
      <c r="V138" s="226"/>
      <c r="W138" s="226"/>
      <c r="X138" s="226"/>
      <c r="Y138" s="226"/>
      <c r="Z138" s="226"/>
      <c r="AA138" s="226"/>
      <c r="AB138" s="226"/>
      <c r="AC138" s="226"/>
      <c r="AD138" s="226"/>
      <c r="AE138" s="226"/>
      <c r="AF138" s="226"/>
      <c r="AG138" s="226"/>
      <c r="AH138" s="226"/>
      <c r="AI138" s="226"/>
      <c r="AJ138" s="226"/>
      <c r="AK138" s="226"/>
      <c r="AL138" s="226"/>
      <c r="AM138" s="226"/>
      <c r="AN138" s="226"/>
      <c r="AO138" s="226"/>
      <c r="AP138" s="226"/>
      <c r="AQ138" s="226"/>
      <c r="AR138" s="226"/>
      <c r="AS138" s="226"/>
      <c r="AT138" s="226"/>
      <c r="AU138" s="226"/>
      <c r="AV138" s="226"/>
      <c r="AW138" s="226"/>
      <c r="AX138" s="226"/>
      <c r="AY138" s="226"/>
      <c r="AZ138" s="226"/>
      <c r="BA138" s="226"/>
      <c r="BB138" s="226"/>
      <c r="BC138" s="226"/>
      <c r="BD138" s="226"/>
      <c r="BE138" s="226"/>
      <c r="BF138" s="226"/>
      <c r="BG138" s="226"/>
      <c r="BH138" s="226"/>
      <c r="BI138" s="226"/>
      <c r="BJ138" s="226"/>
      <c r="BK138" s="226"/>
      <c r="BL138" s="226"/>
      <c r="BM138" s="226"/>
      <c r="BN138" s="226"/>
      <c r="BO138" s="226"/>
      <c r="BP138" s="226"/>
      <c r="BQ138" s="226"/>
      <c r="BR138" s="226"/>
      <c r="BS138" s="226"/>
      <c r="BT138" s="226"/>
      <c r="BU138" s="226"/>
      <c r="BV138" s="226"/>
      <c r="BW138" s="226"/>
      <c r="BX138" s="226"/>
      <c r="BY138" s="226"/>
      <c r="BZ138" s="226"/>
      <c r="CA138" s="226"/>
      <c r="CB138" s="226"/>
      <c r="CC138" s="226"/>
      <c r="CD138" s="226"/>
      <c r="CE138" s="226"/>
      <c r="CF138" s="226"/>
      <c r="CG138" s="226"/>
      <c r="CH138" s="226"/>
      <c r="CI138" s="226"/>
      <c r="CJ138" s="226"/>
      <c r="CK138" s="226"/>
      <c r="CL138" s="226"/>
      <c r="CM138" s="226"/>
      <c r="CN138" s="226"/>
      <c r="CO138" s="226"/>
      <c r="CP138" s="226"/>
      <c r="CQ138" s="226"/>
      <c r="CR138" s="226"/>
      <c r="CS138" s="226"/>
      <c r="CT138" s="226"/>
      <c r="CU138" s="226"/>
      <c r="CV138" s="226"/>
      <c r="CW138" s="226"/>
      <c r="CX138" s="226"/>
      <c r="CY138" s="226"/>
      <c r="CZ138" s="226"/>
      <c r="DA138" s="226"/>
      <c r="DB138" s="226"/>
      <c r="DC138" s="226"/>
      <c r="DD138" s="226"/>
      <c r="DE138" s="226"/>
      <c r="DF138" s="226"/>
      <c r="DG138" s="226"/>
      <c r="DH138" s="226"/>
      <c r="DI138" s="226"/>
      <c r="DJ138" s="226"/>
      <c r="DK138" s="226"/>
      <c r="DL138" s="226"/>
      <c r="DM138" s="226"/>
      <c r="DN138" s="226"/>
      <c r="DO138" s="226"/>
      <c r="DP138" s="226"/>
      <c r="DQ138" s="226"/>
      <c r="DR138" s="226"/>
      <c r="DS138" s="226"/>
      <c r="DT138" s="226"/>
      <c r="DU138" s="226"/>
      <c r="DV138" s="226"/>
      <c r="DW138" s="226"/>
      <c r="DX138" s="226"/>
      <c r="DY138" s="226"/>
      <c r="DZ138" s="226"/>
      <c r="EA138" s="226"/>
      <c r="EB138" s="226"/>
      <c r="EC138" s="226"/>
      <c r="ED138" s="226"/>
      <c r="EE138" s="226"/>
      <c r="EF138" s="226"/>
      <c r="EG138" s="226"/>
      <c r="EH138" s="226"/>
      <c r="EI138" s="226"/>
      <c r="EJ138" s="226"/>
      <c r="EK138" s="226"/>
      <c r="EL138" s="226"/>
      <c r="EM138" s="226"/>
      <c r="EN138" s="226"/>
      <c r="EO138" s="226"/>
      <c r="EP138" s="226"/>
      <c r="EQ138" s="226"/>
      <c r="ER138" s="226"/>
      <c r="ES138" s="226"/>
      <c r="ET138" s="226"/>
      <c r="EU138" s="226"/>
      <c r="EV138" s="226"/>
      <c r="EW138" s="226"/>
      <c r="EX138" s="226"/>
      <c r="EY138" s="226"/>
      <c r="EZ138" s="226"/>
      <c r="FA138" s="226"/>
      <c r="FB138" s="226"/>
      <c r="FC138" s="226"/>
      <c r="FD138" s="226"/>
      <c r="FE138" s="226"/>
      <c r="FF138" s="226"/>
      <c r="FG138" s="226"/>
      <c r="FH138" s="226"/>
      <c r="FI138" s="226"/>
      <c r="FJ138" s="226"/>
      <c r="FK138" s="226"/>
      <c r="FL138" s="226"/>
      <c r="FM138" s="226"/>
      <c r="FN138" s="226"/>
      <c r="FO138" s="226"/>
      <c r="FP138" s="226"/>
      <c r="FQ138" s="226"/>
      <c r="FR138" s="226"/>
      <c r="FS138" s="226"/>
      <c r="FT138" s="226"/>
      <c r="FU138" s="226"/>
      <c r="FV138" s="226"/>
      <c r="FW138" s="226"/>
      <c r="FX138" s="226"/>
      <c r="FY138" s="226"/>
      <c r="FZ138" s="226"/>
      <c r="GA138" s="226"/>
      <c r="GB138" s="226"/>
      <c r="GC138" s="226"/>
      <c r="GD138" s="226"/>
      <c r="GE138" s="226"/>
      <c r="GF138" s="226"/>
      <c r="GG138" s="226"/>
    </row>
    <row r="139" spans="1:189" s="225" customFormat="1" ht="15.95" customHeight="1">
      <c r="A139" s="900" t="e">
        <f>+#REF!</f>
        <v>#REF!</v>
      </c>
      <c r="B139" s="901" t="e">
        <f>+#REF!</f>
        <v>#REF!</v>
      </c>
      <c r="C139" s="839" t="s">
        <v>1</v>
      </c>
      <c r="D139" s="843">
        <f>J139</f>
        <v>37.274999999999999</v>
      </c>
      <c r="E139" s="388"/>
      <c r="F139" s="930"/>
      <c r="H139" s="259">
        <f>SUM(H131:H135)/50+5</f>
        <v>35.5</v>
      </c>
      <c r="I139" s="265">
        <v>1.05</v>
      </c>
      <c r="J139" s="259">
        <f>H139*I139</f>
        <v>37.274999999999999</v>
      </c>
      <c r="K139" s="226"/>
      <c r="L139" s="429" t="e">
        <f>+#REF!/#REF!*L138</f>
        <v>#REF!</v>
      </c>
      <c r="M139" s="226"/>
      <c r="N139" s="226"/>
      <c r="O139" s="226"/>
      <c r="P139" s="226"/>
      <c r="Q139" s="226"/>
      <c r="R139" s="226"/>
      <c r="S139" s="226"/>
      <c r="T139" s="226"/>
      <c r="U139" s="226"/>
      <c r="V139" s="226"/>
      <c r="W139" s="226"/>
      <c r="X139" s="226"/>
      <c r="Y139" s="226"/>
      <c r="Z139" s="226"/>
      <c r="AA139" s="226"/>
      <c r="AB139" s="226"/>
      <c r="AC139" s="226"/>
      <c r="AD139" s="226"/>
      <c r="AE139" s="226"/>
      <c r="AF139" s="226"/>
      <c r="AG139" s="226"/>
      <c r="AH139" s="226"/>
      <c r="AI139" s="226"/>
      <c r="AJ139" s="226"/>
      <c r="AK139" s="226"/>
      <c r="AL139" s="226"/>
      <c r="AM139" s="226"/>
      <c r="AN139" s="226"/>
      <c r="AO139" s="226"/>
      <c r="AP139" s="226"/>
      <c r="AQ139" s="226"/>
      <c r="AR139" s="226"/>
      <c r="AS139" s="226"/>
      <c r="AT139" s="226"/>
      <c r="AU139" s="226"/>
      <c r="AV139" s="226"/>
      <c r="AW139" s="226"/>
      <c r="AX139" s="226"/>
      <c r="AY139" s="226"/>
      <c r="AZ139" s="226"/>
      <c r="BA139" s="226"/>
      <c r="BB139" s="226"/>
      <c r="BC139" s="226"/>
      <c r="BD139" s="226"/>
      <c r="BE139" s="226"/>
      <c r="BF139" s="226"/>
      <c r="BG139" s="226"/>
      <c r="BH139" s="226"/>
      <c r="BI139" s="226"/>
      <c r="BJ139" s="226"/>
      <c r="BK139" s="226"/>
      <c r="BL139" s="226"/>
      <c r="BM139" s="226"/>
      <c r="BN139" s="226"/>
      <c r="BO139" s="226"/>
      <c r="BP139" s="226"/>
      <c r="BQ139" s="226"/>
      <c r="BR139" s="226"/>
      <c r="BS139" s="226"/>
      <c r="BT139" s="226"/>
      <c r="BU139" s="226"/>
      <c r="BV139" s="226"/>
      <c r="BW139" s="226"/>
      <c r="BX139" s="226"/>
      <c r="BY139" s="226"/>
      <c r="BZ139" s="226"/>
      <c r="CA139" s="226"/>
      <c r="CB139" s="226"/>
      <c r="CC139" s="226"/>
      <c r="CD139" s="226"/>
      <c r="CE139" s="226"/>
      <c r="CF139" s="226"/>
      <c r="CG139" s="226"/>
      <c r="CH139" s="226"/>
      <c r="CI139" s="226"/>
      <c r="CJ139" s="226"/>
      <c r="CK139" s="226"/>
      <c r="CL139" s="226"/>
      <c r="CM139" s="226"/>
      <c r="CN139" s="226"/>
      <c r="CO139" s="226"/>
      <c r="CP139" s="226"/>
      <c r="CQ139" s="226"/>
      <c r="CR139" s="226"/>
      <c r="CS139" s="226"/>
      <c r="CT139" s="226"/>
      <c r="CU139" s="226"/>
      <c r="CV139" s="226"/>
      <c r="CW139" s="226"/>
      <c r="CX139" s="226"/>
      <c r="CY139" s="226"/>
      <c r="CZ139" s="226"/>
      <c r="DA139" s="226"/>
      <c r="DB139" s="226"/>
      <c r="DC139" s="226"/>
      <c r="DD139" s="226"/>
      <c r="DE139" s="226"/>
      <c r="DF139" s="226"/>
      <c r="DG139" s="226"/>
      <c r="DH139" s="226"/>
      <c r="DI139" s="226"/>
      <c r="DJ139" s="226"/>
      <c r="DK139" s="226"/>
      <c r="DL139" s="226"/>
      <c r="DM139" s="226"/>
      <c r="DN139" s="226"/>
      <c r="DO139" s="226"/>
      <c r="DP139" s="226"/>
      <c r="DQ139" s="226"/>
      <c r="DR139" s="226"/>
      <c r="DS139" s="226"/>
      <c r="DT139" s="226"/>
      <c r="DU139" s="226"/>
      <c r="DV139" s="226"/>
      <c r="DW139" s="226"/>
      <c r="DX139" s="226"/>
      <c r="DY139" s="226"/>
      <c r="DZ139" s="226"/>
      <c r="EA139" s="226"/>
      <c r="EB139" s="226"/>
      <c r="EC139" s="226"/>
      <c r="ED139" s="226"/>
      <c r="EE139" s="226"/>
      <c r="EF139" s="226"/>
      <c r="EG139" s="226"/>
      <c r="EH139" s="226"/>
      <c r="EI139" s="226"/>
      <c r="EJ139" s="226"/>
      <c r="EK139" s="226"/>
      <c r="EL139" s="226"/>
      <c r="EM139" s="226"/>
      <c r="EN139" s="226"/>
      <c r="EO139" s="226"/>
      <c r="EP139" s="226"/>
      <c r="EQ139" s="226"/>
      <c r="ER139" s="226"/>
      <c r="ES139" s="226"/>
      <c r="ET139" s="226"/>
      <c r="EU139" s="226"/>
      <c r="EV139" s="226"/>
      <c r="EW139" s="226"/>
      <c r="EX139" s="226"/>
      <c r="EY139" s="226"/>
      <c r="EZ139" s="226"/>
      <c r="FA139" s="226"/>
      <c r="FB139" s="226"/>
      <c r="FC139" s="226"/>
      <c r="FD139" s="226"/>
      <c r="FE139" s="226"/>
      <c r="FF139" s="226"/>
      <c r="FG139" s="226"/>
      <c r="FH139" s="226"/>
      <c r="FI139" s="226"/>
      <c r="FJ139" s="226"/>
      <c r="FK139" s="226"/>
      <c r="FL139" s="226"/>
      <c r="FM139" s="226"/>
      <c r="FN139" s="226"/>
      <c r="FO139" s="226"/>
      <c r="FP139" s="226"/>
      <c r="FQ139" s="226"/>
      <c r="FR139" s="226"/>
      <c r="FS139" s="226"/>
      <c r="FT139" s="226"/>
      <c r="FU139" s="226"/>
      <c r="FV139" s="226"/>
      <c r="FW139" s="226"/>
      <c r="FX139" s="226"/>
      <c r="FY139" s="226"/>
      <c r="FZ139" s="226"/>
      <c r="GA139" s="226"/>
      <c r="GB139" s="226"/>
      <c r="GC139" s="226"/>
      <c r="GD139" s="226"/>
      <c r="GE139" s="226"/>
      <c r="GF139" s="226"/>
      <c r="GG139" s="226"/>
    </row>
    <row r="140" spans="1:189" s="225" customFormat="1" ht="15.95" customHeight="1">
      <c r="A140" s="900" t="e">
        <f>+#REF!</f>
        <v>#REF!</v>
      </c>
      <c r="B140" s="901" t="e">
        <f>+#REF!</f>
        <v>#REF!</v>
      </c>
      <c r="C140" s="839" t="s">
        <v>27</v>
      </c>
      <c r="D140" s="843">
        <f>J140</f>
        <v>154.38528000000002</v>
      </c>
      <c r="E140" s="388"/>
      <c r="F140" s="930"/>
      <c r="H140" s="259">
        <f>SUM(J128:J129)/12.5</f>
        <v>147.03360000000001</v>
      </c>
      <c r="I140" s="265">
        <v>1.05</v>
      </c>
      <c r="J140" s="259">
        <f>H140*I140</f>
        <v>154.38528000000002</v>
      </c>
      <c r="K140" s="226"/>
      <c r="L140" s="226"/>
      <c r="M140" s="226"/>
      <c r="N140" s="226"/>
      <c r="O140" s="226"/>
      <c r="P140" s="226"/>
      <c r="Q140" s="226"/>
      <c r="R140" s="226"/>
      <c r="S140" s="226"/>
      <c r="T140" s="226"/>
      <c r="U140" s="226"/>
      <c r="V140" s="226"/>
      <c r="W140" s="226"/>
      <c r="X140" s="226"/>
      <c r="Y140" s="226"/>
      <c r="Z140" s="226"/>
      <c r="AA140" s="226"/>
      <c r="AB140" s="226"/>
      <c r="AC140" s="226"/>
      <c r="AD140" s="226"/>
      <c r="AE140" s="226"/>
      <c r="AF140" s="226"/>
      <c r="AG140" s="226"/>
      <c r="AH140" s="226"/>
      <c r="AI140" s="226"/>
      <c r="AJ140" s="226"/>
      <c r="AK140" s="226"/>
      <c r="AL140" s="226"/>
      <c r="AM140" s="226"/>
      <c r="AN140" s="226"/>
      <c r="AO140" s="226"/>
      <c r="AP140" s="226"/>
      <c r="AQ140" s="226"/>
      <c r="AR140" s="226"/>
      <c r="AS140" s="226"/>
      <c r="AT140" s="226"/>
      <c r="AU140" s="226"/>
      <c r="AV140" s="226"/>
      <c r="AW140" s="226"/>
      <c r="AX140" s="226"/>
      <c r="AY140" s="226"/>
      <c r="AZ140" s="226"/>
      <c r="BA140" s="226"/>
      <c r="BB140" s="226"/>
      <c r="BC140" s="226"/>
      <c r="BD140" s="226"/>
      <c r="BE140" s="226"/>
      <c r="BF140" s="226"/>
      <c r="BG140" s="226"/>
      <c r="BH140" s="226"/>
      <c r="BI140" s="226"/>
      <c r="BJ140" s="226"/>
      <c r="BK140" s="226"/>
      <c r="BL140" s="226"/>
      <c r="BM140" s="226"/>
      <c r="BN140" s="226"/>
      <c r="BO140" s="226"/>
      <c r="BP140" s="226"/>
      <c r="BQ140" s="226"/>
      <c r="BR140" s="226"/>
      <c r="BS140" s="226"/>
      <c r="BT140" s="226"/>
      <c r="BU140" s="226"/>
      <c r="BV140" s="226"/>
      <c r="BW140" s="226"/>
      <c r="BX140" s="226"/>
      <c r="BY140" s="226"/>
      <c r="BZ140" s="226"/>
      <c r="CA140" s="226"/>
      <c r="CB140" s="226"/>
      <c r="CC140" s="226"/>
      <c r="CD140" s="226"/>
      <c r="CE140" s="226"/>
      <c r="CF140" s="226"/>
      <c r="CG140" s="226"/>
      <c r="CH140" s="226"/>
      <c r="CI140" s="226"/>
      <c r="CJ140" s="226"/>
      <c r="CK140" s="226"/>
      <c r="CL140" s="226"/>
      <c r="CM140" s="226"/>
      <c r="CN140" s="226"/>
      <c r="CO140" s="226"/>
      <c r="CP140" s="226"/>
      <c r="CQ140" s="226"/>
      <c r="CR140" s="226"/>
      <c r="CS140" s="226"/>
      <c r="CT140" s="226"/>
      <c r="CU140" s="226"/>
      <c r="CV140" s="226"/>
      <c r="CW140" s="226"/>
      <c r="CX140" s="226"/>
      <c r="CY140" s="226"/>
      <c r="CZ140" s="226"/>
      <c r="DA140" s="226"/>
      <c r="DB140" s="226"/>
      <c r="DC140" s="226"/>
      <c r="DD140" s="226"/>
      <c r="DE140" s="226"/>
      <c r="DF140" s="226"/>
      <c r="DG140" s="226"/>
      <c r="DH140" s="226"/>
      <c r="DI140" s="226"/>
      <c r="DJ140" s="226"/>
      <c r="DK140" s="226"/>
      <c r="DL140" s="226"/>
      <c r="DM140" s="226"/>
      <c r="DN140" s="226"/>
      <c r="DO140" s="226"/>
      <c r="DP140" s="226"/>
      <c r="DQ140" s="226"/>
      <c r="DR140" s="226"/>
      <c r="DS140" s="226"/>
      <c r="DT140" s="226"/>
      <c r="DU140" s="226"/>
      <c r="DV140" s="226"/>
      <c r="DW140" s="226"/>
      <c r="DX140" s="226"/>
      <c r="DY140" s="226"/>
      <c r="DZ140" s="226"/>
      <c r="EA140" s="226"/>
      <c r="EB140" s="226"/>
      <c r="EC140" s="226"/>
      <c r="ED140" s="226"/>
      <c r="EE140" s="226"/>
      <c r="EF140" s="226"/>
      <c r="EG140" s="226"/>
      <c r="EH140" s="226"/>
      <c r="EI140" s="226"/>
      <c r="EJ140" s="226"/>
      <c r="EK140" s="226"/>
      <c r="EL140" s="226"/>
      <c r="EM140" s="226"/>
      <c r="EN140" s="226"/>
      <c r="EO140" s="226"/>
      <c r="EP140" s="226"/>
      <c r="EQ140" s="226"/>
      <c r="ER140" s="226"/>
      <c r="ES140" s="226"/>
      <c r="ET140" s="226"/>
      <c r="EU140" s="226"/>
      <c r="EV140" s="226"/>
      <c r="EW140" s="226"/>
      <c r="EX140" s="226"/>
      <c r="EY140" s="226"/>
      <c r="EZ140" s="226"/>
      <c r="FA140" s="226"/>
      <c r="FB140" s="226"/>
      <c r="FC140" s="226"/>
      <c r="FD140" s="226"/>
      <c r="FE140" s="226"/>
      <c r="FF140" s="226"/>
      <c r="FG140" s="226"/>
      <c r="FH140" s="226"/>
      <c r="FI140" s="226"/>
      <c r="FJ140" s="226"/>
      <c r="FK140" s="226"/>
      <c r="FL140" s="226"/>
      <c r="FM140" s="226"/>
      <c r="FN140" s="226"/>
      <c r="FO140" s="226"/>
      <c r="FP140" s="226"/>
      <c r="FQ140" s="226"/>
      <c r="FR140" s="226"/>
      <c r="FS140" s="226"/>
      <c r="FT140" s="226"/>
      <c r="FU140" s="226"/>
      <c r="FV140" s="226"/>
      <c r="FW140" s="226"/>
      <c r="FX140" s="226"/>
      <c r="FY140" s="226"/>
      <c r="FZ140" s="226"/>
      <c r="GA140" s="226"/>
      <c r="GB140" s="226"/>
      <c r="GC140" s="226"/>
      <c r="GD140" s="226"/>
      <c r="GE140" s="226"/>
      <c r="GF140" s="226"/>
      <c r="GG140" s="226"/>
    </row>
    <row r="141" spans="1:189" s="225" customFormat="1" ht="15.95" customHeight="1">
      <c r="A141" s="885" t="e">
        <f>+#REF!</f>
        <v>#REF!</v>
      </c>
      <c r="B141" s="886" t="e">
        <f>+#REF!</f>
        <v>#REF!</v>
      </c>
      <c r="C141" s="840" t="s">
        <v>27</v>
      </c>
      <c r="D141" s="838">
        <v>1</v>
      </c>
      <c r="E141" s="813"/>
      <c r="F141" s="812"/>
      <c r="H141" s="259"/>
      <c r="I141" s="265"/>
      <c r="J141" s="259"/>
      <c r="K141" s="226"/>
      <c r="L141" s="226"/>
      <c r="M141" s="226"/>
      <c r="N141" s="226"/>
      <c r="O141" s="226"/>
      <c r="P141" s="226"/>
      <c r="Q141" s="226"/>
      <c r="R141" s="226"/>
      <c r="S141" s="226"/>
      <c r="T141" s="226"/>
      <c r="U141" s="226"/>
      <c r="V141" s="226"/>
      <c r="W141" s="226"/>
      <c r="X141" s="226"/>
      <c r="Y141" s="226"/>
      <c r="Z141" s="226"/>
      <c r="AA141" s="226"/>
      <c r="AB141" s="226"/>
      <c r="AC141" s="226"/>
      <c r="AD141" s="226"/>
      <c r="AE141" s="226"/>
      <c r="AF141" s="226"/>
      <c r="AG141" s="226"/>
      <c r="AH141" s="226"/>
      <c r="AI141" s="226"/>
      <c r="AJ141" s="226"/>
      <c r="AK141" s="226"/>
      <c r="AL141" s="226"/>
      <c r="AM141" s="226"/>
      <c r="AN141" s="226"/>
      <c r="AO141" s="226"/>
      <c r="AP141" s="226"/>
      <c r="AQ141" s="226"/>
      <c r="AR141" s="226"/>
      <c r="AS141" s="226"/>
      <c r="AT141" s="226"/>
      <c r="AU141" s="226"/>
      <c r="AV141" s="226"/>
      <c r="AW141" s="226"/>
      <c r="AX141" s="226"/>
      <c r="AY141" s="226"/>
      <c r="AZ141" s="226"/>
      <c r="BA141" s="226"/>
      <c r="BB141" s="226"/>
      <c r="BC141" s="226"/>
      <c r="BD141" s="226"/>
      <c r="BE141" s="226"/>
      <c r="BF141" s="226"/>
      <c r="BG141" s="226"/>
      <c r="BH141" s="226"/>
      <c r="BI141" s="226"/>
      <c r="BJ141" s="226"/>
      <c r="BK141" s="226"/>
      <c r="BL141" s="226"/>
      <c r="BM141" s="226"/>
      <c r="BN141" s="226"/>
      <c r="BO141" s="226"/>
      <c r="BP141" s="226"/>
      <c r="BQ141" s="226"/>
      <c r="BR141" s="226"/>
      <c r="BS141" s="226"/>
      <c r="BT141" s="226"/>
      <c r="BU141" s="226"/>
      <c r="BV141" s="226"/>
      <c r="BW141" s="226"/>
      <c r="BX141" s="226"/>
      <c r="BY141" s="226"/>
      <c r="BZ141" s="226"/>
      <c r="CA141" s="226"/>
      <c r="CB141" s="226"/>
      <c r="CC141" s="226"/>
      <c r="CD141" s="226"/>
      <c r="CE141" s="226"/>
      <c r="CF141" s="226"/>
      <c r="CG141" s="226"/>
      <c r="CH141" s="226"/>
      <c r="CI141" s="226"/>
      <c r="CJ141" s="226"/>
      <c r="CK141" s="226"/>
      <c r="CL141" s="226"/>
      <c r="CM141" s="226"/>
      <c r="CN141" s="226"/>
      <c r="CO141" s="226"/>
      <c r="CP141" s="226"/>
      <c r="CQ141" s="226"/>
      <c r="CR141" s="226"/>
      <c r="CS141" s="226"/>
      <c r="CT141" s="226"/>
      <c r="CU141" s="226"/>
      <c r="CV141" s="226"/>
      <c r="CW141" s="226"/>
      <c r="CX141" s="226"/>
      <c r="CY141" s="226"/>
      <c r="CZ141" s="226"/>
      <c r="DA141" s="226"/>
      <c r="DB141" s="226"/>
      <c r="DC141" s="226"/>
      <c r="DD141" s="226"/>
      <c r="DE141" s="226"/>
      <c r="DF141" s="226"/>
      <c r="DG141" s="226"/>
      <c r="DH141" s="226"/>
      <c r="DI141" s="226"/>
      <c r="DJ141" s="226"/>
      <c r="DK141" s="226"/>
      <c r="DL141" s="226"/>
      <c r="DM141" s="226"/>
      <c r="DN141" s="226"/>
      <c r="DO141" s="226"/>
      <c r="DP141" s="226"/>
      <c r="DQ141" s="226"/>
      <c r="DR141" s="226"/>
      <c r="DS141" s="226"/>
      <c r="DT141" s="226"/>
      <c r="DU141" s="226"/>
      <c r="DV141" s="226"/>
      <c r="DW141" s="226"/>
      <c r="DX141" s="226"/>
      <c r="DY141" s="226"/>
      <c r="DZ141" s="226"/>
      <c r="EA141" s="226"/>
      <c r="EB141" s="226"/>
      <c r="EC141" s="226"/>
      <c r="ED141" s="226"/>
      <c r="EE141" s="226"/>
      <c r="EF141" s="226"/>
      <c r="EG141" s="226"/>
      <c r="EH141" s="226"/>
      <c r="EI141" s="226"/>
      <c r="EJ141" s="226"/>
      <c r="EK141" s="226"/>
      <c r="EL141" s="226"/>
      <c r="EM141" s="226"/>
      <c r="EN141" s="226"/>
      <c r="EO141" s="226"/>
      <c r="EP141" s="226"/>
      <c r="EQ141" s="226"/>
      <c r="ER141" s="226"/>
      <c r="ES141" s="226"/>
      <c r="ET141" s="226"/>
      <c r="EU141" s="226"/>
      <c r="EV141" s="226"/>
      <c r="EW141" s="226"/>
      <c r="EX141" s="226"/>
      <c r="EY141" s="226"/>
      <c r="EZ141" s="226"/>
      <c r="FA141" s="226"/>
      <c r="FB141" s="226"/>
      <c r="FC141" s="226"/>
      <c r="FD141" s="226"/>
      <c r="FE141" s="226"/>
      <c r="FF141" s="226"/>
      <c r="FG141" s="226"/>
      <c r="FH141" s="226"/>
      <c r="FI141" s="226"/>
      <c r="FJ141" s="226"/>
      <c r="FK141" s="226"/>
      <c r="FL141" s="226"/>
      <c r="FM141" s="226"/>
      <c r="FN141" s="226"/>
      <c r="FO141" s="226"/>
      <c r="FP141" s="226"/>
      <c r="FQ141" s="226"/>
      <c r="FR141" s="226"/>
      <c r="FS141" s="226"/>
      <c r="FT141" s="226"/>
      <c r="FU141" s="226"/>
      <c r="FV141" s="226"/>
      <c r="FW141" s="226"/>
      <c r="FX141" s="226"/>
      <c r="FY141" s="226"/>
      <c r="FZ141" s="226"/>
      <c r="GA141" s="226"/>
      <c r="GB141" s="226"/>
      <c r="GC141" s="226"/>
      <c r="GD141" s="226"/>
      <c r="GE141" s="226"/>
      <c r="GF141" s="226"/>
      <c r="GG141" s="226"/>
    </row>
    <row r="142" spans="1:189" s="129" customFormat="1" ht="20.100000000000001" customHeight="1">
      <c r="A142" s="911"/>
      <c r="B142" s="912"/>
      <c r="C142" s="1080"/>
      <c r="D142" s="1021"/>
      <c r="E142" s="1085" t="s">
        <v>113</v>
      </c>
      <c r="F142" s="1082"/>
      <c r="G142" s="142"/>
      <c r="H142" s="255"/>
      <c r="I142" s="262"/>
      <c r="J142" s="255"/>
    </row>
    <row r="143" spans="1:189" s="129" customFormat="1" ht="15.95" customHeight="1">
      <c r="A143" s="1951" t="e">
        <f>+#REF!</f>
        <v>#REF!</v>
      </c>
      <c r="B143" s="1951"/>
      <c r="C143" s="1951"/>
      <c r="D143" s="1951"/>
      <c r="E143" s="1951"/>
      <c r="F143" s="1951"/>
      <c r="G143" s="142"/>
      <c r="H143" s="255"/>
      <c r="I143" s="262"/>
      <c r="J143" s="255"/>
    </row>
    <row r="144" spans="1:189" s="129" customFormat="1" ht="15.95" customHeight="1">
      <c r="A144" s="896" t="e">
        <f>+#REF!</f>
        <v>#REF!</v>
      </c>
      <c r="B144" s="914" t="e">
        <f>+#REF!</f>
        <v>#REF!</v>
      </c>
      <c r="C144" s="845"/>
      <c r="D144" s="833"/>
      <c r="E144" s="848"/>
      <c r="F144" s="811"/>
      <c r="G144" s="142"/>
      <c r="H144" s="255"/>
      <c r="I144" s="262"/>
      <c r="J144" s="255"/>
    </row>
    <row r="145" spans="1:11" s="129" customFormat="1" ht="15.95" customHeight="1">
      <c r="A145" s="885" t="e">
        <f>+#REF!</f>
        <v>#REF!</v>
      </c>
      <c r="B145" s="886" t="e">
        <f>+#REF!</f>
        <v>#REF!</v>
      </c>
      <c r="C145" s="852" t="s">
        <v>27</v>
      </c>
      <c r="D145" s="852">
        <f>J145</f>
        <v>56</v>
      </c>
      <c r="E145" s="813"/>
      <c r="F145" s="812"/>
      <c r="G145" s="142"/>
      <c r="H145" s="255">
        <f>SUM(F13:F17)/25</f>
        <v>50.8</v>
      </c>
      <c r="I145" s="262">
        <v>1.1000000000000001</v>
      </c>
      <c r="J145" s="255">
        <f>ROUND(H145*I145,0)</f>
        <v>56</v>
      </c>
    </row>
    <row r="146" spans="1:11" s="129" customFormat="1" ht="15.95" customHeight="1">
      <c r="A146" s="910" t="e">
        <f>+#REF!</f>
        <v>#REF!</v>
      </c>
      <c r="B146" s="916" t="e">
        <f>+#REF!</f>
        <v>#REF!</v>
      </c>
      <c r="C146" s="848"/>
      <c r="D146" s="848"/>
      <c r="E146" s="848"/>
      <c r="F146" s="848"/>
      <c r="G146" s="142"/>
      <c r="H146" s="255"/>
      <c r="I146" s="262"/>
      <c r="J146" s="255"/>
    </row>
    <row r="147" spans="1:11" s="129" customFormat="1" ht="15.95" customHeight="1">
      <c r="A147" s="910" t="e">
        <f>+#REF!</f>
        <v>#REF!</v>
      </c>
      <c r="B147" s="931" t="e">
        <f>+#REF!</f>
        <v>#REF!</v>
      </c>
      <c r="C147" s="537" t="s">
        <v>27</v>
      </c>
      <c r="D147" s="388">
        <f>+(45-30)</f>
        <v>15</v>
      </c>
      <c r="E147" s="388"/>
      <c r="F147" s="388"/>
      <c r="G147" s="142"/>
      <c r="H147" s="255"/>
      <c r="I147" s="262"/>
      <c r="J147" s="255"/>
    </row>
    <row r="148" spans="1:11" ht="15.95" customHeight="1">
      <c r="A148" s="910" t="e">
        <f>+#REF!</f>
        <v>#REF!</v>
      </c>
      <c r="B148" s="916" t="e">
        <f>+#REF!</f>
        <v>#REF!</v>
      </c>
      <c r="C148" s="848"/>
      <c r="D148" s="848"/>
      <c r="E148" s="848"/>
      <c r="F148" s="848"/>
    </row>
    <row r="149" spans="1:11" ht="15.95" customHeight="1">
      <c r="A149" s="1099"/>
      <c r="B149" s="924"/>
      <c r="C149" s="840" t="s">
        <v>95</v>
      </c>
      <c r="D149" s="813">
        <f>J149</f>
        <v>5891</v>
      </c>
      <c r="E149" s="813"/>
      <c r="F149" s="813"/>
      <c r="H149" s="255">
        <f>2115+ (2*5+4*2)*3*60</f>
        <v>5355</v>
      </c>
      <c r="I149" s="262">
        <v>1.1000000000000001</v>
      </c>
      <c r="J149" s="255">
        <f>ROUND(H149*I149,0)</f>
        <v>5891</v>
      </c>
    </row>
    <row r="150" spans="1:11" ht="15.95" customHeight="1">
      <c r="A150" s="896" t="e">
        <f>+#REF!</f>
        <v>#REF!</v>
      </c>
      <c r="B150" s="896" t="e">
        <f>+#REF!</f>
        <v>#REF!</v>
      </c>
      <c r="C150" s="845"/>
      <c r="D150" s="848"/>
      <c r="E150" s="848"/>
      <c r="F150" s="848"/>
    </row>
    <row r="151" spans="1:11" ht="15.95" customHeight="1">
      <c r="A151" s="1099"/>
      <c r="B151" s="924"/>
      <c r="C151" s="840" t="s">
        <v>95</v>
      </c>
      <c r="D151" s="813">
        <f>+J151</f>
        <v>501.6</v>
      </c>
      <c r="E151" s="813"/>
      <c r="F151" s="813"/>
      <c r="H151" s="255">
        <f>0.2*20*(20+10)*2+0.2*18*60</f>
        <v>456</v>
      </c>
      <c r="I151" s="262">
        <v>1.1000000000000001</v>
      </c>
      <c r="J151" s="255">
        <f>+H151*I151</f>
        <v>501.6</v>
      </c>
    </row>
    <row r="152" spans="1:11" ht="15.95" customHeight="1">
      <c r="A152" s="896" t="e">
        <f>+#REF!</f>
        <v>#REF!</v>
      </c>
      <c r="B152" s="896" t="e">
        <f>+#REF!</f>
        <v>#REF!</v>
      </c>
      <c r="C152" s="845"/>
      <c r="D152" s="848"/>
      <c r="E152" s="848"/>
      <c r="F152" s="848"/>
      <c r="K152" s="129">
        <f>10*7*2</f>
        <v>140</v>
      </c>
    </row>
    <row r="153" spans="1:11" ht="15.95" customHeight="1">
      <c r="A153" s="1099"/>
      <c r="B153" s="924"/>
      <c r="C153" s="840" t="s">
        <v>618</v>
      </c>
      <c r="D153" s="813">
        <v>1</v>
      </c>
      <c r="E153" s="813"/>
      <c r="F153" s="813"/>
    </row>
    <row r="154" spans="1:11" s="129" customFormat="1" ht="24.75" customHeight="1">
      <c r="A154" s="881"/>
      <c r="B154" s="882"/>
      <c r="C154" s="1080"/>
      <c r="D154" s="1021"/>
      <c r="E154" s="1085" t="s">
        <v>112</v>
      </c>
      <c r="F154" s="1082"/>
      <c r="G154" s="142"/>
      <c r="H154" s="255"/>
      <c r="I154" s="262"/>
      <c r="J154" s="255"/>
    </row>
    <row r="155" spans="1:11" s="129" customFormat="1" ht="12" customHeight="1">
      <c r="A155" s="881"/>
      <c r="B155" s="882"/>
      <c r="C155" s="882"/>
      <c r="D155" s="412"/>
      <c r="E155" s="1100"/>
      <c r="F155" s="1100"/>
      <c r="G155" s="142"/>
      <c r="H155" s="255"/>
      <c r="I155" s="262"/>
      <c r="J155" s="255"/>
    </row>
    <row r="156" spans="1:11" s="129" customFormat="1" ht="25.5" customHeight="1">
      <c r="A156" s="881"/>
      <c r="B156" s="882"/>
      <c r="C156" s="1080"/>
      <c r="D156" s="1021"/>
      <c r="E156" s="1085" t="s">
        <v>330</v>
      </c>
      <c r="F156" s="1101"/>
      <c r="G156" s="142"/>
      <c r="H156" s="255"/>
      <c r="I156" s="262"/>
      <c r="J156" s="255"/>
    </row>
    <row r="157" spans="1:11" s="129" customFormat="1">
      <c r="A157" s="881"/>
      <c r="B157" s="882"/>
      <c r="C157" s="882"/>
      <c r="D157" s="882"/>
      <c r="E157" s="882"/>
      <c r="F157" s="882"/>
      <c r="G157" s="142"/>
      <c r="H157" s="255"/>
      <c r="I157" s="262"/>
      <c r="J157" s="255"/>
    </row>
    <row r="158" spans="1:11" s="129" customFormat="1" ht="25.5" customHeight="1">
      <c r="A158" s="1102"/>
      <c r="B158" s="1056"/>
      <c r="C158" s="1080"/>
      <c r="D158" s="1021"/>
      <c r="E158" s="1085" t="s">
        <v>419</v>
      </c>
      <c r="F158" s="1101">
        <f>F156+F41</f>
        <v>0</v>
      </c>
      <c r="G158" s="149">
        <f>+F158-F39</f>
        <v>0</v>
      </c>
      <c r="H158" s="255"/>
      <c r="I158" s="262"/>
      <c r="J158" s="255"/>
    </row>
    <row r="161" spans="1:48" s="129" customFormat="1">
      <c r="A161" s="1103"/>
      <c r="B161" s="114"/>
      <c r="C161" s="114"/>
      <c r="D161" s="114"/>
      <c r="E161" s="114"/>
      <c r="F161" s="922">
        <v>10307446212.858688</v>
      </c>
      <c r="G161" s="375">
        <v>6511359627.1130943</v>
      </c>
      <c r="H161" s="255"/>
      <c r="I161" s="262"/>
      <c r="J161" s="255"/>
    </row>
    <row r="163" spans="1:48" s="129" customFormat="1">
      <c r="A163" s="1103"/>
      <c r="B163" s="114"/>
      <c r="C163" s="114"/>
      <c r="D163" s="114"/>
      <c r="E163" s="114"/>
      <c r="F163" s="114"/>
      <c r="G163" s="375">
        <f>+F158-G161</f>
        <v>-6511359627.1130943</v>
      </c>
      <c r="H163" s="255"/>
      <c r="I163" s="262"/>
      <c r="J163" s="255">
        <f>18500*17</f>
        <v>314500</v>
      </c>
    </row>
    <row r="167" spans="1:48" s="129" customFormat="1">
      <c r="A167" s="1103"/>
      <c r="B167" s="114"/>
      <c r="C167" s="114"/>
      <c r="D167" s="114"/>
      <c r="E167" s="114"/>
      <c r="F167" s="114"/>
      <c r="G167" s="142"/>
      <c r="H167" s="255"/>
      <c r="I167" s="262"/>
      <c r="J167" s="255"/>
      <c r="AV167" s="129">
        <v>46200</v>
      </c>
    </row>
    <row r="168" spans="1:48" s="129" customFormat="1" ht="19.5">
      <c r="A168" s="1104"/>
      <c r="B168" s="114"/>
      <c r="C168" s="114"/>
      <c r="D168" s="424"/>
      <c r="E168" s="424"/>
      <c r="F168" s="941"/>
      <c r="G168" s="142"/>
      <c r="H168" s="255"/>
      <c r="I168" s="262"/>
      <c r="J168" s="255"/>
    </row>
    <row r="169" spans="1:48" s="129" customFormat="1" ht="26.25">
      <c r="A169" s="1103"/>
      <c r="B169" s="1915"/>
      <c r="C169" s="1915"/>
      <c r="D169" s="1915"/>
      <c r="E169" s="1915"/>
      <c r="F169" s="1915"/>
      <c r="G169" s="142"/>
      <c r="H169" s="255"/>
      <c r="I169" s="262"/>
      <c r="J169" s="255"/>
    </row>
    <row r="182" spans="5:5">
      <c r="E182" s="114">
        <f>18500*17</f>
        <v>314500</v>
      </c>
    </row>
  </sheetData>
  <mergeCells count="11">
    <mergeCell ref="A106:F106"/>
    <mergeCell ref="A143:F143"/>
    <mergeCell ref="B169:F169"/>
    <mergeCell ref="A18:B18"/>
    <mergeCell ref="C18:F18"/>
    <mergeCell ref="A76:F76"/>
    <mergeCell ref="A1:F1"/>
    <mergeCell ref="A2:F2"/>
    <mergeCell ref="A26:F26"/>
    <mergeCell ref="A42:F42"/>
    <mergeCell ref="A66:F66"/>
  </mergeCells>
  <pageMargins left="0.70866141732283472" right="0.51181102362204722" top="0.74803149606299213" bottom="0.74803149606299213" header="0.31496062992125984" footer="0.31496062992125984"/>
  <pageSetup paperSize="9" scale="95" orientation="landscape" r:id="rId1"/>
  <headerFooter>
    <oddHeader>Page &amp;P de &amp;N</oddHeader>
    <oddFooter>&amp;A</oddFooter>
  </headerFooter>
  <rowBreaks count="4" manualBreakCount="4">
    <brk id="41" max="5" man="1"/>
    <brk id="75" max="5" man="1"/>
    <brk id="110" max="5" man="1"/>
    <brk id="145" max="5" man="1"/>
  </rowBreaks>
  <colBreaks count="1" manualBreakCount="1">
    <brk id="6" max="1048575" man="1"/>
  </colBreaks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theme="7" tint="-0.249977111117893"/>
  </sheetPr>
  <dimension ref="A1:I40"/>
  <sheetViews>
    <sheetView workbookViewId="0"/>
  </sheetViews>
  <sheetFormatPr baseColWidth="10" defaultColWidth="9.140625" defaultRowHeight="15"/>
  <cols>
    <col min="1" max="1" width="8.42578125" style="142" customWidth="1"/>
    <col min="2" max="2" width="4.42578125" style="142" customWidth="1"/>
    <col min="3" max="3" width="53.28515625" style="142" customWidth="1"/>
    <col min="4" max="4" width="10.85546875" style="142" customWidth="1"/>
    <col min="5" max="5" width="15.42578125" style="142" customWidth="1"/>
    <col min="6" max="6" width="17.140625" style="142" customWidth="1"/>
    <col min="7" max="7" width="26.140625" style="142" customWidth="1"/>
    <col min="8" max="8" width="17.28515625" style="142" customWidth="1"/>
    <col min="9" max="9" width="25.7109375" style="142" customWidth="1"/>
    <col min="10" max="16384" width="9.140625" style="142"/>
  </cols>
  <sheetData>
    <row r="1" spans="1:9" ht="20.25" thickBot="1">
      <c r="A1" s="90" t="s">
        <v>105</v>
      </c>
      <c r="G1" s="62"/>
      <c r="H1" s="62"/>
      <c r="I1" s="99"/>
    </row>
    <row r="2" spans="1:9" ht="25.5" thickBot="1">
      <c r="A2" s="1860" t="s">
        <v>356</v>
      </c>
      <c r="B2" s="1861"/>
      <c r="C2" s="1861"/>
      <c r="D2" s="1861"/>
      <c r="E2" s="1861"/>
      <c r="F2" s="1861"/>
      <c r="G2" s="1862"/>
      <c r="H2" s="135"/>
      <c r="I2" s="135"/>
    </row>
    <row r="4" spans="1:9">
      <c r="F4" s="99" t="s">
        <v>177</v>
      </c>
      <c r="G4" s="136" t="e">
        <f>Mbis!#REF!</f>
        <v>#REF!</v>
      </c>
    </row>
    <row r="5" spans="1:9">
      <c r="F5" s="99" t="s">
        <v>176</v>
      </c>
      <c r="G5" s="136" t="e">
        <f>Mbis!#REF!</f>
        <v>#REF!</v>
      </c>
    </row>
    <row r="6" spans="1:9">
      <c r="F6" s="99" t="s">
        <v>198</v>
      </c>
      <c r="G6" s="136" t="e">
        <f>Mbis!#REF!</f>
        <v>#REF!</v>
      </c>
    </row>
    <row r="7" spans="1:9">
      <c r="F7" s="99" t="s">
        <v>197</v>
      </c>
      <c r="G7" s="136" t="e">
        <f>Mbis!#REF!</f>
        <v>#REF!</v>
      </c>
    </row>
    <row r="8" spans="1:9">
      <c r="F8" s="99" t="s">
        <v>277</v>
      </c>
      <c r="G8" s="136" t="e">
        <f>Mbis!#REF!</f>
        <v>#REF!</v>
      </c>
    </row>
    <row r="9" spans="1:9" ht="22.5" customHeight="1">
      <c r="A9" s="1" t="s">
        <v>166</v>
      </c>
      <c r="B9" s="2"/>
      <c r="C9" s="3"/>
      <c r="D9" s="52" t="s">
        <v>98</v>
      </c>
      <c r="E9" s="70" t="s">
        <v>99</v>
      </c>
      <c r="F9" s="71" t="s">
        <v>100</v>
      </c>
      <c r="G9" s="71" t="s">
        <v>114</v>
      </c>
    </row>
    <row r="10" spans="1:9" ht="15.75">
      <c r="A10" s="4" t="s">
        <v>0</v>
      </c>
      <c r="B10" s="5"/>
      <c r="C10" s="6" t="s">
        <v>168</v>
      </c>
      <c r="D10" s="158"/>
      <c r="E10" s="159"/>
      <c r="F10" s="160"/>
      <c r="G10" s="161"/>
    </row>
    <row r="11" spans="1:9" ht="15.75">
      <c r="A11" s="4" t="s">
        <v>167</v>
      </c>
      <c r="B11" s="5"/>
      <c r="C11" s="12" t="s">
        <v>171</v>
      </c>
      <c r="D11" s="162" t="s">
        <v>94</v>
      </c>
      <c r="E11" s="163" t="e">
        <f>G4</f>
        <v>#REF!</v>
      </c>
      <c r="F11" s="164">
        <f>'[3]BPU préf'!E8</f>
        <v>11000</v>
      </c>
      <c r="G11" s="164" t="e">
        <f>E11*F11</f>
        <v>#REF!</v>
      </c>
    </row>
    <row r="12" spans="1:9" ht="15.75">
      <c r="A12" s="22" t="s">
        <v>169</v>
      </c>
      <c r="B12" s="30"/>
      <c r="C12" s="24" t="s">
        <v>170</v>
      </c>
      <c r="D12" s="165" t="s">
        <v>94</v>
      </c>
      <c r="E12" s="166" t="e">
        <f>G5</f>
        <v>#REF!</v>
      </c>
      <c r="F12" s="167">
        <f>'[3]BPU préf'!E9</f>
        <v>9300</v>
      </c>
      <c r="G12" s="167" t="e">
        <f>E12*F12</f>
        <v>#REF!</v>
      </c>
    </row>
    <row r="13" spans="1:9" ht="18.75">
      <c r="A13" s="110"/>
      <c r="B13" s="5"/>
      <c r="C13" s="12"/>
      <c r="D13" s="95"/>
      <c r="E13" s="92"/>
      <c r="F13" s="93" t="s">
        <v>106</v>
      </c>
      <c r="G13" s="94" t="e">
        <f>SUM(G11:G12)</f>
        <v>#REF!</v>
      </c>
    </row>
    <row r="14" spans="1:9" ht="15.75">
      <c r="A14" s="10"/>
      <c r="B14" s="11"/>
      <c r="C14" s="12"/>
      <c r="D14" s="51"/>
      <c r="E14" s="12"/>
      <c r="F14" s="51"/>
      <c r="G14" s="121"/>
    </row>
    <row r="15" spans="1:9" ht="22.5" customHeight="1">
      <c r="A15" s="1" t="s">
        <v>175</v>
      </c>
      <c r="B15" s="2"/>
      <c r="C15" s="3"/>
      <c r="D15" s="52" t="s">
        <v>98</v>
      </c>
      <c r="E15" s="70" t="s">
        <v>99</v>
      </c>
      <c r="F15" s="71" t="s">
        <v>100</v>
      </c>
      <c r="G15" s="71" t="s">
        <v>114</v>
      </c>
    </row>
    <row r="16" spans="1:9" ht="15.75">
      <c r="A16" s="41">
        <v>201</v>
      </c>
      <c r="B16" s="42"/>
      <c r="C16" s="43" t="s">
        <v>199</v>
      </c>
      <c r="D16" s="170" t="s">
        <v>1</v>
      </c>
      <c r="E16" s="171" t="e">
        <f>G7</f>
        <v>#REF!</v>
      </c>
      <c r="F16" s="172">
        <f>'[3]BPU préf'!E12</f>
        <v>7514</v>
      </c>
      <c r="G16" s="173" t="e">
        <f>E16*F16</f>
        <v>#REF!</v>
      </c>
    </row>
    <row r="17" spans="1:7" ht="15.75">
      <c r="A17" s="17">
        <v>202</v>
      </c>
      <c r="B17" s="5"/>
      <c r="C17" s="26" t="s">
        <v>200</v>
      </c>
      <c r="D17" s="272" t="s">
        <v>1</v>
      </c>
      <c r="E17" s="273" t="e">
        <f>+G6</f>
        <v>#REF!</v>
      </c>
      <c r="F17" s="274">
        <f>'[3]BPU préf'!E13</f>
        <v>5700</v>
      </c>
      <c r="G17" s="164" t="e">
        <f>E17*F17</f>
        <v>#REF!</v>
      </c>
    </row>
    <row r="18" spans="1:7" ht="15.75">
      <c r="A18" s="36">
        <v>203</v>
      </c>
      <c r="B18" s="30"/>
      <c r="C18" s="169" t="s">
        <v>246</v>
      </c>
      <c r="D18" s="168" t="s">
        <v>1</v>
      </c>
      <c r="E18" s="174" t="e">
        <f>G8</f>
        <v>#REF!</v>
      </c>
      <c r="F18" s="147">
        <f>'BPU préf'!E16</f>
        <v>6315</v>
      </c>
      <c r="G18" s="167" t="e">
        <f>E18*F18</f>
        <v>#REF!</v>
      </c>
    </row>
    <row r="19" spans="1:7" ht="18.75">
      <c r="A19" s="10"/>
      <c r="B19" s="21"/>
      <c r="C19" s="12"/>
      <c r="D19" s="157"/>
      <c r="E19" s="130"/>
      <c r="F19" s="131" t="s">
        <v>111</v>
      </c>
      <c r="G19" s="132" t="e">
        <f>SUM(G16:G18)</f>
        <v>#REF!</v>
      </c>
    </row>
    <row r="21" spans="1:7" ht="25.5" customHeight="1">
      <c r="D21" s="95"/>
      <c r="E21" s="92"/>
      <c r="F21" s="93" t="s">
        <v>172</v>
      </c>
      <c r="G21" s="94" t="e">
        <f>+G13+G19</f>
        <v>#REF!</v>
      </c>
    </row>
    <row r="40" spans="3:3">
      <c r="C40" s="149"/>
    </row>
  </sheetData>
  <mergeCells count="1">
    <mergeCell ref="A2:G2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7030A0"/>
  </sheetPr>
  <dimension ref="A1:I42"/>
  <sheetViews>
    <sheetView topLeftCell="A10" workbookViewId="0">
      <selection sqref="A1:E1"/>
    </sheetView>
  </sheetViews>
  <sheetFormatPr baseColWidth="10" defaultColWidth="9.140625" defaultRowHeight="15"/>
  <cols>
    <col min="1" max="1" width="8.42578125" style="142" customWidth="1"/>
    <col min="2" max="2" width="4.42578125" style="142" customWidth="1"/>
    <col min="3" max="3" width="68.42578125" style="142" customWidth="1"/>
    <col min="4" max="4" width="10.85546875" style="142" customWidth="1"/>
    <col min="5" max="5" width="15.42578125" style="142" customWidth="1"/>
    <col min="6" max="6" width="17.140625" style="142" customWidth="1"/>
    <col min="7" max="7" width="26.140625" style="142" customWidth="1"/>
    <col min="8" max="8" width="17.28515625" style="142" customWidth="1"/>
    <col min="9" max="9" width="25.7109375" style="142" customWidth="1"/>
    <col min="10" max="16384" width="9.140625" style="142"/>
  </cols>
  <sheetData>
    <row r="1" spans="1:9" ht="20.25" thickBot="1">
      <c r="A1" s="90" t="s">
        <v>105</v>
      </c>
      <c r="G1" s="62"/>
      <c r="H1" s="62"/>
      <c r="I1" s="99"/>
    </row>
    <row r="2" spans="1:9" ht="25.5" thickBot="1">
      <c r="A2" s="1860" t="s">
        <v>499</v>
      </c>
      <c r="B2" s="1861"/>
      <c r="C2" s="1861"/>
      <c r="D2" s="1861"/>
      <c r="E2" s="1861"/>
      <c r="F2" s="1861"/>
      <c r="G2" s="1862"/>
      <c r="H2" s="135"/>
      <c r="I2" s="135"/>
    </row>
    <row r="4" spans="1:9">
      <c r="F4" s="99" t="s">
        <v>177</v>
      </c>
      <c r="G4" s="136">
        <f>'Zb 3'!D90</f>
        <v>17580.684000000001</v>
      </c>
    </row>
    <row r="5" spans="1:9">
      <c r="F5" s="99" t="s">
        <v>176</v>
      </c>
      <c r="G5" s="136">
        <f>'Zb 3'!D91</f>
        <v>10241.748000000001</v>
      </c>
    </row>
    <row r="6" spans="1:9">
      <c r="F6" s="99" t="s">
        <v>198</v>
      </c>
      <c r="G6" s="136">
        <f>'Zb 3'!D100</f>
        <v>208.89000000000001</v>
      </c>
    </row>
    <row r="7" spans="1:9">
      <c r="F7" s="99" t="s">
        <v>197</v>
      </c>
      <c r="G7" s="136">
        <f>'Zb 3'!D99</f>
        <v>1392.6000000000001</v>
      </c>
    </row>
    <row r="8" spans="1:9">
      <c r="F8" s="99" t="s">
        <v>277</v>
      </c>
      <c r="G8" s="136">
        <f>+'Zb 3'!D101</f>
        <v>0</v>
      </c>
    </row>
    <row r="9" spans="1:9">
      <c r="F9" s="394" t="s">
        <v>552</v>
      </c>
      <c r="G9" s="136">
        <f>+'Zb 3'!D102</f>
        <v>2250.6000000000004</v>
      </c>
    </row>
    <row r="10" spans="1:9" ht="22.5" customHeight="1">
      <c r="A10" s="1" t="s">
        <v>166</v>
      </c>
      <c r="B10" s="2"/>
      <c r="C10" s="3"/>
      <c r="D10" s="52" t="s">
        <v>98</v>
      </c>
      <c r="E10" s="70" t="s">
        <v>99</v>
      </c>
      <c r="F10" s="71" t="s">
        <v>100</v>
      </c>
      <c r="G10" s="71" t="s">
        <v>114</v>
      </c>
    </row>
    <row r="11" spans="1:9" ht="15.75">
      <c r="A11" s="4" t="s">
        <v>0</v>
      </c>
      <c r="B11" s="5"/>
      <c r="C11" s="6" t="s">
        <v>168</v>
      </c>
      <c r="D11" s="158"/>
      <c r="E11" s="159"/>
      <c r="F11" s="160"/>
      <c r="G11" s="161"/>
    </row>
    <row r="12" spans="1:9" ht="15.75">
      <c r="A12" s="4" t="s">
        <v>167</v>
      </c>
      <c r="B12" s="5"/>
      <c r="C12" s="12" t="s">
        <v>171</v>
      </c>
      <c r="D12" s="162" t="s">
        <v>94</v>
      </c>
      <c r="E12" s="163">
        <f>G4</f>
        <v>17580.684000000001</v>
      </c>
      <c r="F12" s="164">
        <f>'[3]BPU préf'!E8</f>
        <v>11000</v>
      </c>
      <c r="G12" s="164">
        <f>E12*F12</f>
        <v>193387524</v>
      </c>
    </row>
    <row r="13" spans="1:9" ht="15.75">
      <c r="A13" s="22" t="s">
        <v>169</v>
      </c>
      <c r="B13" s="30"/>
      <c r="C13" s="24" t="s">
        <v>170</v>
      </c>
      <c r="D13" s="165" t="s">
        <v>94</v>
      </c>
      <c r="E13" s="166">
        <f>G5</f>
        <v>10241.748000000001</v>
      </c>
      <c r="F13" s="167">
        <f>'[3]BPU préf'!E9</f>
        <v>9300</v>
      </c>
      <c r="G13" s="167">
        <f>E13*F13</f>
        <v>95248256.400000006</v>
      </c>
    </row>
    <row r="14" spans="1:9" ht="18.75">
      <c r="A14" s="110"/>
      <c r="B14" s="5"/>
      <c r="C14" s="12"/>
      <c r="D14" s="95"/>
      <c r="E14" s="92"/>
      <c r="F14" s="93" t="s">
        <v>106</v>
      </c>
      <c r="G14" s="94">
        <f>SUM(G12:G13)</f>
        <v>288635780.39999998</v>
      </c>
    </row>
    <row r="15" spans="1:9" ht="15.75">
      <c r="A15" s="10"/>
      <c r="B15" s="11"/>
      <c r="C15" s="12"/>
      <c r="D15" s="51"/>
      <c r="E15" s="12"/>
      <c r="F15" s="51"/>
      <c r="G15" s="121"/>
    </row>
    <row r="16" spans="1:9" ht="22.5" customHeight="1">
      <c r="A16" s="1" t="s">
        <v>175</v>
      </c>
      <c r="B16" s="2"/>
      <c r="C16" s="3"/>
      <c r="D16" s="52" t="s">
        <v>98</v>
      </c>
      <c r="E16" s="70" t="s">
        <v>99</v>
      </c>
      <c r="F16" s="71" t="s">
        <v>100</v>
      </c>
      <c r="G16" s="71" t="s">
        <v>114</v>
      </c>
    </row>
    <row r="17" spans="1:7" ht="15.75">
      <c r="A17" s="41">
        <v>201</v>
      </c>
      <c r="B17" s="42"/>
      <c r="C17" s="43" t="s">
        <v>199</v>
      </c>
      <c r="D17" s="170" t="s">
        <v>1</v>
      </c>
      <c r="E17" s="171">
        <f>G7</f>
        <v>1392.6000000000001</v>
      </c>
      <c r="F17" s="147">
        <f>'BPU préf'!E14</f>
        <v>7514</v>
      </c>
      <c r="G17" s="173">
        <f>E17*F17</f>
        <v>10463996.4</v>
      </c>
    </row>
    <row r="18" spans="1:7" ht="15.75">
      <c r="A18" s="17">
        <v>202</v>
      </c>
      <c r="B18" s="5"/>
      <c r="C18" s="26" t="s">
        <v>200</v>
      </c>
      <c r="D18" s="272" t="s">
        <v>1</v>
      </c>
      <c r="E18" s="273">
        <f>+G6</f>
        <v>208.89000000000001</v>
      </c>
      <c r="F18" s="147">
        <f>'BPU préf'!E15</f>
        <v>5700</v>
      </c>
      <c r="G18" s="164">
        <f>E18*F18</f>
        <v>1190673</v>
      </c>
    </row>
    <row r="19" spans="1:7" ht="15.75">
      <c r="A19" s="36">
        <v>203</v>
      </c>
      <c r="B19" s="30"/>
      <c r="C19" s="169" t="s">
        <v>246</v>
      </c>
      <c r="D19" s="168" t="s">
        <v>1</v>
      </c>
      <c r="E19" s="174">
        <f>G8</f>
        <v>0</v>
      </c>
      <c r="F19" s="147">
        <f>'BPU préf'!E16</f>
        <v>6315</v>
      </c>
      <c r="G19" s="167">
        <f>E19*F19</f>
        <v>0</v>
      </c>
    </row>
    <row r="20" spans="1:7" ht="15.75">
      <c r="A20" s="17">
        <v>204</v>
      </c>
      <c r="B20" s="5"/>
      <c r="C20" s="169" t="s">
        <v>547</v>
      </c>
      <c r="D20" s="168" t="s">
        <v>1</v>
      </c>
      <c r="E20" s="174">
        <f>G9</f>
        <v>2250.6000000000004</v>
      </c>
      <c r="F20" s="147">
        <f>'BPU préf'!E17</f>
        <v>13829</v>
      </c>
      <c r="G20" s="167">
        <f>E20*F20</f>
        <v>31123547.400000006</v>
      </c>
    </row>
    <row r="21" spans="1:7" ht="18.75">
      <c r="A21" s="10"/>
      <c r="B21" s="21"/>
      <c r="C21" s="12"/>
      <c r="D21" s="157"/>
      <c r="E21" s="130"/>
      <c r="F21" s="131" t="s">
        <v>111</v>
      </c>
      <c r="G21" s="132">
        <f>SUM(G17:G20)</f>
        <v>42778216.800000004</v>
      </c>
    </row>
    <row r="23" spans="1:7" ht="25.5" customHeight="1">
      <c r="D23" s="95"/>
      <c r="E23" s="92"/>
      <c r="F23" s="93" t="s">
        <v>172</v>
      </c>
      <c r="G23" s="94">
        <f>+G14+G21</f>
        <v>331413997.19999999</v>
      </c>
    </row>
    <row r="42" spans="3:3">
      <c r="C42" s="149"/>
    </row>
  </sheetData>
  <mergeCells count="1">
    <mergeCell ref="A2:G2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theme="1" tint="4.9989318521683403E-2"/>
  </sheetPr>
  <dimension ref="B1:F7"/>
  <sheetViews>
    <sheetView workbookViewId="0"/>
  </sheetViews>
  <sheetFormatPr baseColWidth="10" defaultColWidth="9.140625" defaultRowHeight="15"/>
  <cols>
    <col min="1" max="1" width="9.140625" style="142"/>
    <col min="2" max="2" width="5.42578125" style="142" customWidth="1"/>
    <col min="3" max="3" width="20.28515625" style="142" customWidth="1"/>
    <col min="4" max="4" width="30.7109375" style="142" customWidth="1"/>
    <col min="5" max="5" width="16.7109375" style="142" customWidth="1"/>
    <col min="6" max="10" width="9.140625" style="142"/>
    <col min="11" max="11" width="20.5703125" style="142" customWidth="1"/>
    <col min="12" max="16384" width="9.140625" style="142"/>
  </cols>
  <sheetData>
    <row r="1" spans="2:6" ht="19.5">
      <c r="B1" s="90" t="s">
        <v>357</v>
      </c>
    </row>
    <row r="3" spans="2:6" ht="18.75">
      <c r="C3" s="1872" t="s">
        <v>217</v>
      </c>
      <c r="D3" s="509" t="s">
        <v>291</v>
      </c>
      <c r="E3" s="509" t="s">
        <v>232</v>
      </c>
      <c r="F3" s="100"/>
    </row>
    <row r="4" spans="2:6" ht="18.75">
      <c r="C4" s="1873"/>
      <c r="D4" s="509" t="s">
        <v>607</v>
      </c>
      <c r="E4" s="509" t="s">
        <v>231</v>
      </c>
    </row>
    <row r="5" spans="2:6">
      <c r="C5" s="379" t="s">
        <v>215</v>
      </c>
      <c r="D5" s="101" t="e">
        <f>Mbis!F168</f>
        <v>#REF!</v>
      </c>
      <c r="E5" s="101" t="e">
        <f>D5/656</f>
        <v>#REF!</v>
      </c>
    </row>
    <row r="6" spans="2:6">
      <c r="C6" s="379" t="s">
        <v>216</v>
      </c>
      <c r="D6" s="101" t="e">
        <f>'Préf M'!G21</f>
        <v>#REF!</v>
      </c>
      <c r="E6" s="101" t="e">
        <f>D6/656</f>
        <v>#REF!</v>
      </c>
    </row>
    <row r="7" spans="2:6" ht="18.75">
      <c r="C7" s="380" t="s">
        <v>218</v>
      </c>
      <c r="D7" s="377" t="e">
        <f>SUM(D5:D6)</f>
        <v>#REF!</v>
      </c>
      <c r="E7" s="378" t="e">
        <f>D7/656</f>
        <v>#REF!</v>
      </c>
    </row>
  </sheetData>
  <mergeCells count="1">
    <mergeCell ref="C3:C4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rgb="FFFFFF00"/>
  </sheetPr>
  <dimension ref="A1:GG178"/>
  <sheetViews>
    <sheetView topLeftCell="A141" zoomScale="80" zoomScaleNormal="80" workbookViewId="0">
      <selection activeCell="F170" sqref="F170"/>
    </sheetView>
  </sheetViews>
  <sheetFormatPr baseColWidth="10" defaultColWidth="9.140625" defaultRowHeight="15"/>
  <cols>
    <col min="1" max="1" width="13.5703125" style="1108" customWidth="1"/>
    <col min="2" max="2" width="94" style="114" customWidth="1"/>
    <col min="3" max="3" width="12" style="1057" customWidth="1"/>
    <col min="4" max="4" width="15.5703125" style="940" customWidth="1"/>
    <col min="5" max="5" width="19.42578125" style="257" customWidth="1"/>
    <col min="6" max="6" width="25" style="257" customWidth="1"/>
    <col min="7" max="7" width="13.42578125" style="255" customWidth="1"/>
    <col min="8" max="8" width="16" style="255" bestFit="1" customWidth="1"/>
    <col min="9" max="9" width="15" style="262" bestFit="1" customWidth="1"/>
    <col min="10" max="10" width="16" style="255" bestFit="1" customWidth="1"/>
    <col min="11" max="11" width="9.140625" style="129"/>
    <col min="12" max="12" width="9.28515625" style="129" bestFit="1" customWidth="1"/>
    <col min="13" max="189" width="9.140625" style="129"/>
    <col min="190" max="16384" width="9.140625" style="142"/>
  </cols>
  <sheetData>
    <row r="1" spans="1:21" ht="20.25" thickBot="1">
      <c r="A1" s="1912" t="e">
        <f>+#REF!</f>
        <v>#REF!</v>
      </c>
      <c r="B1" s="1913"/>
      <c r="C1" s="1913"/>
      <c r="D1" s="1913"/>
      <c r="E1" s="1913"/>
      <c r="F1" s="1914"/>
      <c r="K1" s="255"/>
      <c r="L1" s="262"/>
      <c r="M1" s="255"/>
      <c r="N1" s="255"/>
      <c r="O1" s="262"/>
      <c r="P1" s="255"/>
      <c r="Q1" s="255"/>
      <c r="R1" s="262"/>
      <c r="S1" s="255"/>
      <c r="T1" s="255"/>
      <c r="U1" s="262"/>
    </row>
    <row r="2" spans="1:21" ht="24.75">
      <c r="A2" s="1930" t="s">
        <v>668</v>
      </c>
      <c r="B2" s="1955"/>
      <c r="C2" s="1955"/>
      <c r="D2" s="1955"/>
      <c r="E2" s="1955"/>
      <c r="F2" s="1956"/>
      <c r="G2" s="471"/>
      <c r="K2" s="255"/>
      <c r="L2" s="262"/>
      <c r="M2" s="255"/>
      <c r="N2" s="255"/>
      <c r="O2" s="262"/>
      <c r="P2" s="255"/>
      <c r="Q2" s="255"/>
      <c r="R2" s="262"/>
      <c r="S2" s="255"/>
      <c r="T2" s="255"/>
      <c r="U2" s="262"/>
    </row>
    <row r="3" spans="1:21" s="129" customFormat="1" ht="15.75">
      <c r="A3" s="1653"/>
      <c r="B3" s="1654"/>
      <c r="C3" s="1655"/>
      <c r="D3" s="1655"/>
      <c r="E3" s="1656" t="s">
        <v>596</v>
      </c>
      <c r="F3" s="1657">
        <f>1200-575</f>
        <v>625</v>
      </c>
      <c r="G3" s="255"/>
      <c r="H3" s="255" t="s">
        <v>599</v>
      </c>
      <c r="I3" s="262">
        <f>+F3+F4+F5+F6+F7</f>
        <v>1749</v>
      </c>
      <c r="J3" s="255"/>
      <c r="K3" s="255"/>
      <c r="L3" s="262"/>
      <c r="M3" s="255"/>
      <c r="N3" s="255"/>
      <c r="O3" s="262"/>
      <c r="P3" s="255"/>
      <c r="Q3" s="255"/>
      <c r="R3" s="262"/>
      <c r="S3" s="255"/>
      <c r="T3" s="255"/>
      <c r="U3" s="262"/>
    </row>
    <row r="4" spans="1:21" s="129" customFormat="1" ht="15.75">
      <c r="A4" s="1068"/>
      <c r="B4" s="926"/>
      <c r="C4" s="1262"/>
      <c r="D4" s="1262"/>
      <c r="E4" s="1263" t="s">
        <v>597</v>
      </c>
      <c r="F4" s="1658">
        <f>1550-1200</f>
        <v>350</v>
      </c>
      <c r="G4" s="255"/>
      <c r="H4" s="255"/>
      <c r="I4" s="262"/>
      <c r="J4" s="255"/>
      <c r="K4" s="255"/>
      <c r="L4" s="262"/>
      <c r="M4" s="255"/>
      <c r="N4" s="255"/>
      <c r="O4" s="262"/>
      <c r="P4" s="255"/>
      <c r="Q4" s="255"/>
      <c r="R4" s="262"/>
      <c r="S4" s="255"/>
      <c r="T4" s="255"/>
      <c r="U4" s="262"/>
    </row>
    <row r="5" spans="1:21" s="129" customFormat="1" ht="15.75">
      <c r="A5" s="1068"/>
      <c r="B5" s="926"/>
      <c r="C5" s="1262"/>
      <c r="D5" s="1262"/>
      <c r="E5" s="1263" t="s">
        <v>598</v>
      </c>
      <c r="F5" s="1658">
        <f>2020-1550</f>
        <v>470</v>
      </c>
      <c r="G5" s="255"/>
      <c r="H5" s="255"/>
      <c r="I5" s="262"/>
      <c r="J5" s="255"/>
      <c r="K5" s="255"/>
      <c r="L5" s="262"/>
      <c r="M5" s="255"/>
      <c r="N5" s="255"/>
      <c r="O5" s="262"/>
      <c r="P5" s="255"/>
      <c r="Q5" s="255"/>
      <c r="R5" s="262"/>
      <c r="S5" s="255"/>
      <c r="T5" s="255"/>
      <c r="U5" s="262"/>
    </row>
    <row r="6" spans="1:21" s="129" customFormat="1" ht="15.95" customHeight="1">
      <c r="A6" s="1068"/>
      <c r="B6" s="926"/>
      <c r="C6" s="1262"/>
      <c r="D6" s="1262"/>
      <c r="E6" s="1263" t="s">
        <v>329</v>
      </c>
      <c r="F6" s="1658">
        <f>420*0</f>
        <v>0</v>
      </c>
      <c r="G6" s="255" t="s">
        <v>328</v>
      </c>
      <c r="H6" s="255"/>
      <c r="I6" s="262" t="s">
        <v>496</v>
      </c>
      <c r="J6" s="255"/>
      <c r="K6" s="255">
        <v>650</v>
      </c>
      <c r="L6" s="262"/>
      <c r="M6" s="255"/>
      <c r="N6" s="255"/>
      <c r="O6" s="262"/>
      <c r="P6" s="255"/>
      <c r="Q6" s="255"/>
      <c r="R6" s="262"/>
      <c r="S6" s="255"/>
      <c r="T6" s="255"/>
      <c r="U6" s="262"/>
    </row>
    <row r="7" spans="1:21" s="129" customFormat="1" ht="15.75">
      <c r="A7" s="1068"/>
      <c r="B7" s="926"/>
      <c r="C7" s="1262"/>
      <c r="D7" s="1262"/>
      <c r="E7" s="1263" t="s">
        <v>333</v>
      </c>
      <c r="F7" s="1658">
        <f>(38*20)*0.4</f>
        <v>304</v>
      </c>
      <c r="G7" s="255" t="s">
        <v>497</v>
      </c>
      <c r="H7" s="255"/>
      <c r="I7" s="262">
        <f>840/30</f>
        <v>28</v>
      </c>
      <c r="J7" s="255"/>
      <c r="K7" s="255"/>
      <c r="L7" s="262"/>
      <c r="M7" s="255"/>
      <c r="N7" s="255"/>
      <c r="O7" s="262"/>
      <c r="P7" s="255"/>
      <c r="Q7" s="255"/>
      <c r="R7" s="262"/>
      <c r="S7" s="255"/>
      <c r="T7" s="255"/>
      <c r="U7" s="262"/>
    </row>
    <row r="8" spans="1:21" s="129" customFormat="1" ht="15.75" hidden="1">
      <c r="A8" s="1068"/>
      <c r="B8" s="926"/>
      <c r="C8" s="1262"/>
      <c r="D8" s="1262"/>
      <c r="E8" s="1263" t="s">
        <v>517</v>
      </c>
      <c r="F8" s="1658"/>
      <c r="G8" s="255"/>
      <c r="H8" s="255"/>
      <c r="I8" s="262" t="s">
        <v>393</v>
      </c>
      <c r="J8" s="255"/>
      <c r="K8" s="255"/>
      <c r="L8" s="262" t="s">
        <v>665</v>
      </c>
      <c r="M8" s="255" t="s">
        <v>664</v>
      </c>
      <c r="N8" s="255"/>
      <c r="O8" s="262" t="s">
        <v>666</v>
      </c>
      <c r="P8" s="255"/>
      <c r="Q8" s="255"/>
      <c r="R8" s="262"/>
      <c r="S8" s="255"/>
      <c r="T8" s="255"/>
      <c r="U8" s="262"/>
    </row>
    <row r="9" spans="1:21" s="129" customFormat="1" ht="15.75">
      <c r="A9" s="1068"/>
      <c r="B9" s="926"/>
      <c r="C9" s="1262"/>
      <c r="D9" s="1262"/>
      <c r="E9" s="1263" t="s">
        <v>518</v>
      </c>
      <c r="F9" s="1658">
        <f>670*0</f>
        <v>0</v>
      </c>
      <c r="G9" s="255" t="s">
        <v>328</v>
      </c>
      <c r="H9" s="255"/>
      <c r="I9" s="262">
        <v>20</v>
      </c>
      <c r="J9" s="255"/>
      <c r="K9" s="255"/>
      <c r="L9" s="262">
        <v>11</v>
      </c>
      <c r="M9" s="255">
        <f>+F9*L9</f>
        <v>0</v>
      </c>
      <c r="N9" s="255"/>
      <c r="O9" s="262">
        <v>3</v>
      </c>
      <c r="P9" s="255">
        <f>+F9*O9*2</f>
        <v>0</v>
      </c>
      <c r="Q9" s="255"/>
      <c r="R9" s="262"/>
      <c r="S9" s="255"/>
      <c r="T9" s="255"/>
      <c r="U9" s="262"/>
    </row>
    <row r="10" spans="1:21" s="129" customFormat="1" ht="15.75">
      <c r="A10" s="1068"/>
      <c r="B10" s="926"/>
      <c r="C10" s="1262"/>
      <c r="D10" s="1262"/>
      <c r="E10" s="1263" t="s">
        <v>519</v>
      </c>
      <c r="F10" s="1658">
        <f>411*0</f>
        <v>0</v>
      </c>
      <c r="G10" s="255"/>
      <c r="H10" s="255"/>
      <c r="I10" s="262">
        <v>20</v>
      </c>
      <c r="J10" s="255"/>
      <c r="K10" s="255"/>
      <c r="L10" s="262">
        <v>11</v>
      </c>
      <c r="M10" s="255">
        <f t="shared" ref="M10" si="0">+F10*L10</f>
        <v>0</v>
      </c>
      <c r="N10" s="255"/>
      <c r="O10" s="262">
        <v>3</v>
      </c>
      <c r="P10" s="255">
        <f t="shared" ref="P10:P12" si="1">+F10*O10*2</f>
        <v>0</v>
      </c>
      <c r="Q10" s="255"/>
      <c r="R10" s="262"/>
      <c r="S10" s="255"/>
      <c r="T10" s="255"/>
      <c r="U10" s="262"/>
    </row>
    <row r="11" spans="1:21" s="129" customFormat="1" ht="15.75">
      <c r="A11" s="1068"/>
      <c r="B11" s="926"/>
      <c r="C11" s="1262"/>
      <c r="D11" s="1262"/>
      <c r="E11" s="1263" t="s">
        <v>662</v>
      </c>
      <c r="F11" s="1658">
        <v>800</v>
      </c>
      <c r="G11" s="255"/>
      <c r="H11" s="255"/>
      <c r="I11" s="262">
        <v>15</v>
      </c>
      <c r="J11" s="255"/>
      <c r="K11" s="255"/>
      <c r="L11" s="262">
        <v>9</v>
      </c>
      <c r="M11" s="255">
        <f>+F11*L11</f>
        <v>7200</v>
      </c>
      <c r="N11" s="255"/>
      <c r="O11" s="262">
        <v>2</v>
      </c>
      <c r="P11" s="255">
        <f t="shared" si="1"/>
        <v>3200</v>
      </c>
      <c r="Q11" s="255"/>
      <c r="R11" s="262"/>
      <c r="S11" s="255"/>
      <c r="T11" s="255"/>
      <c r="U11" s="262"/>
    </row>
    <row r="12" spans="1:21" s="129" customFormat="1" ht="15.75">
      <c r="A12" s="1068"/>
      <c r="B12" s="926"/>
      <c r="C12" s="1262"/>
      <c r="D12" s="1262"/>
      <c r="E12" s="1263" t="s">
        <v>663</v>
      </c>
      <c r="F12" s="1658">
        <v>516</v>
      </c>
      <c r="G12" s="255"/>
      <c r="H12" s="255"/>
      <c r="I12" s="262">
        <v>15</v>
      </c>
      <c r="J12" s="255"/>
      <c r="K12" s="255"/>
      <c r="L12" s="262">
        <v>11</v>
      </c>
      <c r="M12" s="255"/>
      <c r="N12" s="255">
        <f>+F12*L12</f>
        <v>5676</v>
      </c>
      <c r="O12" s="262">
        <v>0</v>
      </c>
      <c r="P12" s="255">
        <f t="shared" si="1"/>
        <v>0</v>
      </c>
      <c r="Q12" s="255"/>
      <c r="R12" s="262"/>
      <c r="S12" s="255"/>
      <c r="T12" s="255"/>
      <c r="U12" s="262"/>
    </row>
    <row r="13" spans="1:21" s="129" customFormat="1" ht="15.75">
      <c r="A13" s="1659"/>
      <c r="B13" s="939"/>
      <c r="C13" s="1660"/>
      <c r="D13" s="1661"/>
      <c r="E13" s="1661" t="s">
        <v>309</v>
      </c>
      <c r="F13" s="1662">
        <f>SUM(F9:F12)</f>
        <v>1316</v>
      </c>
      <c r="G13" s="255"/>
      <c r="H13" s="255"/>
      <c r="I13" s="262"/>
      <c r="J13" s="255"/>
      <c r="K13" s="255">
        <f>877*25/10</f>
        <v>2192.5</v>
      </c>
      <c r="L13" s="262"/>
      <c r="M13" s="255">
        <f>SUM(M9:M12)</f>
        <v>7200</v>
      </c>
      <c r="N13" s="255">
        <f>SUM(N12)</f>
        <v>5676</v>
      </c>
      <c r="O13" s="262"/>
      <c r="P13" s="255">
        <f>SUM(P9:P12)</f>
        <v>3200</v>
      </c>
      <c r="Q13" s="255"/>
      <c r="R13" s="262"/>
      <c r="S13" s="255"/>
      <c r="T13" s="255"/>
      <c r="U13" s="262"/>
    </row>
    <row r="14" spans="1:21" s="495" customFormat="1" ht="24.95" customHeight="1">
      <c r="A14" s="1581" t="s">
        <v>661</v>
      </c>
      <c r="B14" s="1402" t="s">
        <v>584</v>
      </c>
      <c r="C14" s="1402" t="s">
        <v>98</v>
      </c>
      <c r="D14" s="1402" t="s">
        <v>99</v>
      </c>
      <c r="E14" s="1569" t="s">
        <v>100</v>
      </c>
      <c r="F14" s="1569" t="s">
        <v>114</v>
      </c>
      <c r="G14" s="493"/>
      <c r="H14" s="493"/>
      <c r="I14" s="494"/>
      <c r="J14" s="493"/>
      <c r="K14" s="493"/>
      <c r="L14" s="494"/>
      <c r="M14" s="493">
        <f>+M13+10*20*20</f>
        <v>11200</v>
      </c>
      <c r="N14" s="493">
        <f>+N13</f>
        <v>5676</v>
      </c>
      <c r="O14" s="494"/>
      <c r="P14" s="493"/>
      <c r="Q14" s="493"/>
      <c r="R14" s="494"/>
      <c r="S14" s="493"/>
      <c r="T14" s="493"/>
      <c r="U14" s="494"/>
    </row>
    <row r="15" spans="1:21" s="495" customFormat="1" ht="24.95" customHeight="1">
      <c r="A15" s="1919" t="e">
        <f>+#REF!</f>
        <v>#REF!</v>
      </c>
      <c r="B15" s="1920"/>
      <c r="C15" s="1920"/>
      <c r="D15" s="1920"/>
      <c r="E15" s="1920"/>
      <c r="F15" s="1921"/>
      <c r="G15" s="493"/>
      <c r="H15" s="493"/>
      <c r="I15" s="494"/>
      <c r="J15" s="493"/>
      <c r="K15" s="493"/>
      <c r="L15" s="494"/>
      <c r="M15" s="493"/>
      <c r="N15" s="493"/>
      <c r="O15" s="494"/>
      <c r="P15" s="493"/>
      <c r="Q15" s="493"/>
      <c r="R15" s="494"/>
      <c r="S15" s="493"/>
      <c r="T15" s="493"/>
      <c r="U15" s="494"/>
    </row>
    <row r="16" spans="1:21" s="1257" customFormat="1" ht="30" customHeight="1">
      <c r="A16" s="745" t="e">
        <f>+#REF!</f>
        <v>#REF!</v>
      </c>
      <c r="B16" s="1448" t="e">
        <f>+#REF!</f>
        <v>#REF!</v>
      </c>
      <c r="C16" s="1260"/>
      <c r="D16" s="1260"/>
      <c r="E16" s="1593"/>
      <c r="F16" s="1260"/>
      <c r="G16" s="1254"/>
      <c r="H16" s="1255" t="e">
        <f>8%*F151</f>
        <v>#REF!</v>
      </c>
      <c r="I16" s="1256">
        <v>1</v>
      </c>
      <c r="J16" s="1254" t="e">
        <f>H16*I16</f>
        <v>#REF!</v>
      </c>
      <c r="K16" s="1254"/>
      <c r="L16" s="1256"/>
      <c r="M16" s="1254"/>
      <c r="N16" s="1254"/>
      <c r="O16" s="1256"/>
      <c r="P16" s="1254"/>
      <c r="Q16" s="1254"/>
      <c r="R16" s="1256"/>
      <c r="S16" s="1254"/>
      <c r="T16" s="1254"/>
      <c r="U16" s="1256"/>
    </row>
    <row r="17" spans="1:38" s="1257" customFormat="1">
      <c r="A17" s="1582"/>
      <c r="B17" s="1583"/>
      <c r="C17" s="714" t="e">
        <f>#REF!</f>
        <v>#REF!</v>
      </c>
      <c r="D17" s="714">
        <v>1</v>
      </c>
      <c r="E17" s="1261" t="e">
        <f>J16</f>
        <v>#REF!</v>
      </c>
      <c r="F17" s="1261" t="e">
        <f>+D17*E17</f>
        <v>#REF!</v>
      </c>
      <c r="G17" s="1254"/>
      <c r="H17" s="1254"/>
      <c r="I17" s="1256"/>
      <c r="J17" s="1254"/>
    </row>
    <row r="18" spans="1:38" s="1257" customFormat="1">
      <c r="A18" s="745" t="e">
        <f>+#REF!</f>
        <v>#REF!</v>
      </c>
      <c r="B18" s="830" t="e">
        <f>+#REF!</f>
        <v>#REF!</v>
      </c>
      <c r="C18" s="543"/>
      <c r="D18" s="543"/>
      <c r="E18" s="1260"/>
      <c r="F18" s="1260"/>
      <c r="G18" s="1254"/>
      <c r="H18" s="1254">
        <f>F13</f>
        <v>1316</v>
      </c>
      <c r="I18" s="1256">
        <v>1.1000000000000001</v>
      </c>
      <c r="J18" s="1254">
        <f>H18*I18</f>
        <v>1447.6000000000001</v>
      </c>
    </row>
    <row r="19" spans="1:38" s="1257" customFormat="1">
      <c r="A19" s="639"/>
      <c r="B19" s="681"/>
      <c r="C19" s="714" t="e">
        <f>#REF!</f>
        <v>#REF!</v>
      </c>
      <c r="D19" s="714">
        <v>1</v>
      </c>
      <c r="E19" s="1261" t="e">
        <f>+H19</f>
        <v>#REF!</v>
      </c>
      <c r="F19" s="1261" t="e">
        <f>+D19*E19</f>
        <v>#REF!</v>
      </c>
      <c r="G19" s="1254">
        <v>0.08</v>
      </c>
      <c r="H19" s="1254" t="e">
        <f>+H16*G19</f>
        <v>#REF!</v>
      </c>
      <c r="I19" s="1256"/>
      <c r="J19" s="1254"/>
    </row>
    <row r="20" spans="1:38" s="1257" customFormat="1" ht="18.75">
      <c r="A20" s="1512"/>
      <c r="B20" s="688"/>
      <c r="C20" s="1605"/>
      <c r="D20" s="1606"/>
      <c r="E20" s="1404" t="s">
        <v>108</v>
      </c>
      <c r="F20" s="1406" t="e">
        <f>SUM(F17:F19)</f>
        <v>#REF!</v>
      </c>
      <c r="G20" s="1254"/>
      <c r="H20" s="1254"/>
      <c r="I20" s="1256"/>
      <c r="J20" s="1254"/>
    </row>
    <row r="21" spans="1:38" s="129" customFormat="1" ht="15" customHeight="1">
      <c r="A21" s="1584"/>
      <c r="B21" s="1585"/>
      <c r="C21" s="1114"/>
      <c r="D21" s="1114"/>
      <c r="E21" s="1594"/>
      <c r="F21" s="1594"/>
      <c r="G21" s="255"/>
      <c r="H21" s="255" t="e">
        <f>+F151</f>
        <v>#REF!</v>
      </c>
      <c r="I21" s="262"/>
      <c r="J21" s="255"/>
    </row>
    <row r="22" spans="1:38" s="129" customFormat="1" ht="24.95" customHeight="1">
      <c r="A22" s="1919" t="e">
        <f>+#REF!</f>
        <v>#REF!</v>
      </c>
      <c r="B22" s="1920"/>
      <c r="C22" s="1920"/>
      <c r="D22" s="1920"/>
      <c r="E22" s="1920"/>
      <c r="F22" s="1921"/>
      <c r="G22" s="255"/>
      <c r="H22" s="255"/>
      <c r="I22" s="262"/>
      <c r="J22" s="255"/>
      <c r="N22" s="129">
        <f>1.7*3</f>
        <v>5.0999999999999996</v>
      </c>
      <c r="AL22" s="129">
        <v>250</v>
      </c>
    </row>
    <row r="23" spans="1:38" s="495" customFormat="1">
      <c r="A23" s="745" t="e">
        <f>+#REF!</f>
        <v>#REF!</v>
      </c>
      <c r="B23" s="830" t="e">
        <f>+#REF!</f>
        <v>#REF!</v>
      </c>
      <c r="C23" s="1264"/>
      <c r="D23" s="1264"/>
      <c r="E23" s="1260"/>
      <c r="F23" s="1258"/>
      <c r="G23" s="493"/>
      <c r="H23" s="493"/>
      <c r="I23" s="494"/>
      <c r="J23" s="493"/>
    </row>
    <row r="24" spans="1:38" s="495" customFormat="1">
      <c r="A24" s="639"/>
      <c r="B24" s="681"/>
      <c r="C24" s="1523" t="e">
        <f>#REF!</f>
        <v>#REF!</v>
      </c>
      <c r="D24" s="1523"/>
      <c r="E24" s="1261"/>
      <c r="F24" s="1259"/>
      <c r="G24" s="493" t="e">
        <f>+#REF!</f>
        <v>#REF!</v>
      </c>
      <c r="H24" s="493" t="e">
        <f>+H21</f>
        <v>#REF!</v>
      </c>
      <c r="I24" s="494">
        <v>0.02</v>
      </c>
      <c r="J24" s="493"/>
    </row>
    <row r="25" spans="1:38" s="495" customFormat="1">
      <c r="A25" s="745" t="e">
        <f>+#REF!</f>
        <v>#REF!</v>
      </c>
      <c r="B25" s="830" t="e">
        <f>+#REF!</f>
        <v>#REF!</v>
      </c>
      <c r="C25" s="1264"/>
      <c r="D25" s="1264"/>
      <c r="E25" s="1260"/>
      <c r="F25" s="1258"/>
      <c r="G25" s="493"/>
      <c r="H25" s="493"/>
      <c r="I25" s="494"/>
      <c r="J25" s="493"/>
    </row>
    <row r="26" spans="1:38" s="495" customFormat="1">
      <c r="A26" s="639"/>
      <c r="B26" s="681"/>
      <c r="C26" s="1523" t="e">
        <f>#REF!</f>
        <v>#REF!</v>
      </c>
      <c r="D26" s="1523"/>
      <c r="E26" s="1261"/>
      <c r="F26" s="1259"/>
      <c r="G26" s="493" t="e">
        <f>+H26*I26</f>
        <v>#REF!</v>
      </c>
      <c r="H26" s="493" t="e">
        <f>+H24</f>
        <v>#REF!</v>
      </c>
      <c r="I26" s="494">
        <v>0.02</v>
      </c>
      <c r="J26" s="493"/>
    </row>
    <row r="27" spans="1:38" s="495" customFormat="1">
      <c r="A27" s="745" t="e">
        <f>+#REF!</f>
        <v>#REF!</v>
      </c>
      <c r="B27" s="830" t="e">
        <f>+#REF!</f>
        <v>#REF!</v>
      </c>
      <c r="C27" s="1264"/>
      <c r="D27" s="1264"/>
      <c r="E27" s="1260"/>
      <c r="F27" s="1258"/>
      <c r="G27" s="493"/>
      <c r="H27" s="493"/>
      <c r="I27" s="494"/>
      <c r="J27" s="493"/>
    </row>
    <row r="28" spans="1:38" s="495" customFormat="1">
      <c r="A28" s="639"/>
      <c r="B28" s="681"/>
      <c r="C28" s="1523" t="e">
        <f>#REF!</f>
        <v>#REF!</v>
      </c>
      <c r="D28" s="1523"/>
      <c r="E28" s="1261"/>
      <c r="F28" s="1259"/>
      <c r="G28" s="493" t="e">
        <f>+#REF!</f>
        <v>#REF!</v>
      </c>
      <c r="H28" s="493"/>
      <c r="I28" s="494"/>
      <c r="J28" s="493"/>
    </row>
    <row r="29" spans="1:38" s="495" customFormat="1">
      <c r="A29" s="745" t="e">
        <f>+#REF!</f>
        <v>#REF!</v>
      </c>
      <c r="B29" s="830" t="e">
        <f>+#REF!</f>
        <v>#REF!</v>
      </c>
      <c r="C29" s="1264"/>
      <c r="D29" s="1264"/>
      <c r="E29" s="1260"/>
      <c r="F29" s="1258"/>
      <c r="G29" s="493"/>
      <c r="I29" s="494"/>
      <c r="J29" s="493"/>
    </row>
    <row r="30" spans="1:38" s="495" customFormat="1">
      <c r="A30" s="639"/>
      <c r="B30" s="681"/>
      <c r="C30" s="1523" t="e">
        <f>#REF!</f>
        <v>#REF!</v>
      </c>
      <c r="D30" s="1523"/>
      <c r="E30" s="1261"/>
      <c r="F30" s="1259"/>
      <c r="G30" s="493"/>
      <c r="H30" s="493"/>
      <c r="I30" s="494"/>
      <c r="J30" s="493"/>
    </row>
    <row r="31" spans="1:38" s="495" customFormat="1">
      <c r="A31" s="745" t="e">
        <f>+#REF!</f>
        <v>#REF!</v>
      </c>
      <c r="B31" s="1448" t="e">
        <f>+#REF!</f>
        <v>#REF!</v>
      </c>
      <c r="C31" s="1264"/>
      <c r="D31" s="1264"/>
      <c r="E31" s="1260"/>
      <c r="F31" s="1258"/>
      <c r="G31" s="493"/>
      <c r="H31" s="493"/>
      <c r="I31" s="494"/>
      <c r="J31" s="493"/>
    </row>
    <row r="32" spans="1:38" s="495" customFormat="1">
      <c r="A32" s="639"/>
      <c r="B32" s="681"/>
      <c r="C32" s="1523" t="e">
        <f>#REF!</f>
        <v>#REF!</v>
      </c>
      <c r="D32" s="1523"/>
      <c r="E32" s="1261"/>
      <c r="F32" s="1259"/>
      <c r="G32" s="493">
        <v>0.2</v>
      </c>
      <c r="H32" s="493"/>
      <c r="I32" s="494"/>
      <c r="J32" s="493"/>
    </row>
    <row r="33" spans="1:189" s="495" customFormat="1">
      <c r="A33" s="745" t="e">
        <f>+#REF!</f>
        <v>#REF!</v>
      </c>
      <c r="B33" s="830" t="e">
        <f>+#REF!</f>
        <v>#REF!</v>
      </c>
      <c r="C33" s="1264"/>
      <c r="D33" s="1264"/>
      <c r="E33" s="1260"/>
      <c r="F33" s="1258"/>
      <c r="G33" s="493"/>
      <c r="H33" s="493"/>
      <c r="I33" s="494"/>
      <c r="J33" s="493"/>
    </row>
    <row r="34" spans="1:189" s="495" customFormat="1">
      <c r="A34" s="639"/>
      <c r="B34" s="681"/>
      <c r="C34" s="1523" t="e">
        <f>#REF!</f>
        <v>#REF!</v>
      </c>
      <c r="D34" s="1523">
        <v>46</v>
      </c>
      <c r="E34" s="1261" t="e">
        <f>+#REF!</f>
        <v>#REF!</v>
      </c>
      <c r="F34" s="1259" t="e">
        <f>+D34*E34</f>
        <v>#REF!</v>
      </c>
      <c r="G34" s="493"/>
      <c r="H34" s="493"/>
      <c r="I34" s="494"/>
      <c r="J34" s="493"/>
    </row>
    <row r="35" spans="1:189" s="456" customFormat="1" ht="18.75">
      <c r="A35" s="1586"/>
      <c r="B35" s="1587"/>
      <c r="C35" s="1605"/>
      <c r="D35" s="1606"/>
      <c r="E35" s="1404" t="s">
        <v>106</v>
      </c>
      <c r="F35" s="1406" t="e">
        <f>SUM(F24:F34)</f>
        <v>#REF!</v>
      </c>
      <c r="G35" s="493"/>
      <c r="H35" s="493"/>
      <c r="I35" s="494"/>
      <c r="J35" s="493"/>
      <c r="K35" s="495"/>
      <c r="L35" s="495"/>
      <c r="M35" s="495"/>
      <c r="N35" s="495"/>
      <c r="O35" s="495"/>
      <c r="P35" s="495"/>
      <c r="Q35" s="495"/>
      <c r="R35" s="495"/>
      <c r="S35" s="495"/>
      <c r="T35" s="495"/>
      <c r="U35" s="495"/>
      <c r="V35" s="495"/>
      <c r="W35" s="495"/>
      <c r="X35" s="495"/>
      <c r="Y35" s="495"/>
      <c r="Z35" s="495"/>
      <c r="AA35" s="495"/>
      <c r="AB35" s="495"/>
      <c r="AC35" s="495"/>
      <c r="AD35" s="495"/>
      <c r="AE35" s="495"/>
      <c r="AF35" s="495"/>
      <c r="AG35" s="495"/>
      <c r="AH35" s="495"/>
      <c r="AI35" s="495"/>
      <c r="AJ35" s="495"/>
      <c r="AK35" s="495"/>
      <c r="AL35" s="495"/>
      <c r="AM35" s="495"/>
      <c r="AN35" s="495"/>
      <c r="AO35" s="495"/>
      <c r="AP35" s="495"/>
      <c r="AQ35" s="495"/>
      <c r="AR35" s="495"/>
      <c r="AS35" s="495"/>
      <c r="AT35" s="495"/>
      <c r="AU35" s="495"/>
      <c r="AV35" s="495"/>
      <c r="AW35" s="495"/>
      <c r="AX35" s="495"/>
      <c r="AY35" s="495"/>
      <c r="AZ35" s="495"/>
      <c r="BA35" s="495"/>
      <c r="BB35" s="495"/>
      <c r="BC35" s="495"/>
      <c r="BD35" s="495"/>
      <c r="BE35" s="495"/>
      <c r="BF35" s="495"/>
      <c r="BG35" s="495"/>
      <c r="BH35" s="495"/>
      <c r="BI35" s="495"/>
      <c r="BJ35" s="495"/>
      <c r="BK35" s="495"/>
      <c r="BL35" s="495"/>
      <c r="BM35" s="495"/>
      <c r="BN35" s="495"/>
      <c r="BO35" s="495"/>
      <c r="BP35" s="495"/>
      <c r="BQ35" s="495"/>
      <c r="BR35" s="495"/>
      <c r="BS35" s="495"/>
      <c r="BT35" s="495"/>
      <c r="BU35" s="495"/>
      <c r="BV35" s="495"/>
      <c r="BW35" s="495"/>
      <c r="BX35" s="495"/>
      <c r="BY35" s="495"/>
      <c r="BZ35" s="495"/>
      <c r="CA35" s="495"/>
      <c r="CB35" s="495"/>
      <c r="CC35" s="495"/>
      <c r="CD35" s="495"/>
      <c r="CE35" s="495"/>
      <c r="CF35" s="495"/>
      <c r="CG35" s="495"/>
      <c r="CH35" s="495"/>
      <c r="CI35" s="495"/>
      <c r="CJ35" s="495"/>
      <c r="CK35" s="495"/>
      <c r="CL35" s="495"/>
      <c r="CM35" s="495"/>
      <c r="CN35" s="495"/>
      <c r="CO35" s="495"/>
      <c r="CP35" s="495"/>
      <c r="CQ35" s="495"/>
      <c r="CR35" s="495"/>
      <c r="CS35" s="495"/>
      <c r="CT35" s="495"/>
      <c r="CU35" s="495"/>
      <c r="CV35" s="495"/>
      <c r="CW35" s="495"/>
      <c r="CX35" s="495"/>
      <c r="CY35" s="495"/>
      <c r="CZ35" s="495"/>
      <c r="DA35" s="495"/>
      <c r="DB35" s="495"/>
      <c r="DC35" s="495"/>
      <c r="DD35" s="495"/>
      <c r="DE35" s="495"/>
      <c r="DF35" s="495"/>
      <c r="DG35" s="495"/>
      <c r="DH35" s="495"/>
      <c r="DI35" s="495"/>
      <c r="DJ35" s="495"/>
      <c r="DK35" s="495"/>
      <c r="DL35" s="495"/>
      <c r="DM35" s="495"/>
      <c r="DN35" s="495"/>
      <c r="DO35" s="495"/>
      <c r="DP35" s="495"/>
      <c r="DQ35" s="495"/>
      <c r="DR35" s="495"/>
      <c r="DS35" s="495"/>
      <c r="DT35" s="495"/>
      <c r="DU35" s="495"/>
      <c r="DV35" s="495"/>
      <c r="DW35" s="495"/>
      <c r="DX35" s="495"/>
      <c r="DY35" s="495"/>
      <c r="DZ35" s="495"/>
      <c r="EA35" s="495"/>
      <c r="EB35" s="495"/>
      <c r="EC35" s="495"/>
      <c r="ED35" s="495"/>
      <c r="EE35" s="495"/>
      <c r="EF35" s="495"/>
      <c r="EG35" s="495"/>
      <c r="EH35" s="495"/>
      <c r="EI35" s="495"/>
      <c r="EJ35" s="495"/>
      <c r="EK35" s="495"/>
      <c r="EL35" s="495"/>
      <c r="EM35" s="495"/>
      <c r="EN35" s="495"/>
      <c r="EO35" s="495"/>
      <c r="EP35" s="495"/>
      <c r="EQ35" s="495"/>
      <c r="ER35" s="495"/>
      <c r="ES35" s="495"/>
      <c r="ET35" s="495"/>
      <c r="EU35" s="495"/>
      <c r="EV35" s="495"/>
      <c r="EW35" s="495"/>
      <c r="EX35" s="495"/>
      <c r="EY35" s="495"/>
      <c r="EZ35" s="495"/>
      <c r="FA35" s="495"/>
      <c r="FB35" s="495"/>
      <c r="FC35" s="495"/>
      <c r="FD35" s="495"/>
      <c r="FE35" s="495"/>
      <c r="FF35" s="495"/>
      <c r="FG35" s="495"/>
      <c r="FH35" s="495"/>
      <c r="FI35" s="495"/>
      <c r="FJ35" s="495"/>
      <c r="FK35" s="495"/>
      <c r="FL35" s="495"/>
      <c r="FM35" s="495"/>
      <c r="FN35" s="495"/>
      <c r="FO35" s="495"/>
      <c r="FP35" s="495"/>
      <c r="FQ35" s="495"/>
      <c r="FR35" s="495"/>
      <c r="FS35" s="495"/>
      <c r="FT35" s="495"/>
      <c r="FU35" s="495"/>
      <c r="FV35" s="495"/>
      <c r="FW35" s="495"/>
      <c r="FX35" s="495"/>
      <c r="FY35" s="495"/>
      <c r="FZ35" s="495"/>
      <c r="GA35" s="495"/>
      <c r="GB35" s="495"/>
      <c r="GC35" s="495"/>
      <c r="GD35" s="495"/>
      <c r="GE35" s="495"/>
      <c r="GF35" s="495"/>
      <c r="GG35" s="495"/>
    </row>
    <row r="36" spans="1:189">
      <c r="A36" s="1584"/>
      <c r="B36" s="1585"/>
      <c r="C36" s="1595"/>
      <c r="D36" s="1596"/>
      <c r="E36" s="1597"/>
      <c r="F36" s="1597"/>
    </row>
    <row r="37" spans="1:189" s="114" customFormat="1" ht="24.95" customHeight="1">
      <c r="A37" s="1584"/>
      <c r="B37" s="1585"/>
      <c r="C37" s="1605"/>
      <c r="D37" s="1606"/>
      <c r="E37" s="1404" t="s">
        <v>107</v>
      </c>
      <c r="F37" s="1406" t="e">
        <f>+F20+F35</f>
        <v>#REF!</v>
      </c>
      <c r="G37" s="255"/>
      <c r="H37" s="255"/>
      <c r="I37" s="262"/>
      <c r="J37" s="255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29"/>
      <c r="W37" s="129"/>
      <c r="X37" s="129"/>
      <c r="Y37" s="129"/>
      <c r="Z37" s="129"/>
      <c r="AA37" s="129"/>
      <c r="AB37" s="129"/>
      <c r="AC37" s="129"/>
      <c r="AD37" s="129"/>
      <c r="AE37" s="129"/>
      <c r="AF37" s="129"/>
      <c r="AG37" s="129"/>
      <c r="AH37" s="129"/>
      <c r="AI37" s="129"/>
      <c r="AJ37" s="129"/>
      <c r="AK37" s="129"/>
      <c r="AL37" s="129"/>
      <c r="AM37" s="129"/>
      <c r="AN37" s="129"/>
      <c r="AO37" s="129"/>
      <c r="AP37" s="129"/>
      <c r="AQ37" s="129"/>
      <c r="AR37" s="129"/>
      <c r="AS37" s="129"/>
      <c r="AT37" s="129"/>
      <c r="AU37" s="129"/>
      <c r="AV37" s="129"/>
      <c r="AW37" s="129"/>
      <c r="AX37" s="129"/>
      <c r="AY37" s="129"/>
      <c r="AZ37" s="129"/>
      <c r="BA37" s="129"/>
      <c r="BB37" s="129"/>
      <c r="BC37" s="129"/>
      <c r="BD37" s="129"/>
      <c r="BE37" s="129"/>
      <c r="BF37" s="129"/>
      <c r="BG37" s="129"/>
      <c r="BH37" s="129"/>
      <c r="BI37" s="129"/>
      <c r="BJ37" s="129"/>
      <c r="BK37" s="129"/>
      <c r="BL37" s="129"/>
      <c r="BM37" s="129"/>
      <c r="BN37" s="129"/>
      <c r="BO37" s="129"/>
      <c r="BP37" s="129"/>
      <c r="BQ37" s="129"/>
      <c r="BR37" s="129"/>
      <c r="BS37" s="129"/>
      <c r="BT37" s="129"/>
      <c r="BU37" s="129"/>
      <c r="BV37" s="129"/>
      <c r="BW37" s="129"/>
      <c r="BX37" s="129"/>
      <c r="BY37" s="129"/>
      <c r="BZ37" s="129"/>
      <c r="CA37" s="129"/>
      <c r="CB37" s="129"/>
      <c r="CC37" s="129"/>
      <c r="CD37" s="129"/>
      <c r="CE37" s="129"/>
      <c r="CF37" s="129"/>
      <c r="CG37" s="129"/>
      <c r="CH37" s="129"/>
      <c r="CI37" s="129"/>
      <c r="CJ37" s="129"/>
      <c r="CK37" s="129"/>
      <c r="CL37" s="129"/>
      <c r="CM37" s="129"/>
      <c r="CN37" s="129"/>
      <c r="CO37" s="129"/>
      <c r="CP37" s="129"/>
      <c r="CQ37" s="129"/>
      <c r="CR37" s="129"/>
      <c r="CS37" s="129"/>
      <c r="CT37" s="129"/>
      <c r="CU37" s="129"/>
      <c r="CV37" s="129"/>
      <c r="CW37" s="129"/>
      <c r="CX37" s="129"/>
      <c r="CY37" s="129"/>
      <c r="CZ37" s="129"/>
      <c r="DA37" s="129"/>
      <c r="DB37" s="129"/>
      <c r="DC37" s="129"/>
      <c r="DD37" s="129"/>
      <c r="DE37" s="129"/>
      <c r="DF37" s="129"/>
      <c r="DG37" s="129"/>
      <c r="DH37" s="129"/>
      <c r="DI37" s="129"/>
      <c r="DJ37" s="129"/>
      <c r="DK37" s="129"/>
      <c r="DL37" s="129"/>
      <c r="DM37" s="129"/>
      <c r="DN37" s="129"/>
      <c r="DO37" s="129"/>
      <c r="DP37" s="129"/>
      <c r="DQ37" s="129"/>
      <c r="DR37" s="129"/>
      <c r="DS37" s="129"/>
      <c r="DT37" s="129"/>
      <c r="DU37" s="129"/>
      <c r="DV37" s="129"/>
      <c r="DW37" s="129"/>
      <c r="DX37" s="129"/>
      <c r="DY37" s="129"/>
      <c r="DZ37" s="129"/>
      <c r="EA37" s="129"/>
      <c r="EB37" s="129"/>
      <c r="EC37" s="129"/>
      <c r="ED37" s="129"/>
      <c r="EE37" s="129"/>
      <c r="EF37" s="129"/>
      <c r="EG37" s="129"/>
      <c r="EH37" s="129"/>
      <c r="EI37" s="129"/>
      <c r="EJ37" s="129"/>
      <c r="EK37" s="129"/>
      <c r="EL37" s="129"/>
      <c r="EM37" s="129"/>
      <c r="EN37" s="129"/>
      <c r="EO37" s="129"/>
      <c r="EP37" s="129"/>
      <c r="EQ37" s="129"/>
      <c r="ER37" s="129"/>
      <c r="ES37" s="129"/>
      <c r="ET37" s="129"/>
      <c r="EU37" s="129"/>
      <c r="EV37" s="129"/>
      <c r="EW37" s="129"/>
      <c r="EX37" s="129"/>
      <c r="EY37" s="129"/>
      <c r="EZ37" s="129"/>
      <c r="FA37" s="129"/>
      <c r="FB37" s="129"/>
      <c r="FC37" s="129"/>
      <c r="FD37" s="129"/>
      <c r="FE37" s="129"/>
      <c r="FF37" s="129"/>
      <c r="FG37" s="129"/>
      <c r="FH37" s="129"/>
      <c r="FI37" s="129"/>
      <c r="FJ37" s="129"/>
      <c r="FK37" s="129"/>
      <c r="FL37" s="129"/>
      <c r="FM37" s="129"/>
      <c r="FN37" s="129"/>
      <c r="FO37" s="129"/>
      <c r="FP37" s="129"/>
      <c r="FQ37" s="129"/>
      <c r="FR37" s="129"/>
      <c r="FS37" s="129"/>
      <c r="FT37" s="129"/>
      <c r="FU37" s="129"/>
      <c r="FV37" s="129"/>
      <c r="FW37" s="129"/>
      <c r="FX37" s="129"/>
      <c r="FY37" s="129"/>
      <c r="FZ37" s="129"/>
      <c r="GA37" s="129"/>
      <c r="GB37" s="129"/>
      <c r="GC37" s="129"/>
      <c r="GD37" s="129"/>
      <c r="GE37" s="129"/>
      <c r="GF37" s="129"/>
      <c r="GG37" s="129"/>
    </row>
    <row r="38" spans="1:189">
      <c r="A38" s="1584"/>
      <c r="B38" s="1585"/>
      <c r="C38" s="1595"/>
      <c r="D38" s="1114"/>
      <c r="E38" s="1598"/>
      <c r="F38" s="1599"/>
      <c r="G38" s="257"/>
      <c r="H38" s="257"/>
      <c r="I38" s="263"/>
      <c r="J38" s="257"/>
    </row>
    <row r="39" spans="1:189" ht="24.95" customHeight="1">
      <c r="A39" s="1919" t="e">
        <f>+#REF!</f>
        <v>#REF!</v>
      </c>
      <c r="B39" s="1920"/>
      <c r="C39" s="1920"/>
      <c r="D39" s="1920"/>
      <c r="E39" s="1920"/>
      <c r="F39" s="1921"/>
    </row>
    <row r="40" spans="1:189">
      <c r="A40" s="745" t="e">
        <f>+#REF!</f>
        <v>#REF!</v>
      </c>
      <c r="B40" s="830" t="e">
        <f>+#REF!</f>
        <v>#REF!</v>
      </c>
      <c r="C40" s="1478"/>
      <c r="D40" s="543"/>
      <c r="E40" s="1260"/>
      <c r="F40" s="1260"/>
    </row>
    <row r="41" spans="1:189">
      <c r="A41" s="639"/>
      <c r="B41" s="681"/>
      <c r="C41" s="1523" t="e">
        <f>#REF!</f>
        <v>#REF!</v>
      </c>
      <c r="D41" s="1521">
        <v>1</v>
      </c>
      <c r="E41" s="1261">
        <v>15672373</v>
      </c>
      <c r="F41" s="1261">
        <f>+D41*E41</f>
        <v>15672373</v>
      </c>
    </row>
    <row r="42" spans="1:189">
      <c r="A42" s="745" t="e">
        <f>+#REF!</f>
        <v>#REF!</v>
      </c>
      <c r="B42" s="830" t="e">
        <f>+#REF!</f>
        <v>#REF!</v>
      </c>
      <c r="C42" s="1264"/>
      <c r="D42" s="1519"/>
      <c r="E42" s="1260"/>
      <c r="F42" s="1260"/>
    </row>
    <row r="43" spans="1:189">
      <c r="A43" s="639" t="e">
        <f>+#REF!</f>
        <v>#REF!</v>
      </c>
      <c r="B43" s="681" t="e">
        <f>+#REF!</f>
        <v>#REF!</v>
      </c>
      <c r="C43" s="1523" t="e">
        <f>#REF!</f>
        <v>#REF!</v>
      </c>
      <c r="D43" s="1521">
        <f>J43</f>
        <v>0</v>
      </c>
      <c r="E43" s="1261" t="e">
        <f>#REF!</f>
        <v>#REF!</v>
      </c>
      <c r="F43" s="1261" t="e">
        <f>+D43*E43</f>
        <v>#REF!</v>
      </c>
      <c r="H43" s="255">
        <f>+(F9+F10)*20*1.3</f>
        <v>0</v>
      </c>
      <c r="I43" s="262">
        <v>1.05</v>
      </c>
      <c r="J43" s="255">
        <f>H43*I43</f>
        <v>0</v>
      </c>
    </row>
    <row r="44" spans="1:189">
      <c r="A44" s="745" t="e">
        <f>+#REF!</f>
        <v>#REF!</v>
      </c>
      <c r="B44" s="830" t="e">
        <f>+#REF!</f>
        <v>#REF!</v>
      </c>
      <c r="C44" s="1264"/>
      <c r="D44" s="1519"/>
      <c r="E44" s="1260"/>
      <c r="F44" s="1260"/>
    </row>
    <row r="45" spans="1:189">
      <c r="A45" s="639"/>
      <c r="B45" s="681"/>
      <c r="C45" s="1523" t="e">
        <f>#REF!</f>
        <v>#REF!</v>
      </c>
      <c r="D45" s="1521">
        <f>J45</f>
        <v>31.5</v>
      </c>
      <c r="E45" s="1261" t="e">
        <f>#REF!</f>
        <v>#REF!</v>
      </c>
      <c r="F45" s="1261" t="e">
        <f>+D45*E45</f>
        <v>#REF!</v>
      </c>
      <c r="H45" s="255">
        <v>30</v>
      </c>
      <c r="I45" s="262">
        <v>1.05</v>
      </c>
      <c r="J45" s="255">
        <f>H45*I45</f>
        <v>31.5</v>
      </c>
    </row>
    <row r="46" spans="1:189">
      <c r="A46" s="745" t="e">
        <f>+#REF!</f>
        <v>#REF!</v>
      </c>
      <c r="B46" s="830" t="e">
        <f>+#REF!</f>
        <v>#REF!</v>
      </c>
      <c r="C46" s="1516"/>
      <c r="D46" s="954"/>
      <c r="E46" s="1260"/>
      <c r="F46" s="1260"/>
    </row>
    <row r="47" spans="1:189">
      <c r="A47" s="638" t="e">
        <f>+#REF!</f>
        <v>#REF!</v>
      </c>
      <c r="B47" s="749" t="e">
        <f>+#REF!</f>
        <v>#REF!</v>
      </c>
      <c r="C47" s="1522" t="e">
        <f>#REF!</f>
        <v>#REF!</v>
      </c>
      <c r="D47" s="1139">
        <v>1</v>
      </c>
      <c r="E47" s="1265">
        <v>30405375</v>
      </c>
      <c r="F47" s="1265">
        <f>+D47*E47</f>
        <v>30405375</v>
      </c>
      <c r="H47" s="262">
        <f>F13/1000</f>
        <v>1.3160000000000001</v>
      </c>
      <c r="I47" s="262">
        <f t="shared" ref="I47:I53" si="2">1.05</f>
        <v>1.05</v>
      </c>
      <c r="J47" s="262">
        <f t="shared" ref="J47:J53" si="3">H47*I47</f>
        <v>1.3818000000000001</v>
      </c>
    </row>
    <row r="48" spans="1:189">
      <c r="A48" s="638" t="e">
        <f>+#REF!</f>
        <v>#REF!</v>
      </c>
      <c r="B48" s="749" t="e">
        <f>+#REF!</f>
        <v>#REF!</v>
      </c>
      <c r="C48" s="1522" t="e">
        <f>#REF!</f>
        <v>#REF!</v>
      </c>
      <c r="D48" s="1139">
        <v>1</v>
      </c>
      <c r="E48" s="1265">
        <v>24324300</v>
      </c>
      <c r="F48" s="1265">
        <f>+D48*E48</f>
        <v>24324300</v>
      </c>
      <c r="H48" s="262">
        <f>H47</f>
        <v>1.3160000000000001</v>
      </c>
      <c r="I48" s="262">
        <f t="shared" si="2"/>
        <v>1.05</v>
      </c>
      <c r="J48" s="262">
        <f t="shared" si="3"/>
        <v>1.3818000000000001</v>
      </c>
    </row>
    <row r="49" spans="1:11">
      <c r="A49" s="638" t="e">
        <f>+#REF!</f>
        <v>#REF!</v>
      </c>
      <c r="B49" s="749" t="e">
        <f>+#REF!</f>
        <v>#REF!</v>
      </c>
      <c r="C49" s="1522" t="e">
        <f>#REF!</f>
        <v>#REF!</v>
      </c>
      <c r="D49" s="1520">
        <f>J49</f>
        <v>2113.86</v>
      </c>
      <c r="E49" s="1265" t="e">
        <f>#REF!</f>
        <v>#REF!</v>
      </c>
      <c r="F49" s="1265" t="e">
        <f>+D49*E49</f>
        <v>#REF!</v>
      </c>
      <c r="H49" s="262">
        <f>20%*F13 +(1225-530)*2+2*10*18</f>
        <v>2013.2</v>
      </c>
      <c r="I49" s="262">
        <f t="shared" si="2"/>
        <v>1.05</v>
      </c>
      <c r="J49" s="262">
        <f t="shared" si="3"/>
        <v>2113.86</v>
      </c>
    </row>
    <row r="50" spans="1:11" s="129" customFormat="1">
      <c r="A50" s="639" t="e">
        <f>+#REF!</f>
        <v>#REF!</v>
      </c>
      <c r="B50" s="681" t="e">
        <f>+#REF!</f>
        <v>#REF!</v>
      </c>
      <c r="C50" s="1523" t="e">
        <f>#REF!</f>
        <v>#REF!</v>
      </c>
      <c r="D50" s="1140">
        <v>1</v>
      </c>
      <c r="E50" s="1261">
        <v>4990551.7662000004</v>
      </c>
      <c r="F50" s="1261">
        <f>+D50*E50</f>
        <v>4990551.7662000004</v>
      </c>
      <c r="G50" s="255"/>
      <c r="H50" s="262">
        <f>H48</f>
        <v>1.3160000000000001</v>
      </c>
      <c r="I50" s="262">
        <f t="shared" si="2"/>
        <v>1.05</v>
      </c>
      <c r="J50" s="262">
        <f t="shared" si="3"/>
        <v>1.3818000000000001</v>
      </c>
    </row>
    <row r="51" spans="1:11" s="129" customFormat="1">
      <c r="A51" s="745" t="e">
        <f>+#REF!</f>
        <v>#REF!</v>
      </c>
      <c r="B51" s="830" t="e">
        <f>+#REF!</f>
        <v>#REF!</v>
      </c>
      <c r="C51" s="1516"/>
      <c r="D51" s="954"/>
      <c r="E51" s="1260"/>
      <c r="F51" s="1260"/>
      <c r="G51" s="255"/>
      <c r="H51" s="255"/>
      <c r="I51" s="262">
        <f t="shared" si="2"/>
        <v>1.05</v>
      </c>
      <c r="J51" s="262">
        <f t="shared" si="3"/>
        <v>0</v>
      </c>
    </row>
    <row r="52" spans="1:11" s="129" customFormat="1">
      <c r="A52" s="639"/>
      <c r="B52" s="681"/>
      <c r="C52" s="1523" t="e">
        <f>#REF!</f>
        <v>#REF!</v>
      </c>
      <c r="D52" s="1521">
        <f>+J52</f>
        <v>9749.25</v>
      </c>
      <c r="E52" s="1261" t="e">
        <f>#REF!</f>
        <v>#REF!</v>
      </c>
      <c r="F52" s="1261" t="e">
        <f>+D52*E52</f>
        <v>#REF!</v>
      </c>
      <c r="G52" s="422"/>
      <c r="H52" s="255">
        <f>510+ (1225-530)*9 + 7*20*18</f>
        <v>9285</v>
      </c>
      <c r="I52" s="262">
        <f t="shared" si="2"/>
        <v>1.05</v>
      </c>
      <c r="J52" s="262">
        <f t="shared" si="3"/>
        <v>9749.25</v>
      </c>
    </row>
    <row r="53" spans="1:11" s="129" customFormat="1">
      <c r="A53" s="745" t="e">
        <f>+#REF!</f>
        <v>#REF!</v>
      </c>
      <c r="B53" s="830" t="e">
        <f>+#REF!</f>
        <v>#REF!</v>
      </c>
      <c r="C53" s="1516"/>
      <c r="D53" s="954"/>
      <c r="E53" s="1260"/>
      <c r="F53" s="1260"/>
      <c r="G53" s="255"/>
      <c r="H53" s="255">
        <f>240+(1225-530)*2+20*2*18+7*18</f>
        <v>2476</v>
      </c>
      <c r="I53" s="262">
        <f t="shared" si="2"/>
        <v>1.05</v>
      </c>
      <c r="J53" s="262">
        <f t="shared" si="3"/>
        <v>2599.8000000000002</v>
      </c>
    </row>
    <row r="54" spans="1:11" s="129" customFormat="1">
      <c r="A54" s="639"/>
      <c r="B54" s="681"/>
      <c r="C54" s="1523" t="e">
        <f>#REF!</f>
        <v>#REF!</v>
      </c>
      <c r="D54" s="1521">
        <f>+J53</f>
        <v>2599.8000000000002</v>
      </c>
      <c r="E54" s="1261" t="e">
        <f>#REF!</f>
        <v>#REF!</v>
      </c>
      <c r="F54" s="1261" t="e">
        <f>+D54*E54</f>
        <v>#REF!</v>
      </c>
      <c r="G54" s="255"/>
      <c r="H54" s="255"/>
      <c r="I54" s="262"/>
      <c r="J54" s="255"/>
    </row>
    <row r="55" spans="1:11" s="129" customFormat="1">
      <c r="A55" s="745" t="e">
        <f>+#REF!</f>
        <v>#REF!</v>
      </c>
      <c r="B55" s="830" t="e">
        <f>+#REF!</f>
        <v>#REF!</v>
      </c>
      <c r="C55" s="1516"/>
      <c r="D55" s="954"/>
      <c r="E55" s="1260"/>
      <c r="F55" s="1260"/>
      <c r="G55" s="255"/>
      <c r="H55" s="255"/>
      <c r="I55" s="262"/>
      <c r="J55" s="255"/>
    </row>
    <row r="56" spans="1:11" s="129" customFormat="1">
      <c r="A56" s="639" t="e">
        <f>+#REF!</f>
        <v>#REF!</v>
      </c>
      <c r="B56" s="681" t="e">
        <f>+#REF!</f>
        <v>#REF!</v>
      </c>
      <c r="C56" s="1531" t="e">
        <f>#REF!</f>
        <v>#REF!</v>
      </c>
      <c r="D56" s="1143">
        <f>J56</f>
        <v>20023</v>
      </c>
      <c r="E56" s="1261" t="e">
        <f>#REF!</f>
        <v>#REF!</v>
      </c>
      <c r="F56" s="1261" t="e">
        <f>+D56*E56</f>
        <v>#REF!</v>
      </c>
      <c r="G56" s="255"/>
      <c r="H56" s="255">
        <f>210+15+200+1100+150+200+75+228+105+75+90+325+440+220+200+400+150+100+1120+100+390+140+35+90+170+30+130+344+65+385+170+65+45+1600+1600+1100+217+285+230+320+558+190+260+260+570+1100+138+204+365+365+806+728+134+44+140+50+330+427+440</f>
        <v>20023</v>
      </c>
      <c r="I56" s="262">
        <v>1</v>
      </c>
      <c r="J56" s="255">
        <f>H56*I56</f>
        <v>20023</v>
      </c>
    </row>
    <row r="57" spans="1:11" s="129" customFormat="1">
      <c r="A57" s="745" t="e">
        <f>+#REF!</f>
        <v>#REF!</v>
      </c>
      <c r="B57" s="830" t="e">
        <f>+#REF!</f>
        <v>#REF!</v>
      </c>
      <c r="C57" s="1516"/>
      <c r="D57" s="954"/>
      <c r="E57" s="1260"/>
      <c r="F57" s="1260"/>
      <c r="G57" s="255"/>
      <c r="H57" s="255"/>
      <c r="I57" s="262"/>
      <c r="J57" s="255"/>
    </row>
    <row r="58" spans="1:11" s="129" customFormat="1">
      <c r="A58" s="639"/>
      <c r="B58" s="681"/>
      <c r="C58" s="1523" t="e">
        <f>#REF!</f>
        <v>#REF!</v>
      </c>
      <c r="D58" s="1521">
        <f>+J58</f>
        <v>264</v>
      </c>
      <c r="E58" s="1261" t="e">
        <f>#REF!</f>
        <v>#REF!</v>
      </c>
      <c r="F58" s="1261" t="e">
        <f>+D58*E58</f>
        <v>#REF!</v>
      </c>
      <c r="G58" s="255"/>
      <c r="H58" s="255">
        <f>12*20</f>
        <v>240</v>
      </c>
      <c r="I58" s="262">
        <v>1.1000000000000001</v>
      </c>
      <c r="J58" s="255">
        <f>+H58*I58</f>
        <v>264</v>
      </c>
    </row>
    <row r="59" spans="1:11" s="129" customFormat="1">
      <c r="A59" s="745" t="e">
        <f>+#REF!</f>
        <v>#REF!</v>
      </c>
      <c r="B59" s="830" t="e">
        <f>+#REF!</f>
        <v>#REF!</v>
      </c>
      <c r="C59" s="1516"/>
      <c r="D59" s="954"/>
      <c r="E59" s="1260"/>
      <c r="F59" s="1260"/>
      <c r="G59" s="255"/>
      <c r="H59" s="255"/>
      <c r="I59" s="262"/>
      <c r="J59" s="255"/>
    </row>
    <row r="60" spans="1:11" s="129" customFormat="1">
      <c r="A60" s="639"/>
      <c r="B60" s="681"/>
      <c r="C60" s="1523" t="e">
        <f>#REF!</f>
        <v>#REF!</v>
      </c>
      <c r="D60" s="1521">
        <f>J60</f>
        <v>930.30000000000007</v>
      </c>
      <c r="E60" s="1261" t="e">
        <f>#REF!</f>
        <v>#REF!</v>
      </c>
      <c r="F60" s="1261" t="e">
        <f>+D60*E60</f>
        <v>#REF!</v>
      </c>
      <c r="G60" s="255"/>
      <c r="H60" s="255">
        <f>(2016-1550)+420</f>
        <v>886</v>
      </c>
      <c r="I60" s="262">
        <v>1.05</v>
      </c>
      <c r="J60" s="255">
        <f>H60*I60</f>
        <v>930.30000000000007</v>
      </c>
      <c r="K60" s="129" t="s">
        <v>511</v>
      </c>
    </row>
    <row r="61" spans="1:11" s="129" customFormat="1" ht="18.75">
      <c r="A61" s="749"/>
      <c r="B61" s="1515"/>
      <c r="C61" s="1605"/>
      <c r="D61" s="1606"/>
      <c r="E61" s="1404" t="s">
        <v>111</v>
      </c>
      <c r="F61" s="1406" t="e">
        <f>SUM(F40:F60)</f>
        <v>#REF!</v>
      </c>
      <c r="G61" s="255"/>
      <c r="H61" s="255"/>
      <c r="I61" s="262"/>
      <c r="J61" s="255"/>
    </row>
    <row r="62" spans="1:11" s="129" customFormat="1">
      <c r="A62" s="1588"/>
      <c r="B62" s="1527"/>
      <c r="C62" s="1600"/>
      <c r="D62" s="410"/>
      <c r="E62" s="949"/>
      <c r="F62" s="949"/>
      <c r="G62" s="255"/>
      <c r="H62" s="255"/>
      <c r="I62" s="262"/>
      <c r="J62" s="255"/>
    </row>
    <row r="63" spans="1:11" s="495" customFormat="1" ht="24.95" customHeight="1">
      <c r="A63" s="1919" t="e">
        <f>+#REF!</f>
        <v>#REF!</v>
      </c>
      <c r="B63" s="1920"/>
      <c r="C63" s="1920"/>
      <c r="D63" s="1920"/>
      <c r="E63" s="1920"/>
      <c r="F63" s="1921"/>
      <c r="G63" s="493"/>
      <c r="H63" s="493"/>
      <c r="I63" s="494"/>
      <c r="J63" s="493"/>
    </row>
    <row r="64" spans="1:11" s="495" customFormat="1">
      <c r="A64" s="745" t="e">
        <f>+#REF!</f>
        <v>#REF!</v>
      </c>
      <c r="B64" s="830" t="e">
        <f>+#REF!</f>
        <v>#REF!</v>
      </c>
      <c r="C64" s="1516"/>
      <c r="D64" s="954"/>
      <c r="E64" s="1260"/>
      <c r="F64" s="1260"/>
      <c r="G64" s="493"/>
      <c r="H64" s="493"/>
      <c r="I64" s="494"/>
      <c r="J64" s="493"/>
    </row>
    <row r="65" spans="1:38" s="495" customFormat="1">
      <c r="A65" s="639" t="e">
        <f>+#REF!</f>
        <v>#REF!</v>
      </c>
      <c r="B65" s="681" t="e">
        <f>+#REF!</f>
        <v>#REF!</v>
      </c>
      <c r="C65" s="1523" t="e">
        <f>#REF!</f>
        <v>#REF!</v>
      </c>
      <c r="D65" s="1521">
        <f>J65</f>
        <v>6514.2000000000007</v>
      </c>
      <c r="E65" s="1261" t="e">
        <f>#REF!</f>
        <v>#REF!</v>
      </c>
      <c r="F65" s="1261" t="e">
        <f>+D65*E65</f>
        <v>#REF!</v>
      </c>
      <c r="G65" s="493"/>
      <c r="H65" s="493">
        <f>(F9*I9+F10*I10+F11*I11+F12*I12)*0.3</f>
        <v>5922</v>
      </c>
      <c r="I65" s="494">
        <v>1.1000000000000001</v>
      </c>
      <c r="J65" s="493">
        <f>H65*I65</f>
        <v>6514.2000000000007</v>
      </c>
    </row>
    <row r="66" spans="1:38" s="495" customFormat="1">
      <c r="A66" s="745" t="e">
        <f>+#REF!</f>
        <v>#REF!</v>
      </c>
      <c r="B66" s="830" t="e">
        <f>+#REF!</f>
        <v>#REF!</v>
      </c>
      <c r="C66" s="1516"/>
      <c r="D66" s="954"/>
      <c r="E66" s="1260"/>
      <c r="F66" s="1260"/>
      <c r="G66" s="493"/>
      <c r="H66" s="493"/>
      <c r="I66" s="494"/>
      <c r="J66" s="493">
        <f>J65*0</f>
        <v>0</v>
      </c>
    </row>
    <row r="67" spans="1:38" s="495" customFormat="1">
      <c r="A67" s="639"/>
      <c r="B67" s="681"/>
      <c r="C67" s="1523" t="e">
        <f>#REF!</f>
        <v>#REF!</v>
      </c>
      <c r="D67" s="1521">
        <f>D65*0.5</f>
        <v>3257.1000000000004</v>
      </c>
      <c r="E67" s="1261" t="e">
        <f>#REF!</f>
        <v>#REF!</v>
      </c>
      <c r="F67" s="1261" t="e">
        <f>+D67*E67</f>
        <v>#REF!</v>
      </c>
      <c r="G67" s="493"/>
      <c r="H67" s="493"/>
      <c r="I67" s="494"/>
      <c r="J67" s="493"/>
    </row>
    <row r="68" spans="1:38" s="495" customFormat="1">
      <c r="A68" s="745" t="e">
        <f>+#REF!</f>
        <v>#REF!</v>
      </c>
      <c r="B68" s="830" t="e">
        <f>+#REF!</f>
        <v>#REF!</v>
      </c>
      <c r="C68" s="1516"/>
      <c r="D68" s="954"/>
      <c r="E68" s="1260"/>
      <c r="F68" s="1260"/>
      <c r="G68" s="493"/>
      <c r="H68" s="493"/>
      <c r="I68" s="494"/>
      <c r="J68" s="493"/>
    </row>
    <row r="69" spans="1:38" s="538" customFormat="1">
      <c r="A69" s="639"/>
      <c r="B69" s="681"/>
      <c r="C69" s="1523" t="e">
        <f>#REF!</f>
        <v>#REF!</v>
      </c>
      <c r="D69" s="1521">
        <f>J69</f>
        <v>3257.1000000000004</v>
      </c>
      <c r="E69" s="1261" t="e">
        <f>#REF!</f>
        <v>#REF!</v>
      </c>
      <c r="F69" s="1261" t="e">
        <f>+D69*E69</f>
        <v>#REF!</v>
      </c>
      <c r="G69" s="493"/>
      <c r="H69" s="493">
        <f>H65*0.5</f>
        <v>2961</v>
      </c>
      <c r="I69" s="494">
        <v>1.1000000000000001</v>
      </c>
      <c r="J69" s="493">
        <f>H69*I69</f>
        <v>3257.1000000000004</v>
      </c>
      <c r="K69" s="495"/>
      <c r="L69" s="495"/>
      <c r="M69" s="495"/>
      <c r="N69" s="495"/>
      <c r="O69" s="495"/>
      <c r="P69" s="495"/>
      <c r="Q69" s="495"/>
      <c r="R69" s="495"/>
      <c r="S69" s="495"/>
      <c r="T69" s="495"/>
      <c r="U69" s="495"/>
      <c r="V69" s="495"/>
      <c r="W69" s="495"/>
      <c r="X69" s="495"/>
      <c r="Y69" s="495"/>
      <c r="Z69" s="495"/>
      <c r="AA69" s="495"/>
      <c r="AB69" s="495"/>
      <c r="AC69" s="495"/>
      <c r="AD69" s="495"/>
      <c r="AE69" s="495"/>
      <c r="AF69" s="495"/>
      <c r="AG69" s="495"/>
      <c r="AH69" s="495"/>
      <c r="AI69" s="495"/>
      <c r="AJ69" s="495"/>
      <c r="AK69" s="495"/>
      <c r="AL69" s="495"/>
    </row>
    <row r="70" spans="1:38" s="495" customFormat="1" ht="18.75">
      <c r="A70" s="1586"/>
      <c r="B70" s="1587"/>
      <c r="C70" s="1605"/>
      <c r="D70" s="1606"/>
      <c r="E70" s="1404" t="s">
        <v>110</v>
      </c>
      <c r="F70" s="1406" t="e">
        <f>SUM(F64:F69)</f>
        <v>#REF!</v>
      </c>
      <c r="G70" s="493"/>
      <c r="H70" s="493"/>
      <c r="I70" s="494"/>
      <c r="J70" s="493"/>
    </row>
    <row r="71" spans="1:38" s="129" customFormat="1">
      <c r="A71" s="1584"/>
      <c r="B71" s="1200"/>
      <c r="C71" s="1595"/>
      <c r="D71" s="1114"/>
      <c r="E71" s="1601"/>
      <c r="F71" s="1599"/>
      <c r="G71" s="255"/>
      <c r="H71" s="255"/>
      <c r="I71" s="262"/>
      <c r="J71" s="255"/>
    </row>
    <row r="72" spans="1:38" s="129" customFormat="1" ht="24.95" customHeight="1">
      <c r="A72" s="1919" t="e">
        <f>+#REF!</f>
        <v>#REF!</v>
      </c>
      <c r="B72" s="1920"/>
      <c r="C72" s="1920"/>
      <c r="D72" s="1920"/>
      <c r="E72" s="1920"/>
      <c r="F72" s="1921"/>
      <c r="G72" s="255"/>
      <c r="H72" s="270">
        <f>+M14*0.15+N14*0.25+20*20*20*0.15</f>
        <v>4299</v>
      </c>
      <c r="I72" s="262">
        <f>1.1</f>
        <v>1.1000000000000001</v>
      </c>
      <c r="J72" s="255">
        <f>+H72*I72</f>
        <v>4728.9000000000005</v>
      </c>
    </row>
    <row r="73" spans="1:38" s="495" customFormat="1">
      <c r="A73" s="745" t="e">
        <f>+#REF!</f>
        <v>#REF!</v>
      </c>
      <c r="B73" s="1448" t="e">
        <f>+#REF!</f>
        <v>#REF!</v>
      </c>
      <c r="C73" s="1516"/>
      <c r="D73" s="954"/>
      <c r="E73" s="1260"/>
      <c r="F73" s="1258"/>
      <c r="G73" s="493"/>
      <c r="H73" s="493"/>
      <c r="I73" s="494"/>
      <c r="J73" s="493"/>
      <c r="K73" s="495" t="s">
        <v>273</v>
      </c>
    </row>
    <row r="74" spans="1:38" s="495" customFormat="1">
      <c r="A74" s="639" t="e">
        <f>+#REF!</f>
        <v>#REF!</v>
      </c>
      <c r="B74" s="681" t="e">
        <f>+#REF!</f>
        <v>#REF!</v>
      </c>
      <c r="C74" s="1523" t="e">
        <f>#REF!</f>
        <v>#REF!</v>
      </c>
      <c r="D74" s="1521">
        <f>J74</f>
        <v>10281.259999999998</v>
      </c>
      <c r="E74" s="1261" t="e">
        <f>#REF!</f>
        <v>#REF!</v>
      </c>
      <c r="F74" s="1259" t="e">
        <f>+D74*E74</f>
        <v>#REF!</v>
      </c>
      <c r="G74" s="493"/>
      <c r="H74" s="756">
        <f>+(M14+N14)*0.35+P13*0.2 +20*20*20*0.35</f>
        <v>9346.5999999999985</v>
      </c>
      <c r="I74" s="494">
        <f>1.1</f>
        <v>1.1000000000000001</v>
      </c>
      <c r="J74" s="493">
        <f>+H74*I74</f>
        <v>10281.259999999998</v>
      </c>
    </row>
    <row r="75" spans="1:38" s="495" customFormat="1">
      <c r="A75" s="745" t="e">
        <f>+#REF!</f>
        <v>#REF!</v>
      </c>
      <c r="B75" s="830" t="e">
        <f>+#REF!</f>
        <v>#REF!</v>
      </c>
      <c r="C75" s="1516"/>
      <c r="D75" s="954"/>
      <c r="E75" s="1260"/>
      <c r="F75" s="1258"/>
      <c r="G75" s="493"/>
    </row>
    <row r="76" spans="1:38" s="495" customFormat="1">
      <c r="A76" s="639"/>
      <c r="B76" s="681"/>
      <c r="C76" s="1523" t="e">
        <f>#REF!</f>
        <v>#REF!</v>
      </c>
      <c r="D76" s="1521">
        <f>J76</f>
        <v>461067.75000000006</v>
      </c>
      <c r="E76" s="1261" t="e">
        <f>#REF!</f>
        <v>#REF!</v>
      </c>
      <c r="F76" s="1259" t="e">
        <f t="shared" ref="F76" si="4">+D76*E76</f>
        <v>#REF!</v>
      </c>
      <c r="G76" s="493"/>
      <c r="H76" s="493">
        <f>H72*1950*5%</f>
        <v>419152.5</v>
      </c>
      <c r="I76" s="494">
        <v>1.1000000000000001</v>
      </c>
      <c r="J76" s="493">
        <f>H76*I76</f>
        <v>461067.75000000006</v>
      </c>
      <c r="L76" s="495">
        <f>+(M14+N14)*0.15</f>
        <v>2531.4</v>
      </c>
    </row>
    <row r="77" spans="1:38" s="495" customFormat="1">
      <c r="A77" s="745" t="e">
        <f>+#REF!</f>
        <v>#REF!</v>
      </c>
      <c r="B77" s="830" t="e">
        <f>+#REF!</f>
        <v>#REF!</v>
      </c>
      <c r="C77" s="1264"/>
      <c r="D77" s="1519"/>
      <c r="E77" s="1260"/>
      <c r="F77" s="1258"/>
      <c r="G77" s="493"/>
      <c r="H77" s="493"/>
      <c r="I77" s="494"/>
      <c r="J77" s="493"/>
    </row>
    <row r="78" spans="1:38" s="495" customFormat="1">
      <c r="A78" s="791" t="e">
        <f>+#REF!</f>
        <v>#REF!</v>
      </c>
      <c r="B78" s="824" t="e">
        <f>+#REF!</f>
        <v>#REF!</v>
      </c>
      <c r="C78" s="1522"/>
      <c r="D78" s="1520"/>
      <c r="E78" s="1265"/>
      <c r="F78" s="1267"/>
      <c r="G78" s="493"/>
    </row>
    <row r="79" spans="1:38" s="495" customFormat="1">
      <c r="A79" s="638" t="e">
        <f>+#REF!</f>
        <v>#REF!</v>
      </c>
      <c r="B79" s="749" t="e">
        <f>+#REF!</f>
        <v>#REF!</v>
      </c>
      <c r="C79" s="1522" t="e">
        <f>#REF!</f>
        <v>#REF!</v>
      </c>
      <c r="D79" s="1520">
        <f>+J79</f>
        <v>5959.8</v>
      </c>
      <c r="E79" s="1265" t="e">
        <f>+#REF!</f>
        <v>#REF!</v>
      </c>
      <c r="F79" s="1267" t="e">
        <f>+D79*E79</f>
        <v>#REF!</v>
      </c>
      <c r="G79" s="493"/>
      <c r="H79" s="493">
        <f>+N14</f>
        <v>5676</v>
      </c>
      <c r="I79" s="494">
        <v>1.05</v>
      </c>
      <c r="J79" s="493">
        <f>+H79*I79</f>
        <v>5959.8</v>
      </c>
    </row>
    <row r="80" spans="1:38" s="495" customFormat="1">
      <c r="A80" s="638" t="e">
        <f>+#REF!</f>
        <v>#REF!</v>
      </c>
      <c r="B80" s="749" t="e">
        <f>+#REF!</f>
        <v>#REF!</v>
      </c>
      <c r="C80" s="1522" t="e">
        <f>#REF!</f>
        <v>#REF!</v>
      </c>
      <c r="D80" s="1520">
        <f>+J80*0.91</f>
        <v>10701.6</v>
      </c>
      <c r="E80" s="1265" t="e">
        <f>+#REF!</f>
        <v>#REF!</v>
      </c>
      <c r="F80" s="1267" t="e">
        <f t="shared" ref="F80:F101" si="5">+D80*E80</f>
        <v>#REF!</v>
      </c>
      <c r="G80" s="493"/>
      <c r="H80" s="493">
        <f>+M14</f>
        <v>11200</v>
      </c>
      <c r="I80" s="494">
        <v>1.05</v>
      </c>
      <c r="J80" s="493">
        <f t="shared" ref="J80:J81" si="6">+H80*I80</f>
        <v>11760</v>
      </c>
    </row>
    <row r="81" spans="1:10" s="495" customFormat="1">
      <c r="A81" s="639" t="e">
        <f>+#REF!</f>
        <v>#REF!</v>
      </c>
      <c r="B81" s="681" t="e">
        <f>+#REF!</f>
        <v>#REF!</v>
      </c>
      <c r="C81" s="1523" t="e">
        <f>#REF!</f>
        <v>#REF!</v>
      </c>
      <c r="D81" s="1521">
        <f>+J81*0.83</f>
        <v>2788.7999999999997</v>
      </c>
      <c r="E81" s="1261" t="e">
        <f>+#REF!</f>
        <v>#REF!</v>
      </c>
      <c r="F81" s="1259" t="e">
        <f t="shared" si="5"/>
        <v>#REF!</v>
      </c>
      <c r="G81" s="493"/>
      <c r="H81" s="493">
        <f>+P13</f>
        <v>3200</v>
      </c>
      <c r="I81" s="494">
        <v>1.05</v>
      </c>
      <c r="J81" s="493">
        <f t="shared" si="6"/>
        <v>3360</v>
      </c>
    </row>
    <row r="82" spans="1:10" s="495" customFormat="1">
      <c r="A82" s="745" t="e">
        <f>+#REF!</f>
        <v>#REF!</v>
      </c>
      <c r="B82" s="830" t="e">
        <f>+#REF!</f>
        <v>#REF!</v>
      </c>
      <c r="C82" s="1264"/>
      <c r="D82" s="1519"/>
      <c r="E82" s="1260"/>
      <c r="F82" s="1258"/>
      <c r="G82" s="493"/>
      <c r="H82" s="493"/>
      <c r="I82" s="494"/>
      <c r="J82" s="493"/>
    </row>
    <row r="83" spans="1:10" s="495" customFormat="1">
      <c r="A83" s="638" t="e">
        <f>+#REF!</f>
        <v>#REF!</v>
      </c>
      <c r="B83" s="749" t="e">
        <f>+#REF!</f>
        <v>#REF!</v>
      </c>
      <c r="C83" s="1522" t="e">
        <f>#REF!</f>
        <v>#REF!</v>
      </c>
      <c r="D83" s="1520">
        <f>+D79</f>
        <v>5959.8</v>
      </c>
      <c r="E83" s="1265" t="e">
        <f>+#REF!</f>
        <v>#REF!</v>
      </c>
      <c r="F83" s="1267" t="e">
        <f t="shared" si="5"/>
        <v>#REF!</v>
      </c>
      <c r="G83" s="493"/>
      <c r="H83" s="493"/>
      <c r="I83" s="494"/>
      <c r="J83" s="493"/>
    </row>
    <row r="84" spans="1:10" s="495" customFormat="1">
      <c r="A84" s="638" t="e">
        <f>+#REF!</f>
        <v>#REF!</v>
      </c>
      <c r="B84" s="749" t="e">
        <f>+#REF!</f>
        <v>#REF!</v>
      </c>
      <c r="C84" s="1522" t="e">
        <f>#REF!</f>
        <v>#REF!</v>
      </c>
      <c r="D84" s="1520">
        <f t="shared" ref="D84:D85" si="7">+D80</f>
        <v>10701.6</v>
      </c>
      <c r="E84" s="1265" t="e">
        <f>+#REF!</f>
        <v>#REF!</v>
      </c>
      <c r="F84" s="1267" t="e">
        <f t="shared" si="5"/>
        <v>#REF!</v>
      </c>
      <c r="G84" s="493"/>
      <c r="H84" s="493"/>
      <c r="I84" s="494"/>
      <c r="J84" s="493"/>
    </row>
    <row r="85" spans="1:10" s="495" customFormat="1">
      <c r="A85" s="639" t="e">
        <f>+#REF!</f>
        <v>#REF!</v>
      </c>
      <c r="B85" s="681" t="e">
        <f>+#REF!</f>
        <v>#REF!</v>
      </c>
      <c r="C85" s="1523" t="e">
        <f>#REF!</f>
        <v>#REF!</v>
      </c>
      <c r="D85" s="1521">
        <f t="shared" si="7"/>
        <v>2788.7999999999997</v>
      </c>
      <c r="E85" s="1261" t="e">
        <f>+#REF!</f>
        <v>#REF!</v>
      </c>
      <c r="F85" s="1259" t="e">
        <f t="shared" si="5"/>
        <v>#REF!</v>
      </c>
      <c r="G85" s="493"/>
      <c r="H85" s="493"/>
      <c r="I85" s="494"/>
      <c r="J85" s="493"/>
    </row>
    <row r="86" spans="1:10" s="495" customFormat="1">
      <c r="A86" s="745" t="e">
        <f>+#REF!</f>
        <v>#REF!</v>
      </c>
      <c r="B86" s="830" t="e">
        <f>+#REF!</f>
        <v>#REF!</v>
      </c>
      <c r="C86" s="1264"/>
      <c r="D86" s="1519"/>
      <c r="E86" s="1260"/>
      <c r="F86" s="1258"/>
      <c r="G86" s="493"/>
      <c r="H86" s="493"/>
      <c r="I86" s="494"/>
      <c r="J86" s="493"/>
    </row>
    <row r="87" spans="1:10" s="495" customFormat="1">
      <c r="A87" s="791" t="e">
        <f>+#REF!</f>
        <v>#REF!</v>
      </c>
      <c r="B87" s="824" t="e">
        <f>+#REF!</f>
        <v>#REF!</v>
      </c>
      <c r="C87" s="1522"/>
      <c r="D87" s="1520"/>
      <c r="E87" s="1265"/>
      <c r="F87" s="1267"/>
      <c r="G87" s="493"/>
      <c r="H87" s="493">
        <f>20*20</f>
        <v>400</v>
      </c>
      <c r="I87" s="494">
        <v>1.1000000000000001</v>
      </c>
      <c r="J87" s="493">
        <f>+H87*I87</f>
        <v>440.00000000000006</v>
      </c>
    </row>
    <row r="88" spans="1:10" s="495" customFormat="1">
      <c r="A88" s="638" t="e">
        <f>+#REF!</f>
        <v>#REF!</v>
      </c>
      <c r="B88" s="749" t="e">
        <f>+#REF!</f>
        <v>#REF!</v>
      </c>
      <c r="C88" s="1522" t="e">
        <f>#REF!</f>
        <v>#REF!</v>
      </c>
      <c r="D88" s="1520">
        <f>+J87</f>
        <v>440.00000000000006</v>
      </c>
      <c r="E88" s="1265" t="e">
        <f>+#REF!</f>
        <v>#REF!</v>
      </c>
      <c r="F88" s="1267" t="e">
        <f t="shared" si="5"/>
        <v>#REF!</v>
      </c>
      <c r="G88" s="493"/>
      <c r="H88" s="493"/>
      <c r="I88" s="494"/>
      <c r="J88" s="493"/>
    </row>
    <row r="89" spans="1:10" s="495" customFormat="1">
      <c r="A89" s="638" t="e">
        <f>+#REF!</f>
        <v>#REF!</v>
      </c>
      <c r="B89" s="749" t="e">
        <f>+#REF!</f>
        <v>#REF!</v>
      </c>
      <c r="C89" s="1522" t="e">
        <f>#REF!</f>
        <v>#REF!</v>
      </c>
      <c r="D89" s="1520">
        <f>+H89</f>
        <v>1600</v>
      </c>
      <c r="E89" s="1265" t="e">
        <f>+#REF!</f>
        <v>#REF!</v>
      </c>
      <c r="F89" s="1267" t="e">
        <f t="shared" si="5"/>
        <v>#REF!</v>
      </c>
      <c r="G89" s="493"/>
      <c r="H89" s="493">
        <f>SUM(F9:F11)*2</f>
        <v>1600</v>
      </c>
      <c r="I89" s="494">
        <v>1</v>
      </c>
      <c r="J89" s="493">
        <f>+H89*I89</f>
        <v>1600</v>
      </c>
    </row>
    <row r="90" spans="1:10" s="495" customFormat="1">
      <c r="A90" s="639" t="e">
        <f>+#REF!</f>
        <v>#REF!</v>
      </c>
      <c r="B90" s="681" t="e">
        <f>+#REF!</f>
        <v>#REF!</v>
      </c>
      <c r="C90" s="1523" t="e">
        <f>#REF!</f>
        <v>#REF!</v>
      </c>
      <c r="D90" s="1521">
        <f>+J90</f>
        <v>3360</v>
      </c>
      <c r="E90" s="1261" t="e">
        <f>+#REF!</f>
        <v>#REF!</v>
      </c>
      <c r="F90" s="1259" t="e">
        <f t="shared" si="5"/>
        <v>#REF!</v>
      </c>
      <c r="G90" s="493"/>
      <c r="H90" s="493">
        <f>+(F9+F10+F11+20*2*20)*2</f>
        <v>3200</v>
      </c>
      <c r="I90" s="494">
        <v>1.05</v>
      </c>
      <c r="J90" s="493">
        <f>+H90*I90</f>
        <v>3360</v>
      </c>
    </row>
    <row r="91" spans="1:10" s="495" customFormat="1">
      <c r="A91" s="745" t="e">
        <f>+#REF!</f>
        <v>#REF!</v>
      </c>
      <c r="B91" s="830" t="e">
        <f>+#REF!</f>
        <v>#REF!</v>
      </c>
      <c r="C91" s="1264"/>
      <c r="D91" s="1519"/>
      <c r="E91" s="1260"/>
      <c r="F91" s="1258"/>
      <c r="G91" s="493"/>
      <c r="H91" s="493"/>
      <c r="I91" s="494"/>
      <c r="J91" s="493"/>
    </row>
    <row r="92" spans="1:10" s="495" customFormat="1">
      <c r="A92" s="638" t="e">
        <f>+#REF!</f>
        <v>#REF!</v>
      </c>
      <c r="B92" s="749" t="e">
        <f>+#REF!</f>
        <v>#REF!</v>
      </c>
      <c r="C92" s="1522" t="e">
        <f>#REF!</f>
        <v>#REF!</v>
      </c>
      <c r="D92" s="1520">
        <f>+D88</f>
        <v>440.00000000000006</v>
      </c>
      <c r="E92" s="1265" t="e">
        <f>+#REF!</f>
        <v>#REF!</v>
      </c>
      <c r="F92" s="1267" t="e">
        <f t="shared" si="5"/>
        <v>#REF!</v>
      </c>
      <c r="G92" s="493"/>
      <c r="H92" s="493"/>
      <c r="I92" s="494"/>
      <c r="J92" s="493"/>
    </row>
    <row r="93" spans="1:10" s="495" customFormat="1">
      <c r="A93" s="638" t="e">
        <f>+#REF!</f>
        <v>#REF!</v>
      </c>
      <c r="B93" s="749" t="e">
        <f>+#REF!</f>
        <v>#REF!</v>
      </c>
      <c r="C93" s="1522" t="e">
        <f>#REF!</f>
        <v>#REF!</v>
      </c>
      <c r="D93" s="1520">
        <f>+D89</f>
        <v>1600</v>
      </c>
      <c r="E93" s="1265" t="e">
        <f>+#REF!</f>
        <v>#REF!</v>
      </c>
      <c r="F93" s="1267" t="e">
        <f t="shared" si="5"/>
        <v>#REF!</v>
      </c>
      <c r="G93" s="493"/>
      <c r="H93" s="493"/>
      <c r="I93" s="494"/>
      <c r="J93" s="493"/>
    </row>
    <row r="94" spans="1:10" s="495" customFormat="1">
      <c r="A94" s="639" t="e">
        <f>+#REF!</f>
        <v>#REF!</v>
      </c>
      <c r="B94" s="681" t="e">
        <f>+#REF!</f>
        <v>#REF!</v>
      </c>
      <c r="C94" s="1523" t="e">
        <f>#REF!</f>
        <v>#REF!</v>
      </c>
      <c r="D94" s="1521">
        <f>+D90</f>
        <v>3360</v>
      </c>
      <c r="E94" s="1261" t="e">
        <f>+#REF!</f>
        <v>#REF!</v>
      </c>
      <c r="F94" s="1259" t="e">
        <f t="shared" si="5"/>
        <v>#REF!</v>
      </c>
      <c r="G94" s="493"/>
      <c r="H94" s="493"/>
      <c r="I94" s="494"/>
      <c r="J94" s="493"/>
    </row>
    <row r="95" spans="1:10" s="495" customFormat="1" ht="30" customHeight="1">
      <c r="A95" s="745" t="e">
        <f>+#REF!</f>
        <v>#REF!</v>
      </c>
      <c r="B95" s="1448" t="e">
        <f>+#REF!</f>
        <v>#REF!</v>
      </c>
      <c r="C95" s="1264"/>
      <c r="D95" s="1519"/>
      <c r="E95" s="1260"/>
      <c r="F95" s="1258"/>
      <c r="G95" s="493"/>
      <c r="H95" s="493"/>
      <c r="I95" s="494"/>
      <c r="J95" s="493"/>
    </row>
    <row r="96" spans="1:10" s="495" customFormat="1">
      <c r="A96" s="791" t="e">
        <f>+#REF!</f>
        <v>#REF!</v>
      </c>
      <c r="B96" s="826" t="e">
        <f>+#REF!</f>
        <v>#REF!</v>
      </c>
      <c r="C96" s="1522"/>
      <c r="D96" s="1520"/>
      <c r="E96" s="1265"/>
      <c r="F96" s="1267"/>
      <c r="G96" s="493"/>
      <c r="H96" s="493"/>
      <c r="I96" s="494"/>
      <c r="J96" s="493"/>
    </row>
    <row r="97" spans="1:16" s="495" customFormat="1">
      <c r="A97" s="638" t="e">
        <f>+#REF!</f>
        <v>#REF!</v>
      </c>
      <c r="B97" s="749" t="e">
        <f>+#REF!</f>
        <v>#REF!</v>
      </c>
      <c r="C97" s="1522" t="e">
        <f>#REF!</f>
        <v>#REF!</v>
      </c>
      <c r="D97" s="1520">
        <f>+D80*0.1</f>
        <v>1070.1600000000001</v>
      </c>
      <c r="E97" s="1265" t="e">
        <f>+#REF!</f>
        <v>#REF!</v>
      </c>
      <c r="F97" s="1267" t="e">
        <f t="shared" si="5"/>
        <v>#REF!</v>
      </c>
      <c r="G97" s="493"/>
      <c r="H97" s="493"/>
      <c r="I97" s="494"/>
      <c r="J97" s="493"/>
    </row>
    <row r="98" spans="1:16" s="495" customFormat="1">
      <c r="A98" s="639" t="e">
        <f>+#REF!</f>
        <v>#REF!</v>
      </c>
      <c r="B98" s="681" t="e">
        <f>+#REF!</f>
        <v>#REF!</v>
      </c>
      <c r="C98" s="1523" t="e">
        <f>#REF!</f>
        <v>#REF!</v>
      </c>
      <c r="D98" s="1521">
        <f>+D80*0.2</f>
        <v>2140.3200000000002</v>
      </c>
      <c r="E98" s="1261" t="e">
        <f>+#REF!</f>
        <v>#REF!</v>
      </c>
      <c r="F98" s="1259" t="e">
        <f t="shared" si="5"/>
        <v>#REF!</v>
      </c>
      <c r="G98" s="493"/>
      <c r="H98" s="493"/>
      <c r="I98" s="494"/>
      <c r="J98" s="493"/>
    </row>
    <row r="99" spans="1:16" s="495" customFormat="1">
      <c r="A99" s="745" t="e">
        <f>+#REF!</f>
        <v>#REF!</v>
      </c>
      <c r="B99" s="1448" t="e">
        <f>+#REF!</f>
        <v>#REF!</v>
      </c>
      <c r="C99" s="1264"/>
      <c r="D99" s="1519"/>
      <c r="E99" s="1260"/>
      <c r="F99" s="1258"/>
      <c r="G99" s="493"/>
      <c r="H99" s="493"/>
      <c r="I99" s="494"/>
      <c r="J99" s="493"/>
    </row>
    <row r="100" spans="1:16" s="495" customFormat="1">
      <c r="A100" s="638" t="e">
        <f>+#REF!</f>
        <v>#REF!</v>
      </c>
      <c r="B100" s="749" t="e">
        <f>+#REF!</f>
        <v>#REF!</v>
      </c>
      <c r="C100" s="1522" t="e">
        <f>#REF!</f>
        <v>#REF!</v>
      </c>
      <c r="D100" s="1520">
        <f>+D97</f>
        <v>1070.1600000000001</v>
      </c>
      <c r="E100" s="1265" t="e">
        <f>+#REF!</f>
        <v>#REF!</v>
      </c>
      <c r="F100" s="1267" t="e">
        <f t="shared" si="5"/>
        <v>#REF!</v>
      </c>
      <c r="G100" s="493"/>
      <c r="H100" s="493"/>
      <c r="I100" s="494"/>
      <c r="J100" s="493"/>
    </row>
    <row r="101" spans="1:16" s="495" customFormat="1">
      <c r="A101" s="639" t="e">
        <f>+#REF!</f>
        <v>#REF!</v>
      </c>
      <c r="B101" s="681" t="e">
        <f>+#REF!</f>
        <v>#REF!</v>
      </c>
      <c r="C101" s="1523" t="e">
        <f>#REF!</f>
        <v>#REF!</v>
      </c>
      <c r="D101" s="1521">
        <f>+D98</f>
        <v>2140.3200000000002</v>
      </c>
      <c r="E101" s="1261" t="e">
        <f>+#REF!</f>
        <v>#REF!</v>
      </c>
      <c r="F101" s="1259" t="e">
        <f t="shared" si="5"/>
        <v>#REF!</v>
      </c>
      <c r="G101" s="493"/>
      <c r="H101" s="493"/>
      <c r="I101" s="494"/>
      <c r="J101" s="493"/>
    </row>
    <row r="102" spans="1:16" s="495" customFormat="1" ht="18.75">
      <c r="A102" s="749"/>
      <c r="B102" s="239"/>
      <c r="C102" s="1605"/>
      <c r="D102" s="1606"/>
      <c r="E102" s="1404" t="s">
        <v>109</v>
      </c>
      <c r="F102" s="1406" t="e">
        <f>SUM(F73:F101)</f>
        <v>#REF!</v>
      </c>
      <c r="G102" s="493"/>
      <c r="H102" s="493"/>
      <c r="I102" s="494"/>
      <c r="J102" s="493"/>
      <c r="L102" s="495">
        <f>2.95*2</f>
        <v>5.9</v>
      </c>
    </row>
    <row r="103" spans="1:16" s="129" customFormat="1">
      <c r="A103" s="1588"/>
      <c r="B103" s="182"/>
      <c r="C103" s="1600"/>
      <c r="D103" s="410"/>
      <c r="E103" s="1266"/>
      <c r="F103" s="1266"/>
      <c r="G103" s="255"/>
      <c r="H103" s="255"/>
      <c r="I103" s="262"/>
      <c r="J103" s="255"/>
    </row>
    <row r="104" spans="1:16" s="495" customFormat="1" ht="24.95" customHeight="1">
      <c r="A104" s="1919" t="e">
        <f>+#REF!</f>
        <v>#REF!</v>
      </c>
      <c r="B104" s="1920"/>
      <c r="C104" s="1920"/>
      <c r="D104" s="1920"/>
      <c r="E104" s="1920"/>
      <c r="F104" s="1921"/>
      <c r="G104" s="493"/>
      <c r="H104" s="493"/>
      <c r="I104" s="494"/>
      <c r="J104" s="493"/>
    </row>
    <row r="105" spans="1:16" s="129" customFormat="1">
      <c r="A105" s="745" t="e">
        <f>+#REF!</f>
        <v>#REF!</v>
      </c>
      <c r="B105" s="830" t="e">
        <f>+#REF!</f>
        <v>#REF!</v>
      </c>
      <c r="C105" s="1478"/>
      <c r="D105" s="543"/>
      <c r="E105" s="1260"/>
      <c r="F105" s="1258"/>
      <c r="G105" s="255"/>
      <c r="H105" s="255"/>
      <c r="I105" s="262"/>
      <c r="J105" s="255"/>
      <c r="L105" s="129">
        <v>6.1</v>
      </c>
    </row>
    <row r="106" spans="1:16" s="129" customFormat="1">
      <c r="A106" s="639"/>
      <c r="B106" s="681"/>
      <c r="C106" s="1523" t="e">
        <f>#REF!</f>
        <v>#REF!</v>
      </c>
      <c r="D106" s="1521">
        <f>J106</f>
        <v>62272.28517857143</v>
      </c>
      <c r="E106" s="1261" t="e">
        <f>#REF!</f>
        <v>#REF!</v>
      </c>
      <c r="F106" s="1259" t="e">
        <f>+D106*E106</f>
        <v>#REF!</v>
      </c>
      <c r="G106" s="255"/>
      <c r="H106" s="336">
        <f>83607*0.9</f>
        <v>75246.3</v>
      </c>
      <c r="I106" s="262">
        <v>1</v>
      </c>
      <c r="J106" s="255">
        <f>H106*I106-J108</f>
        <v>62272.28517857143</v>
      </c>
      <c r="L106" s="129">
        <f>2*9</f>
        <v>18</v>
      </c>
      <c r="M106" s="129" t="s">
        <v>498</v>
      </c>
    </row>
    <row r="107" spans="1:16" s="129" customFormat="1">
      <c r="A107" s="745" t="e">
        <f>+#REF!</f>
        <v>#REF!</v>
      </c>
      <c r="B107" s="830" t="e">
        <f>+#REF!</f>
        <v>#REF!</v>
      </c>
      <c r="C107" s="1478"/>
      <c r="D107" s="543"/>
      <c r="E107" s="1260"/>
      <c r="F107" s="1258"/>
      <c r="G107" s="255"/>
      <c r="H107" s="255"/>
      <c r="I107" s="262"/>
      <c r="J107" s="255"/>
      <c r="L107" s="129">
        <f>2*2</f>
        <v>4</v>
      </c>
    </row>
    <row r="108" spans="1:16" s="129" customFormat="1">
      <c r="A108" s="639"/>
      <c r="B108" s="681"/>
      <c r="C108" s="1523" t="e">
        <f>#REF!</f>
        <v>#REF!</v>
      </c>
      <c r="D108" s="1521">
        <f>+J108</f>
        <v>12974.014821428573</v>
      </c>
      <c r="E108" s="1261" t="e">
        <f>+#REF!</f>
        <v>#REF!</v>
      </c>
      <c r="F108" s="1259" t="e">
        <f t="shared" ref="F108" si="8">+D108*E108</f>
        <v>#REF!</v>
      </c>
      <c r="G108" s="255"/>
      <c r="H108" s="328">
        <f>+H106/2016*(2016-1700)</f>
        <v>11794.558928571429</v>
      </c>
      <c r="I108" s="262">
        <v>1.1000000000000001</v>
      </c>
      <c r="J108" s="255">
        <f>H108*I108</f>
        <v>12974.014821428573</v>
      </c>
      <c r="K108" s="328">
        <f>+K106/2016*(2016-1700)</f>
        <v>0</v>
      </c>
      <c r="L108" s="262">
        <v>1.1000000000000001</v>
      </c>
      <c r="M108" s="255">
        <f>K108*L108</f>
        <v>0</v>
      </c>
      <c r="N108" s="328">
        <f>+N106/2016*(2016-1700)</f>
        <v>0</v>
      </c>
      <c r="O108" s="262">
        <v>1.1000000000000001</v>
      </c>
      <c r="P108" s="255">
        <f>N108*O108</f>
        <v>0</v>
      </c>
    </row>
    <row r="109" spans="1:16" s="129" customFormat="1">
      <c r="A109" s="745" t="e">
        <f>+#REF!</f>
        <v>#REF!</v>
      </c>
      <c r="B109" s="830" t="e">
        <f>+#REF!</f>
        <v>#REF!</v>
      </c>
      <c r="C109" s="1478"/>
      <c r="D109" s="543"/>
      <c r="E109" s="1260"/>
      <c r="F109" s="1258"/>
      <c r="G109" s="255"/>
      <c r="H109" s="328">
        <f>+H107/2016*(2016-1700)</f>
        <v>0</v>
      </c>
      <c r="I109" s="262">
        <v>1.1000000000000001</v>
      </c>
      <c r="J109" s="255">
        <f>H109*I109</f>
        <v>0</v>
      </c>
      <c r="K109" s="328">
        <f>+K107/2016*(2016-1700)</f>
        <v>0</v>
      </c>
      <c r="L109" s="262">
        <v>1.1000000000000001</v>
      </c>
      <c r="M109" s="255">
        <f>K109*L109</f>
        <v>0</v>
      </c>
      <c r="N109" s="328">
        <f>+N107/2016*(2016-1700)</f>
        <v>0</v>
      </c>
      <c r="O109" s="262">
        <v>1.1000000000000001</v>
      </c>
      <c r="P109" s="255">
        <f>N109*O109</f>
        <v>0</v>
      </c>
    </row>
    <row r="110" spans="1:16" s="129" customFormat="1">
      <c r="A110" s="639"/>
      <c r="B110" s="681"/>
      <c r="C110" s="1523" t="e">
        <f>#REF!</f>
        <v>#REF!</v>
      </c>
      <c r="D110" s="1521">
        <f>J110</f>
        <v>50803.44</v>
      </c>
      <c r="E110" s="1261" t="e">
        <f>#REF!</f>
        <v>#REF!</v>
      </c>
      <c r="F110" s="1259" t="e">
        <f>+D110*E110</f>
        <v>#REF!</v>
      </c>
      <c r="G110" s="255"/>
      <c r="H110" s="256">
        <f>H106-(6.3*2.4*F4)-(4.3*2.4*F3)-(1+0.25*2+0.1*2)*(1.5+0.25*2+0.1)*F6</f>
        <v>63504.3</v>
      </c>
      <c r="I110" s="262">
        <v>0.8</v>
      </c>
      <c r="J110" s="255">
        <f>H110*I110</f>
        <v>50803.44</v>
      </c>
      <c r="L110" s="129">
        <f>2*3</f>
        <v>6</v>
      </c>
    </row>
    <row r="111" spans="1:16" s="129" customFormat="1">
      <c r="A111" s="745" t="e">
        <f>+#REF!</f>
        <v>#REF!</v>
      </c>
      <c r="B111" s="830" t="e">
        <f>+#REF!</f>
        <v>#REF!</v>
      </c>
      <c r="C111" s="1478"/>
      <c r="D111" s="543"/>
      <c r="E111" s="1260"/>
      <c r="F111" s="1258"/>
      <c r="G111" s="255"/>
      <c r="H111" s="255"/>
      <c r="I111" s="262"/>
      <c r="J111" s="255"/>
    </row>
    <row r="112" spans="1:16" s="129" customFormat="1">
      <c r="A112" s="639"/>
      <c r="B112" s="681"/>
      <c r="C112" s="1523" t="e">
        <f>#REF!</f>
        <v>#REF!</v>
      </c>
      <c r="D112" s="1521">
        <v>150</v>
      </c>
      <c r="E112" s="1261" t="e">
        <f>#REF!</f>
        <v>#REF!</v>
      </c>
      <c r="F112" s="1259" t="e">
        <f>+D112*E112</f>
        <v>#REF!</v>
      </c>
      <c r="G112" s="255"/>
      <c r="H112" s="255"/>
      <c r="I112" s="262"/>
      <c r="J112" s="255"/>
    </row>
    <row r="113" spans="1:189" s="129" customFormat="1">
      <c r="A113" s="745" t="e">
        <f>+#REF!</f>
        <v>#REF!</v>
      </c>
      <c r="B113" s="830" t="e">
        <f>+#REF!</f>
        <v>#REF!</v>
      </c>
      <c r="C113" s="1478"/>
      <c r="D113" s="543"/>
      <c r="E113" s="1260"/>
      <c r="F113" s="1258"/>
      <c r="G113" s="255"/>
      <c r="H113" s="255"/>
      <c r="I113" s="262"/>
      <c r="J113" s="255"/>
    </row>
    <row r="114" spans="1:189" s="129" customFormat="1">
      <c r="A114" s="639"/>
      <c r="B114" s="681"/>
      <c r="C114" s="1523" t="e">
        <f>#REF!</f>
        <v>#REF!</v>
      </c>
      <c r="D114" s="1521">
        <v>275</v>
      </c>
      <c r="E114" s="1261" t="e">
        <f>#REF!</f>
        <v>#REF!</v>
      </c>
      <c r="F114" s="1259" t="e">
        <f>+D114*E114</f>
        <v>#REF!</v>
      </c>
      <c r="G114" s="255"/>
      <c r="H114" s="255"/>
      <c r="I114" s="262"/>
      <c r="J114" s="255">
        <f>6.2+2</f>
        <v>8.1999999999999993</v>
      </c>
      <c r="K114" s="129">
        <f>2</f>
        <v>2</v>
      </c>
    </row>
    <row r="115" spans="1:189" s="129" customFormat="1">
      <c r="A115" s="745" t="e">
        <f>+#REF!</f>
        <v>#REF!</v>
      </c>
      <c r="B115" s="830" t="e">
        <f>+#REF!</f>
        <v>#REF!</v>
      </c>
      <c r="C115" s="1478"/>
      <c r="D115" s="543"/>
      <c r="E115" s="1260"/>
      <c r="F115" s="1258"/>
      <c r="G115" s="255"/>
      <c r="H115" s="255"/>
      <c r="I115" s="262"/>
      <c r="J115" s="255"/>
      <c r="K115" s="129">
        <f>J114*K114/2</f>
        <v>8.1999999999999993</v>
      </c>
    </row>
    <row r="116" spans="1:189" s="129" customFormat="1">
      <c r="A116" s="639" t="e">
        <f>+#REF!</f>
        <v>#REF!</v>
      </c>
      <c r="B116" s="681" t="e">
        <f>+#REF!</f>
        <v>#REF!</v>
      </c>
      <c r="C116" s="1523" t="e">
        <f>#REF!</f>
        <v>#REF!</v>
      </c>
      <c r="D116" s="1521">
        <f>(D120)*110</f>
        <v>19250</v>
      </c>
      <c r="E116" s="1261" t="e">
        <f>#REF!</f>
        <v>#REF!</v>
      </c>
      <c r="F116" s="1259" t="e">
        <f>+D116*E116</f>
        <v>#REF!</v>
      </c>
      <c r="G116" s="255"/>
      <c r="H116" s="255"/>
      <c r="I116" s="262"/>
      <c r="J116" s="255"/>
    </row>
    <row r="117" spans="1:189" s="129" customFormat="1">
      <c r="A117" s="745" t="e">
        <f>+#REF!</f>
        <v>#REF!</v>
      </c>
      <c r="B117" s="830" t="e">
        <f>+#REF!</f>
        <v>#REF!</v>
      </c>
      <c r="C117" s="1478"/>
      <c r="D117" s="543"/>
      <c r="E117" s="1260"/>
      <c r="F117" s="1258"/>
      <c r="G117" s="255"/>
      <c r="H117" s="255"/>
      <c r="I117" s="262"/>
      <c r="J117" s="255"/>
      <c r="L117" s="129">
        <f>0.1+0.25+0.25+0.25+0.1</f>
        <v>0.95</v>
      </c>
    </row>
    <row r="118" spans="1:189" s="129" customFormat="1">
      <c r="A118" s="639"/>
      <c r="B118" s="681"/>
      <c r="C118" s="1523" t="e">
        <f>#REF!</f>
        <v>#REF!</v>
      </c>
      <c r="D118" s="1521">
        <v>110</v>
      </c>
      <c r="E118" s="1261" t="e">
        <f>#REF!</f>
        <v>#REF!</v>
      </c>
      <c r="F118" s="1259" t="e">
        <f>+D118*E118</f>
        <v>#REF!</v>
      </c>
      <c r="G118" s="255"/>
      <c r="H118" s="255"/>
      <c r="I118" s="262"/>
      <c r="J118" s="255"/>
      <c r="L118" s="129">
        <f>1*2+L117</f>
        <v>2.95</v>
      </c>
      <c r="N118" s="129">
        <f>0.1+0.25+1.8+0.25</f>
        <v>2.4</v>
      </c>
    </row>
    <row r="119" spans="1:189" s="129" customFormat="1">
      <c r="A119" s="745" t="e">
        <f>+#REF!</f>
        <v>#REF!</v>
      </c>
      <c r="B119" s="830" t="e">
        <f>+#REF!</f>
        <v>#REF!</v>
      </c>
      <c r="C119" s="1478"/>
      <c r="D119" s="543"/>
      <c r="E119" s="1260"/>
      <c r="F119" s="1258"/>
      <c r="G119" s="255"/>
      <c r="H119" s="255"/>
      <c r="I119" s="262"/>
      <c r="J119" s="255"/>
    </row>
    <row r="120" spans="1:189" s="129" customFormat="1">
      <c r="A120" s="639"/>
      <c r="B120" s="681"/>
      <c r="C120" s="1523" t="e">
        <f>#REF!</f>
        <v>#REF!</v>
      </c>
      <c r="D120" s="1521">
        <v>175</v>
      </c>
      <c r="E120" s="1261" t="e">
        <f>#REF!</f>
        <v>#REF!</v>
      </c>
      <c r="F120" s="1259" t="e">
        <f>+D120*E120</f>
        <v>#REF!</v>
      </c>
      <c r="G120" s="255"/>
      <c r="H120" s="255"/>
      <c r="I120" s="262"/>
      <c r="J120" s="255"/>
    </row>
    <row r="121" spans="1:189" s="129" customFormat="1" ht="30" customHeight="1">
      <c r="A121" s="1449" t="e">
        <f>+#REF!</f>
        <v>#REF!</v>
      </c>
      <c r="B121" s="1448" t="e">
        <f>+#REF!</f>
        <v>#REF!</v>
      </c>
      <c r="C121" s="1516"/>
      <c r="D121" s="954"/>
      <c r="E121" s="1260"/>
      <c r="F121" s="1258"/>
      <c r="G121" s="255"/>
      <c r="H121" s="255"/>
      <c r="I121" s="262"/>
      <c r="J121" s="255"/>
    </row>
    <row r="122" spans="1:189" s="129" customFormat="1">
      <c r="A122" s="638" t="e">
        <f>+#REF!</f>
        <v>#REF!</v>
      </c>
      <c r="B122" s="749" t="e">
        <f>+#REF!</f>
        <v>#REF!</v>
      </c>
      <c r="C122" s="1522" t="e">
        <f>#REF!</f>
        <v>#REF!</v>
      </c>
      <c r="D122" s="955">
        <f>J122</f>
        <v>440.50600000000009</v>
      </c>
      <c r="E122" s="1265" t="e">
        <f>#REF!</f>
        <v>#REF!</v>
      </c>
      <c r="F122" s="1267" t="e">
        <f>+D122*E122</f>
        <v>#REF!</v>
      </c>
      <c r="G122" s="255"/>
      <c r="H122" s="255">
        <f>2%*J56</f>
        <v>400.46000000000004</v>
      </c>
      <c r="I122" s="262">
        <v>1.1000000000000001</v>
      </c>
      <c r="J122" s="255">
        <f>H122*I122</f>
        <v>440.50600000000009</v>
      </c>
    </row>
    <row r="123" spans="1:189" s="129" customFormat="1">
      <c r="A123" s="638" t="e">
        <f>+#REF!</f>
        <v>#REF!</v>
      </c>
      <c r="B123" s="749" t="e">
        <f>+#REF!</f>
        <v>#REF!</v>
      </c>
      <c r="C123" s="1522" t="e">
        <f>#REF!</f>
        <v>#REF!</v>
      </c>
      <c r="D123" s="955">
        <f>J123</f>
        <v>220.25300000000004</v>
      </c>
      <c r="E123" s="1265" t="e">
        <f>#REF!</f>
        <v>#REF!</v>
      </c>
      <c r="F123" s="1267" t="e">
        <f>+D123*E123</f>
        <v>#REF!</v>
      </c>
      <c r="G123" s="255"/>
      <c r="H123" s="255">
        <f>1%*H56</f>
        <v>200.23000000000002</v>
      </c>
      <c r="I123" s="262">
        <v>1.1000000000000001</v>
      </c>
      <c r="J123" s="255">
        <f>H123*I123</f>
        <v>220.25300000000004</v>
      </c>
    </row>
    <row r="124" spans="1:189">
      <c r="A124" s="639" t="e">
        <f>+#REF!</f>
        <v>#REF!</v>
      </c>
      <c r="B124" s="681" t="e">
        <f>+#REF!</f>
        <v>#REF!</v>
      </c>
      <c r="C124" s="1523" t="e">
        <f>#REF!</f>
        <v>#REF!</v>
      </c>
      <c r="D124" s="1143">
        <f>H124</f>
        <v>30</v>
      </c>
      <c r="E124" s="1261" t="e">
        <f>#REF!</f>
        <v>#REF!</v>
      </c>
      <c r="F124" s="1259" t="e">
        <f>+D124*E124</f>
        <v>#REF!</v>
      </c>
      <c r="H124" s="255">
        <v>30</v>
      </c>
    </row>
    <row r="125" spans="1:189" s="225" customFormat="1">
      <c r="A125" s="745" t="e">
        <f>+#REF!</f>
        <v>#REF!</v>
      </c>
      <c r="B125" s="1448" t="e">
        <f>+#REF!</f>
        <v>#REF!</v>
      </c>
      <c r="C125" s="1264"/>
      <c r="D125" s="1519"/>
      <c r="E125" s="1260"/>
      <c r="F125" s="1258"/>
      <c r="G125" s="259"/>
      <c r="H125" s="259"/>
      <c r="I125" s="265"/>
      <c r="J125" s="255">
        <f>H125*I125</f>
        <v>0</v>
      </c>
      <c r="K125" s="226"/>
      <c r="L125" s="226"/>
      <c r="M125" s="226"/>
      <c r="N125" s="226"/>
      <c r="O125" s="226"/>
      <c r="P125" s="226"/>
      <c r="Q125" s="226"/>
      <c r="R125" s="226"/>
      <c r="S125" s="226"/>
      <c r="T125" s="226"/>
      <c r="U125" s="226"/>
      <c r="V125" s="226"/>
      <c r="W125" s="226"/>
      <c r="X125" s="226"/>
      <c r="Y125" s="226"/>
      <c r="Z125" s="226"/>
      <c r="AA125" s="226"/>
      <c r="AB125" s="226"/>
      <c r="AC125" s="226"/>
      <c r="AD125" s="226"/>
      <c r="AE125" s="226"/>
      <c r="AF125" s="226"/>
      <c r="AG125" s="226"/>
      <c r="AH125" s="226"/>
      <c r="AI125" s="226"/>
      <c r="AJ125" s="226"/>
      <c r="AK125" s="226"/>
      <c r="AL125" s="226"/>
      <c r="AM125" s="226"/>
      <c r="AN125" s="226"/>
      <c r="AO125" s="226"/>
      <c r="AP125" s="226"/>
      <c r="AQ125" s="226"/>
      <c r="AR125" s="226"/>
      <c r="AS125" s="226"/>
      <c r="AT125" s="226"/>
      <c r="AU125" s="226"/>
      <c r="AV125" s="226"/>
      <c r="AW125" s="226"/>
      <c r="AX125" s="226"/>
      <c r="AY125" s="226"/>
      <c r="AZ125" s="226"/>
      <c r="BA125" s="226"/>
      <c r="BB125" s="226"/>
      <c r="BC125" s="226"/>
      <c r="BD125" s="226"/>
      <c r="BE125" s="226"/>
      <c r="BF125" s="226"/>
      <c r="BG125" s="226"/>
      <c r="BH125" s="226"/>
      <c r="BI125" s="226"/>
      <c r="BJ125" s="226"/>
      <c r="BK125" s="226"/>
      <c r="BL125" s="226"/>
      <c r="BM125" s="226"/>
      <c r="BN125" s="226"/>
      <c r="BO125" s="226"/>
      <c r="BP125" s="226"/>
      <c r="BQ125" s="226"/>
      <c r="BR125" s="226"/>
      <c r="BS125" s="226"/>
      <c r="BT125" s="226"/>
      <c r="BU125" s="226"/>
      <c r="BV125" s="226"/>
      <c r="BW125" s="226"/>
      <c r="BX125" s="226"/>
      <c r="BY125" s="226"/>
      <c r="BZ125" s="226"/>
      <c r="CA125" s="226"/>
      <c r="CB125" s="226"/>
      <c r="CC125" s="226"/>
      <c r="CD125" s="226"/>
      <c r="CE125" s="226"/>
      <c r="CF125" s="226"/>
      <c r="CG125" s="226"/>
      <c r="CH125" s="226"/>
      <c r="CI125" s="226"/>
      <c r="CJ125" s="226"/>
      <c r="CK125" s="226"/>
      <c r="CL125" s="226"/>
      <c r="CM125" s="226"/>
      <c r="CN125" s="226"/>
      <c r="CO125" s="226"/>
      <c r="CP125" s="226"/>
      <c r="CQ125" s="226"/>
      <c r="CR125" s="226"/>
      <c r="CS125" s="226"/>
      <c r="CT125" s="226"/>
      <c r="CU125" s="226"/>
      <c r="CV125" s="226"/>
      <c r="CW125" s="226"/>
      <c r="CX125" s="226"/>
      <c r="CY125" s="226"/>
      <c r="CZ125" s="226"/>
      <c r="DA125" s="226"/>
      <c r="DB125" s="226"/>
      <c r="DC125" s="226"/>
      <c r="DD125" s="226"/>
      <c r="DE125" s="226"/>
      <c r="DF125" s="226"/>
      <c r="DG125" s="226"/>
      <c r="DH125" s="226"/>
      <c r="DI125" s="226"/>
      <c r="DJ125" s="226"/>
      <c r="DK125" s="226"/>
      <c r="DL125" s="226"/>
      <c r="DM125" s="226"/>
      <c r="DN125" s="226"/>
      <c r="DO125" s="226"/>
      <c r="DP125" s="226"/>
      <c r="DQ125" s="226"/>
      <c r="DR125" s="226"/>
      <c r="DS125" s="226"/>
      <c r="DT125" s="226"/>
      <c r="DU125" s="226"/>
      <c r="DV125" s="226"/>
      <c r="DW125" s="226"/>
      <c r="DX125" s="226"/>
      <c r="DY125" s="226"/>
      <c r="DZ125" s="226"/>
      <c r="EA125" s="226"/>
      <c r="EB125" s="226"/>
      <c r="EC125" s="226"/>
      <c r="ED125" s="226"/>
      <c r="EE125" s="226"/>
      <c r="EF125" s="226"/>
      <c r="EG125" s="226"/>
      <c r="EH125" s="226"/>
      <c r="EI125" s="226"/>
      <c r="EJ125" s="226"/>
      <c r="EK125" s="226"/>
      <c r="EL125" s="226"/>
      <c r="EM125" s="226"/>
      <c r="EN125" s="226"/>
      <c r="EO125" s="226"/>
      <c r="EP125" s="226"/>
      <c r="EQ125" s="226"/>
      <c r="ER125" s="226"/>
      <c r="ES125" s="226"/>
      <c r="ET125" s="226"/>
      <c r="EU125" s="226"/>
      <c r="EV125" s="226"/>
      <c r="EW125" s="226"/>
      <c r="EX125" s="226"/>
      <c r="EY125" s="226"/>
      <c r="EZ125" s="226"/>
      <c r="FA125" s="226"/>
      <c r="FB125" s="226"/>
      <c r="FC125" s="226"/>
      <c r="FD125" s="226"/>
      <c r="FE125" s="226"/>
      <c r="FF125" s="226"/>
      <c r="FG125" s="226"/>
      <c r="FH125" s="226"/>
      <c r="FI125" s="226"/>
      <c r="FJ125" s="226"/>
      <c r="FK125" s="226"/>
      <c r="FL125" s="226"/>
      <c r="FM125" s="226"/>
      <c r="FN125" s="226"/>
      <c r="FO125" s="226"/>
      <c r="FP125" s="226"/>
      <c r="FQ125" s="226"/>
      <c r="FR125" s="226"/>
      <c r="FS125" s="226"/>
      <c r="FT125" s="226"/>
      <c r="FU125" s="226"/>
      <c r="FV125" s="226"/>
      <c r="FW125" s="226"/>
      <c r="FX125" s="226"/>
      <c r="FY125" s="226"/>
      <c r="FZ125" s="226"/>
      <c r="GA125" s="226"/>
      <c r="GB125" s="226"/>
      <c r="GC125" s="226"/>
      <c r="GD125" s="226"/>
      <c r="GE125" s="226"/>
      <c r="GF125" s="226"/>
      <c r="GG125" s="226"/>
    </row>
    <row r="126" spans="1:189" s="225" customFormat="1">
      <c r="A126" s="638" t="e">
        <f>+#REF!</f>
        <v>#REF!</v>
      </c>
      <c r="B126" s="749" t="e">
        <f>+#REF!</f>
        <v>#REF!</v>
      </c>
      <c r="C126" s="1522" t="e">
        <f>#REF!</f>
        <v>#REF!</v>
      </c>
      <c r="D126" s="1520">
        <f>+J126</f>
        <v>1152</v>
      </c>
      <c r="E126" s="1265" t="e">
        <f>+#REF!</f>
        <v>#REF!</v>
      </c>
      <c r="F126" s="1267" t="e">
        <f>+D126*E126</f>
        <v>#REF!</v>
      </c>
      <c r="G126" s="259"/>
      <c r="H126" s="225">
        <f>+(F9+F10+F11)*2*0.6</f>
        <v>960</v>
      </c>
      <c r="I126" s="265">
        <v>1.2</v>
      </c>
      <c r="J126" s="255">
        <f>H126*I126</f>
        <v>1152</v>
      </c>
      <c r="K126" s="226" t="s">
        <v>595</v>
      </c>
      <c r="L126" s="226"/>
      <c r="M126" s="226">
        <f>+(F9+F10+F11)*2</f>
        <v>1600</v>
      </c>
      <c r="N126" s="226"/>
      <c r="O126" s="226"/>
      <c r="P126" s="226"/>
      <c r="Q126" s="226"/>
      <c r="R126" s="226"/>
      <c r="S126" s="226"/>
      <c r="T126" s="226"/>
      <c r="U126" s="226"/>
      <c r="V126" s="226"/>
      <c r="W126" s="226"/>
      <c r="X126" s="226"/>
      <c r="Y126" s="226"/>
      <c r="Z126" s="226"/>
      <c r="AA126" s="226"/>
      <c r="AB126" s="226"/>
      <c r="AC126" s="226"/>
      <c r="AD126" s="226"/>
      <c r="AE126" s="226"/>
      <c r="AF126" s="226"/>
      <c r="AG126" s="226"/>
      <c r="AH126" s="226"/>
      <c r="AI126" s="226"/>
      <c r="AJ126" s="226"/>
      <c r="AK126" s="226"/>
      <c r="AL126" s="226"/>
      <c r="AM126" s="226"/>
      <c r="AN126" s="226"/>
      <c r="AO126" s="226"/>
      <c r="AP126" s="226"/>
      <c r="AQ126" s="226"/>
      <c r="AR126" s="226"/>
      <c r="AS126" s="226"/>
      <c r="AT126" s="226"/>
      <c r="AU126" s="226"/>
      <c r="AV126" s="226"/>
      <c r="AW126" s="226"/>
      <c r="AX126" s="226"/>
      <c r="AY126" s="226"/>
      <c r="AZ126" s="226"/>
      <c r="BA126" s="226"/>
      <c r="BB126" s="226"/>
      <c r="BC126" s="226"/>
      <c r="BD126" s="226"/>
      <c r="BE126" s="226"/>
      <c r="BF126" s="226"/>
      <c r="BG126" s="226"/>
      <c r="BH126" s="226"/>
      <c r="BI126" s="226"/>
      <c r="BJ126" s="226"/>
      <c r="BK126" s="226"/>
      <c r="BL126" s="226"/>
      <c r="BM126" s="226"/>
      <c r="BN126" s="226"/>
      <c r="BO126" s="226"/>
      <c r="BP126" s="226"/>
      <c r="BQ126" s="226"/>
      <c r="BR126" s="226"/>
      <c r="BS126" s="226"/>
      <c r="BT126" s="226"/>
      <c r="BU126" s="226"/>
      <c r="BV126" s="226"/>
      <c r="BW126" s="226"/>
      <c r="BX126" s="226"/>
      <c r="BY126" s="226"/>
      <c r="BZ126" s="226"/>
      <c r="CA126" s="226"/>
      <c r="CB126" s="226"/>
      <c r="CC126" s="226"/>
      <c r="CD126" s="226"/>
      <c r="CE126" s="226"/>
      <c r="CF126" s="226"/>
      <c r="CG126" s="226"/>
      <c r="CH126" s="226"/>
      <c r="CI126" s="226"/>
      <c r="CJ126" s="226"/>
      <c r="CK126" s="226"/>
      <c r="CL126" s="226"/>
      <c r="CM126" s="226"/>
      <c r="CN126" s="226"/>
      <c r="CO126" s="226"/>
      <c r="CP126" s="226"/>
      <c r="CQ126" s="226"/>
      <c r="CR126" s="226"/>
      <c r="CS126" s="226"/>
      <c r="CT126" s="226"/>
      <c r="CU126" s="226"/>
      <c r="CV126" s="226"/>
      <c r="CW126" s="226"/>
      <c r="CX126" s="226"/>
      <c r="CY126" s="226"/>
      <c r="CZ126" s="226"/>
      <c r="DA126" s="226"/>
      <c r="DB126" s="226"/>
      <c r="DC126" s="226"/>
      <c r="DD126" s="226"/>
      <c r="DE126" s="226"/>
      <c r="DF126" s="226"/>
      <c r="DG126" s="226"/>
      <c r="DH126" s="226"/>
      <c r="DI126" s="226"/>
      <c r="DJ126" s="226"/>
      <c r="DK126" s="226"/>
      <c r="DL126" s="226"/>
      <c r="DM126" s="226"/>
      <c r="DN126" s="226"/>
      <c r="DO126" s="226"/>
      <c r="DP126" s="226"/>
      <c r="DQ126" s="226"/>
      <c r="DR126" s="226"/>
      <c r="DS126" s="226"/>
      <c r="DT126" s="226"/>
      <c r="DU126" s="226"/>
      <c r="DV126" s="226"/>
      <c r="DW126" s="226"/>
      <c r="DX126" s="226"/>
      <c r="DY126" s="226"/>
      <c r="DZ126" s="226"/>
      <c r="EA126" s="226"/>
      <c r="EB126" s="226"/>
      <c r="EC126" s="226"/>
      <c r="ED126" s="226"/>
      <c r="EE126" s="226"/>
      <c r="EF126" s="226"/>
      <c r="EG126" s="226"/>
      <c r="EH126" s="226"/>
      <c r="EI126" s="226"/>
      <c r="EJ126" s="226"/>
      <c r="EK126" s="226"/>
      <c r="EL126" s="226"/>
      <c r="EM126" s="226"/>
      <c r="EN126" s="226"/>
      <c r="EO126" s="226"/>
      <c r="EP126" s="226"/>
      <c r="EQ126" s="226"/>
      <c r="ER126" s="226"/>
      <c r="ES126" s="226"/>
      <c r="ET126" s="226"/>
      <c r="EU126" s="226"/>
      <c r="EV126" s="226"/>
      <c r="EW126" s="226"/>
      <c r="EX126" s="226"/>
      <c r="EY126" s="226"/>
      <c r="EZ126" s="226"/>
      <c r="FA126" s="226"/>
      <c r="FB126" s="226"/>
      <c r="FC126" s="226"/>
      <c r="FD126" s="226"/>
      <c r="FE126" s="226"/>
      <c r="FF126" s="226"/>
      <c r="FG126" s="226"/>
      <c r="FH126" s="226"/>
      <c r="FI126" s="226"/>
      <c r="FJ126" s="226"/>
      <c r="FK126" s="226"/>
      <c r="FL126" s="226"/>
      <c r="FM126" s="226"/>
      <c r="FN126" s="226"/>
      <c r="FO126" s="226"/>
      <c r="FP126" s="226"/>
      <c r="FQ126" s="226"/>
      <c r="FR126" s="226"/>
      <c r="FS126" s="226"/>
      <c r="FT126" s="226"/>
      <c r="FU126" s="226"/>
      <c r="FV126" s="226"/>
      <c r="FW126" s="226"/>
      <c r="FX126" s="226"/>
      <c r="FY126" s="226"/>
      <c r="FZ126" s="226"/>
      <c r="GA126" s="226"/>
      <c r="GB126" s="226"/>
      <c r="GC126" s="226"/>
      <c r="GD126" s="226"/>
      <c r="GE126" s="226"/>
      <c r="GF126" s="226"/>
      <c r="GG126" s="226"/>
    </row>
    <row r="127" spans="1:189" s="225" customFormat="1">
      <c r="A127" s="639" t="e">
        <f>+#REF!</f>
        <v>#REF!</v>
      </c>
      <c r="B127" s="681" t="e">
        <f>+#REF!</f>
        <v>#REF!</v>
      </c>
      <c r="C127" s="1523" t="e">
        <f>#REF!</f>
        <v>#REF!</v>
      </c>
      <c r="D127" s="1521">
        <f>+J127</f>
        <v>704</v>
      </c>
      <c r="E127" s="1261" t="e">
        <f>+#REF!</f>
        <v>#REF!</v>
      </c>
      <c r="F127" s="1259" t="e">
        <f>+D127*E127</f>
        <v>#REF!</v>
      </c>
      <c r="G127" s="259"/>
      <c r="H127" s="225">
        <f>+(F9+F10+F11)*2*0.4</f>
        <v>640</v>
      </c>
      <c r="I127" s="265">
        <v>1.1000000000000001</v>
      </c>
      <c r="J127" s="255">
        <f>H127*I127</f>
        <v>704</v>
      </c>
      <c r="K127" s="226"/>
      <c r="L127" s="226"/>
      <c r="M127" s="226"/>
      <c r="N127" s="226"/>
      <c r="O127" s="226"/>
      <c r="P127" s="226"/>
      <c r="Q127" s="226"/>
      <c r="R127" s="226"/>
      <c r="S127" s="226"/>
      <c r="T127" s="226"/>
      <c r="U127" s="226"/>
      <c r="V127" s="226"/>
      <c r="W127" s="226"/>
      <c r="X127" s="226"/>
      <c r="Y127" s="226"/>
      <c r="Z127" s="226"/>
      <c r="AA127" s="226"/>
      <c r="AB127" s="226"/>
      <c r="AC127" s="226"/>
      <c r="AD127" s="226"/>
      <c r="AE127" s="226"/>
      <c r="AF127" s="226"/>
      <c r="AG127" s="226"/>
      <c r="AH127" s="226"/>
      <c r="AI127" s="226"/>
      <c r="AJ127" s="226"/>
      <c r="AK127" s="226"/>
      <c r="AL127" s="226"/>
      <c r="AM127" s="226"/>
      <c r="AN127" s="226"/>
      <c r="AO127" s="226"/>
      <c r="AP127" s="226"/>
      <c r="AQ127" s="226"/>
      <c r="AR127" s="226"/>
      <c r="AS127" s="226"/>
      <c r="AT127" s="226"/>
      <c r="AU127" s="226"/>
      <c r="AV127" s="226"/>
      <c r="AW127" s="226"/>
      <c r="AX127" s="226"/>
      <c r="AY127" s="226"/>
      <c r="AZ127" s="226"/>
      <c r="BA127" s="226"/>
      <c r="BB127" s="226"/>
      <c r="BC127" s="226"/>
      <c r="BD127" s="226"/>
      <c r="BE127" s="226"/>
      <c r="BF127" s="226"/>
      <c r="BG127" s="226"/>
      <c r="BH127" s="226"/>
      <c r="BI127" s="226"/>
      <c r="BJ127" s="226"/>
      <c r="BK127" s="226"/>
      <c r="BL127" s="226"/>
      <c r="BM127" s="226"/>
      <c r="BN127" s="226"/>
      <c r="BO127" s="226"/>
      <c r="BP127" s="226"/>
      <c r="BQ127" s="226"/>
      <c r="BR127" s="226"/>
      <c r="BS127" s="226"/>
      <c r="BT127" s="226"/>
      <c r="BU127" s="226"/>
      <c r="BV127" s="226"/>
      <c r="BW127" s="226"/>
      <c r="BX127" s="226"/>
      <c r="BY127" s="226"/>
      <c r="BZ127" s="226"/>
      <c r="CA127" s="226"/>
      <c r="CB127" s="226"/>
      <c r="CC127" s="226"/>
      <c r="CD127" s="226"/>
      <c r="CE127" s="226"/>
      <c r="CF127" s="226"/>
      <c r="CG127" s="226"/>
      <c r="CH127" s="226"/>
      <c r="CI127" s="226"/>
      <c r="CJ127" s="226"/>
      <c r="CK127" s="226"/>
      <c r="CL127" s="226"/>
      <c r="CM127" s="226"/>
      <c r="CN127" s="226"/>
      <c r="CO127" s="226"/>
      <c r="CP127" s="226"/>
      <c r="CQ127" s="226"/>
      <c r="CR127" s="226"/>
      <c r="CS127" s="226"/>
      <c r="CT127" s="226"/>
      <c r="CU127" s="226"/>
      <c r="CV127" s="226"/>
      <c r="CW127" s="226"/>
      <c r="CX127" s="226"/>
      <c r="CY127" s="226"/>
      <c r="CZ127" s="226"/>
      <c r="DA127" s="226"/>
      <c r="DB127" s="226"/>
      <c r="DC127" s="226"/>
      <c r="DD127" s="226"/>
      <c r="DE127" s="226"/>
      <c r="DF127" s="226"/>
      <c r="DG127" s="226"/>
      <c r="DH127" s="226"/>
      <c r="DI127" s="226"/>
      <c r="DJ127" s="226"/>
      <c r="DK127" s="226"/>
      <c r="DL127" s="226"/>
      <c r="DM127" s="226"/>
      <c r="DN127" s="226"/>
      <c r="DO127" s="226"/>
      <c r="DP127" s="226"/>
      <c r="DQ127" s="226"/>
      <c r="DR127" s="226"/>
      <c r="DS127" s="226"/>
      <c r="DT127" s="226"/>
      <c r="DU127" s="226"/>
      <c r="DV127" s="226"/>
      <c r="DW127" s="226"/>
      <c r="DX127" s="226"/>
      <c r="DY127" s="226"/>
      <c r="DZ127" s="226"/>
      <c r="EA127" s="226"/>
      <c r="EB127" s="226"/>
      <c r="EC127" s="226"/>
      <c r="ED127" s="226"/>
      <c r="EE127" s="226"/>
      <c r="EF127" s="226"/>
      <c r="EG127" s="226"/>
      <c r="EH127" s="226"/>
      <c r="EI127" s="226"/>
      <c r="EJ127" s="226"/>
      <c r="EK127" s="226"/>
      <c r="EL127" s="226"/>
      <c r="EM127" s="226"/>
      <c r="EN127" s="226"/>
      <c r="EO127" s="226"/>
      <c r="EP127" s="226"/>
      <c r="EQ127" s="226"/>
      <c r="ER127" s="226"/>
      <c r="ES127" s="226"/>
      <c r="ET127" s="226"/>
      <c r="EU127" s="226"/>
      <c r="EV127" s="226"/>
      <c r="EW127" s="226"/>
      <c r="EX127" s="226"/>
      <c r="EY127" s="226"/>
      <c r="EZ127" s="226"/>
      <c r="FA127" s="226"/>
      <c r="FB127" s="226"/>
      <c r="FC127" s="226"/>
      <c r="FD127" s="226"/>
      <c r="FE127" s="226"/>
      <c r="FF127" s="226"/>
      <c r="FG127" s="226"/>
      <c r="FH127" s="226"/>
      <c r="FI127" s="226"/>
      <c r="FJ127" s="226"/>
      <c r="FK127" s="226"/>
      <c r="FL127" s="226"/>
      <c r="FM127" s="226"/>
      <c r="FN127" s="226"/>
      <c r="FO127" s="226"/>
      <c r="FP127" s="226"/>
      <c r="FQ127" s="226"/>
      <c r="FR127" s="226"/>
      <c r="FS127" s="226"/>
      <c r="FT127" s="226"/>
      <c r="FU127" s="226"/>
      <c r="FV127" s="226"/>
      <c r="FW127" s="226"/>
      <c r="FX127" s="226"/>
      <c r="FY127" s="226"/>
      <c r="FZ127" s="226"/>
      <c r="GA127" s="226"/>
      <c r="GB127" s="226"/>
      <c r="GC127" s="226"/>
      <c r="GD127" s="226"/>
      <c r="GE127" s="226"/>
      <c r="GF127" s="226"/>
      <c r="GG127" s="226"/>
    </row>
    <row r="128" spans="1:189" s="225" customFormat="1">
      <c r="A128" s="745" t="e">
        <f>+#REF!</f>
        <v>#REF!</v>
      </c>
      <c r="B128" s="830" t="e">
        <f>+#REF!</f>
        <v>#REF!</v>
      </c>
      <c r="C128" s="1264"/>
      <c r="D128" s="1519"/>
      <c r="E128" s="1260"/>
      <c r="F128" s="1258"/>
      <c r="G128" s="259"/>
      <c r="I128" s="265"/>
      <c r="J128" s="255"/>
      <c r="K128" s="226"/>
      <c r="L128" s="226"/>
      <c r="M128" s="226"/>
      <c r="N128" s="226"/>
      <c r="O128" s="226"/>
      <c r="P128" s="226"/>
      <c r="Q128" s="226"/>
      <c r="R128" s="226"/>
      <c r="S128" s="226"/>
      <c r="T128" s="226"/>
      <c r="U128" s="226"/>
      <c r="V128" s="226"/>
      <c r="W128" s="226"/>
      <c r="X128" s="226"/>
      <c r="Y128" s="226"/>
      <c r="Z128" s="226"/>
      <c r="AA128" s="226"/>
      <c r="AB128" s="226"/>
      <c r="AC128" s="226"/>
      <c r="AD128" s="226"/>
      <c r="AE128" s="226"/>
      <c r="AF128" s="226"/>
      <c r="AG128" s="226"/>
      <c r="AH128" s="226"/>
      <c r="AI128" s="226"/>
      <c r="AJ128" s="226"/>
      <c r="AK128" s="226"/>
      <c r="AL128" s="226"/>
      <c r="AM128" s="226"/>
      <c r="AN128" s="226"/>
      <c r="AO128" s="226"/>
      <c r="AP128" s="226"/>
      <c r="AQ128" s="226"/>
      <c r="AR128" s="226"/>
      <c r="AS128" s="226"/>
      <c r="AT128" s="226"/>
      <c r="AU128" s="226"/>
      <c r="AV128" s="226"/>
      <c r="AW128" s="226"/>
      <c r="AX128" s="226"/>
      <c r="AY128" s="226"/>
      <c r="AZ128" s="226"/>
      <c r="BA128" s="226"/>
      <c r="BB128" s="226"/>
      <c r="BC128" s="226"/>
      <c r="BD128" s="226"/>
      <c r="BE128" s="226"/>
      <c r="BF128" s="226"/>
      <c r="BG128" s="226"/>
      <c r="BH128" s="226"/>
      <c r="BI128" s="226"/>
      <c r="BJ128" s="226"/>
      <c r="BK128" s="226"/>
      <c r="BL128" s="226"/>
      <c r="BM128" s="226"/>
      <c r="BN128" s="226"/>
      <c r="BO128" s="226"/>
      <c r="BP128" s="226"/>
      <c r="BQ128" s="226"/>
      <c r="BR128" s="226"/>
      <c r="BS128" s="226"/>
      <c r="BT128" s="226"/>
      <c r="BU128" s="226"/>
      <c r="BV128" s="226"/>
      <c r="BW128" s="226"/>
      <c r="BX128" s="226"/>
      <c r="BY128" s="226"/>
      <c r="BZ128" s="226"/>
      <c r="CA128" s="226"/>
      <c r="CB128" s="226"/>
      <c r="CC128" s="226"/>
      <c r="CD128" s="226"/>
      <c r="CE128" s="226"/>
      <c r="CF128" s="226"/>
      <c r="CG128" s="226"/>
      <c r="CH128" s="226"/>
      <c r="CI128" s="226"/>
      <c r="CJ128" s="226"/>
      <c r="CK128" s="226"/>
      <c r="CL128" s="226"/>
      <c r="CM128" s="226"/>
      <c r="CN128" s="226"/>
      <c r="CO128" s="226"/>
      <c r="CP128" s="226"/>
      <c r="CQ128" s="226"/>
      <c r="CR128" s="226"/>
      <c r="CS128" s="226"/>
      <c r="CT128" s="226"/>
      <c r="CU128" s="226"/>
      <c r="CV128" s="226"/>
      <c r="CW128" s="226"/>
      <c r="CX128" s="226"/>
      <c r="CY128" s="226"/>
      <c r="CZ128" s="226"/>
      <c r="DA128" s="226"/>
      <c r="DB128" s="226"/>
      <c r="DC128" s="226"/>
      <c r="DD128" s="226"/>
      <c r="DE128" s="226"/>
      <c r="DF128" s="226"/>
      <c r="DG128" s="226"/>
      <c r="DH128" s="226"/>
      <c r="DI128" s="226"/>
      <c r="DJ128" s="226"/>
      <c r="DK128" s="226"/>
      <c r="DL128" s="226"/>
      <c r="DM128" s="226"/>
      <c r="DN128" s="226"/>
      <c r="DO128" s="226"/>
      <c r="DP128" s="226"/>
      <c r="DQ128" s="226"/>
      <c r="DR128" s="226"/>
      <c r="DS128" s="226"/>
      <c r="DT128" s="226"/>
      <c r="DU128" s="226"/>
      <c r="DV128" s="226"/>
      <c r="DW128" s="226"/>
      <c r="DX128" s="226"/>
      <c r="DY128" s="226"/>
      <c r="DZ128" s="226"/>
      <c r="EA128" s="226"/>
      <c r="EB128" s="226"/>
      <c r="EC128" s="226"/>
      <c r="ED128" s="226"/>
      <c r="EE128" s="226"/>
      <c r="EF128" s="226"/>
      <c r="EG128" s="226"/>
      <c r="EH128" s="226"/>
      <c r="EI128" s="226"/>
      <c r="EJ128" s="226"/>
      <c r="EK128" s="226"/>
      <c r="EL128" s="226"/>
      <c r="EM128" s="226"/>
      <c r="EN128" s="226"/>
      <c r="EO128" s="226"/>
      <c r="EP128" s="226"/>
      <c r="EQ128" s="226"/>
      <c r="ER128" s="226"/>
      <c r="ES128" s="226"/>
      <c r="ET128" s="226"/>
      <c r="EU128" s="226"/>
      <c r="EV128" s="226"/>
      <c r="EW128" s="226"/>
      <c r="EX128" s="226"/>
      <c r="EY128" s="226"/>
      <c r="EZ128" s="226"/>
      <c r="FA128" s="226"/>
      <c r="FB128" s="226"/>
      <c r="FC128" s="226"/>
      <c r="FD128" s="226"/>
      <c r="FE128" s="226"/>
      <c r="FF128" s="226"/>
      <c r="FG128" s="226"/>
      <c r="FH128" s="226"/>
      <c r="FI128" s="226"/>
      <c r="FJ128" s="226"/>
      <c r="FK128" s="226"/>
      <c r="FL128" s="226"/>
      <c r="FM128" s="226"/>
      <c r="FN128" s="226"/>
      <c r="FO128" s="226"/>
      <c r="FP128" s="226"/>
      <c r="FQ128" s="226"/>
      <c r="FR128" s="226"/>
      <c r="FS128" s="226"/>
      <c r="FT128" s="226"/>
      <c r="FU128" s="226"/>
      <c r="FV128" s="226"/>
      <c r="FW128" s="226"/>
      <c r="FX128" s="226"/>
      <c r="FY128" s="226"/>
      <c r="FZ128" s="226"/>
      <c r="GA128" s="226"/>
      <c r="GB128" s="226"/>
      <c r="GC128" s="226"/>
      <c r="GD128" s="226"/>
      <c r="GE128" s="226"/>
      <c r="GF128" s="226"/>
      <c r="GG128" s="226"/>
    </row>
    <row r="129" spans="1:189" s="225" customFormat="1">
      <c r="A129" s="638" t="e">
        <f>+#REF!</f>
        <v>#REF!</v>
      </c>
      <c r="B129" s="749" t="e">
        <f>+#REF!</f>
        <v>#REF!</v>
      </c>
      <c r="C129" s="1522" t="e">
        <f>#REF!</f>
        <v>#REF!</v>
      </c>
      <c r="D129" s="1520">
        <f>J129</f>
        <v>310.08</v>
      </c>
      <c r="E129" s="1265" t="e">
        <f>#REF!</f>
        <v>#REF!</v>
      </c>
      <c r="F129" s="1267" t="e">
        <f>+D129*E129</f>
        <v>#REF!</v>
      </c>
      <c r="G129" s="259"/>
      <c r="H129" s="259">
        <f>F7</f>
        <v>304</v>
      </c>
      <c r="I129" s="265">
        <v>1.02</v>
      </c>
      <c r="J129" s="259">
        <f>H129*I129</f>
        <v>310.08</v>
      </c>
      <c r="K129" s="226"/>
      <c r="L129" s="226"/>
      <c r="M129" s="226"/>
      <c r="N129" s="226"/>
      <c r="O129" s="226"/>
      <c r="P129" s="226"/>
      <c r="Q129" s="226"/>
      <c r="R129" s="226"/>
      <c r="S129" s="226"/>
      <c r="T129" s="226"/>
      <c r="U129" s="226"/>
      <c r="V129" s="226"/>
      <c r="W129" s="226"/>
      <c r="X129" s="226"/>
      <c r="Y129" s="226"/>
      <c r="Z129" s="226"/>
      <c r="AA129" s="226"/>
      <c r="AB129" s="226"/>
      <c r="AC129" s="226"/>
      <c r="AD129" s="226"/>
      <c r="AE129" s="226"/>
      <c r="AF129" s="226"/>
      <c r="AG129" s="226"/>
      <c r="AH129" s="226"/>
      <c r="AI129" s="226"/>
      <c r="AJ129" s="226"/>
      <c r="AK129" s="226"/>
      <c r="AL129" s="226"/>
      <c r="AM129" s="226"/>
      <c r="AN129" s="226"/>
      <c r="AO129" s="226"/>
      <c r="AP129" s="226"/>
      <c r="AQ129" s="226"/>
      <c r="AR129" s="226"/>
      <c r="AS129" s="226"/>
      <c r="AT129" s="226"/>
      <c r="AU129" s="226"/>
      <c r="AV129" s="226"/>
      <c r="AW129" s="226"/>
      <c r="AX129" s="226"/>
      <c r="AY129" s="226"/>
      <c r="AZ129" s="226"/>
      <c r="BA129" s="226"/>
      <c r="BB129" s="226"/>
      <c r="BC129" s="226"/>
      <c r="BD129" s="226"/>
      <c r="BE129" s="226"/>
      <c r="BF129" s="226"/>
      <c r="BG129" s="226"/>
      <c r="BH129" s="226"/>
      <c r="BI129" s="226"/>
      <c r="BJ129" s="226"/>
      <c r="BK129" s="226"/>
      <c r="BL129" s="226"/>
      <c r="BM129" s="226"/>
      <c r="BN129" s="226"/>
      <c r="BO129" s="226"/>
      <c r="BP129" s="226"/>
      <c r="BQ129" s="226"/>
      <c r="BR129" s="226"/>
      <c r="BS129" s="226"/>
      <c r="BT129" s="226"/>
      <c r="BU129" s="226"/>
      <c r="BV129" s="226"/>
      <c r="BW129" s="226"/>
      <c r="BX129" s="226"/>
      <c r="BY129" s="226"/>
      <c r="BZ129" s="226"/>
      <c r="CA129" s="226"/>
      <c r="CB129" s="226"/>
      <c r="CC129" s="226"/>
      <c r="CD129" s="226"/>
      <c r="CE129" s="226"/>
      <c r="CF129" s="226"/>
      <c r="CG129" s="226"/>
      <c r="CH129" s="226"/>
      <c r="CI129" s="226"/>
      <c r="CJ129" s="226"/>
      <c r="CK129" s="226"/>
      <c r="CL129" s="226"/>
      <c r="CM129" s="226"/>
      <c r="CN129" s="226"/>
      <c r="CO129" s="226"/>
      <c r="CP129" s="226"/>
      <c r="CQ129" s="226"/>
      <c r="CR129" s="226"/>
      <c r="CS129" s="226"/>
      <c r="CT129" s="226"/>
      <c r="CU129" s="226"/>
      <c r="CV129" s="226"/>
      <c r="CW129" s="226"/>
      <c r="CX129" s="226"/>
      <c r="CY129" s="226"/>
      <c r="CZ129" s="226"/>
      <c r="DA129" s="226"/>
      <c r="DB129" s="226"/>
      <c r="DC129" s="226"/>
      <c r="DD129" s="226"/>
      <c r="DE129" s="226"/>
      <c r="DF129" s="226"/>
      <c r="DG129" s="226"/>
      <c r="DH129" s="226"/>
      <c r="DI129" s="226"/>
      <c r="DJ129" s="226"/>
      <c r="DK129" s="226"/>
      <c r="DL129" s="226"/>
      <c r="DM129" s="226"/>
      <c r="DN129" s="226"/>
      <c r="DO129" s="226"/>
      <c r="DP129" s="226"/>
      <c r="DQ129" s="226"/>
      <c r="DR129" s="226"/>
      <c r="DS129" s="226"/>
      <c r="DT129" s="226"/>
      <c r="DU129" s="226"/>
      <c r="DV129" s="226"/>
      <c r="DW129" s="226"/>
      <c r="DX129" s="226"/>
      <c r="DY129" s="226"/>
      <c r="DZ129" s="226"/>
      <c r="EA129" s="226"/>
      <c r="EB129" s="226"/>
      <c r="EC129" s="226"/>
      <c r="ED129" s="226"/>
      <c r="EE129" s="226"/>
      <c r="EF129" s="226"/>
      <c r="EG129" s="226"/>
      <c r="EH129" s="226"/>
      <c r="EI129" s="226"/>
      <c r="EJ129" s="226"/>
      <c r="EK129" s="226"/>
      <c r="EL129" s="226"/>
      <c r="EM129" s="226"/>
      <c r="EN129" s="226"/>
      <c r="EO129" s="226"/>
      <c r="EP129" s="226"/>
      <c r="EQ129" s="226"/>
      <c r="ER129" s="226"/>
      <c r="ES129" s="226"/>
      <c r="ET129" s="226"/>
      <c r="EU129" s="226"/>
      <c r="EV129" s="226"/>
      <c r="EW129" s="226"/>
      <c r="EX129" s="226"/>
      <c r="EY129" s="226"/>
      <c r="EZ129" s="226"/>
      <c r="FA129" s="226"/>
      <c r="FB129" s="226"/>
      <c r="FC129" s="226"/>
      <c r="FD129" s="226"/>
      <c r="FE129" s="226"/>
      <c r="FF129" s="226"/>
      <c r="FG129" s="226"/>
      <c r="FH129" s="226"/>
      <c r="FI129" s="226"/>
      <c r="FJ129" s="226"/>
      <c r="FK129" s="226"/>
      <c r="FL129" s="226"/>
      <c r="FM129" s="226"/>
      <c r="FN129" s="226"/>
      <c r="FO129" s="226"/>
      <c r="FP129" s="226"/>
      <c r="FQ129" s="226"/>
      <c r="FR129" s="226"/>
      <c r="FS129" s="226"/>
      <c r="FT129" s="226"/>
      <c r="FU129" s="226"/>
      <c r="FV129" s="226"/>
      <c r="FW129" s="226"/>
      <c r="FX129" s="226"/>
      <c r="FY129" s="226"/>
      <c r="FZ129" s="226"/>
      <c r="GA129" s="226"/>
      <c r="GB129" s="226"/>
      <c r="GC129" s="226"/>
      <c r="GD129" s="226"/>
      <c r="GE129" s="226"/>
      <c r="GF129" s="226"/>
      <c r="GG129" s="226"/>
    </row>
    <row r="130" spans="1:189" s="225" customFormat="1">
      <c r="A130" s="638" t="e">
        <f>+#REF!</f>
        <v>#REF!</v>
      </c>
      <c r="B130" s="749" t="e">
        <f>+#REF!</f>
        <v>#REF!</v>
      </c>
      <c r="C130" s="1522" t="e">
        <f>#REF!</f>
        <v>#REF!</v>
      </c>
      <c r="D130" s="1520">
        <f>J130</f>
        <v>0</v>
      </c>
      <c r="E130" s="1265" t="e">
        <f>#REF!</f>
        <v>#REF!</v>
      </c>
      <c r="F130" s="1267" t="e">
        <f>+D130*E130</f>
        <v>#REF!</v>
      </c>
      <c r="G130" s="259"/>
      <c r="H130" s="259">
        <f>F6</f>
        <v>0</v>
      </c>
      <c r="I130" s="265">
        <f>+I129</f>
        <v>1.02</v>
      </c>
      <c r="J130" s="259">
        <f>H130*I130</f>
        <v>0</v>
      </c>
      <c r="K130" s="226"/>
      <c r="L130" s="226">
        <f>+H126</f>
        <v>960</v>
      </c>
      <c r="M130" s="226"/>
      <c r="N130" s="226"/>
      <c r="O130" s="226"/>
      <c r="P130" s="226"/>
      <c r="Q130" s="226"/>
      <c r="R130" s="226"/>
      <c r="S130" s="226"/>
      <c r="T130" s="226"/>
      <c r="U130" s="226"/>
      <c r="V130" s="226"/>
      <c r="W130" s="226"/>
      <c r="X130" s="226"/>
      <c r="Y130" s="226"/>
      <c r="Z130" s="226"/>
      <c r="AA130" s="226"/>
      <c r="AB130" s="226"/>
      <c r="AC130" s="226"/>
      <c r="AD130" s="226"/>
      <c r="AE130" s="226"/>
      <c r="AF130" s="226"/>
      <c r="AG130" s="226"/>
      <c r="AH130" s="226"/>
      <c r="AI130" s="226"/>
      <c r="AJ130" s="226"/>
      <c r="AK130" s="226"/>
      <c r="AL130" s="226"/>
      <c r="AM130" s="226"/>
      <c r="AN130" s="226"/>
      <c r="AO130" s="226"/>
      <c r="AP130" s="226"/>
      <c r="AQ130" s="226"/>
      <c r="AR130" s="226"/>
      <c r="AS130" s="226"/>
      <c r="AT130" s="226"/>
      <c r="AU130" s="226"/>
      <c r="AV130" s="226"/>
      <c r="AW130" s="226"/>
      <c r="AX130" s="226"/>
      <c r="AY130" s="226"/>
      <c r="AZ130" s="226"/>
      <c r="BA130" s="226"/>
      <c r="BB130" s="226"/>
      <c r="BC130" s="226"/>
      <c r="BD130" s="226"/>
      <c r="BE130" s="226"/>
      <c r="BF130" s="226"/>
      <c r="BG130" s="226"/>
      <c r="BH130" s="226"/>
      <c r="BI130" s="226"/>
      <c r="BJ130" s="226"/>
      <c r="BK130" s="226"/>
      <c r="BL130" s="226"/>
      <c r="BM130" s="226"/>
      <c r="BN130" s="226"/>
      <c r="BO130" s="226"/>
      <c r="BP130" s="226"/>
      <c r="BQ130" s="226"/>
      <c r="BR130" s="226"/>
      <c r="BS130" s="226"/>
      <c r="BT130" s="226"/>
      <c r="BU130" s="226"/>
      <c r="BV130" s="226"/>
      <c r="BW130" s="226"/>
      <c r="BX130" s="226"/>
      <c r="BY130" s="226"/>
      <c r="BZ130" s="226"/>
      <c r="CA130" s="226"/>
      <c r="CB130" s="226"/>
      <c r="CC130" s="226"/>
      <c r="CD130" s="226"/>
      <c r="CE130" s="226"/>
      <c r="CF130" s="226"/>
      <c r="CG130" s="226"/>
      <c r="CH130" s="226"/>
      <c r="CI130" s="226"/>
      <c r="CJ130" s="226"/>
      <c r="CK130" s="226"/>
      <c r="CL130" s="226"/>
      <c r="CM130" s="226"/>
      <c r="CN130" s="226"/>
      <c r="CO130" s="226"/>
      <c r="CP130" s="226"/>
      <c r="CQ130" s="226"/>
      <c r="CR130" s="226"/>
      <c r="CS130" s="226"/>
      <c r="CT130" s="226"/>
      <c r="CU130" s="226"/>
      <c r="CV130" s="226"/>
      <c r="CW130" s="226"/>
      <c r="CX130" s="226"/>
      <c r="CY130" s="226"/>
      <c r="CZ130" s="226"/>
      <c r="DA130" s="226"/>
      <c r="DB130" s="226"/>
      <c r="DC130" s="226"/>
      <c r="DD130" s="226"/>
      <c r="DE130" s="226"/>
      <c r="DF130" s="226"/>
      <c r="DG130" s="226"/>
      <c r="DH130" s="226"/>
      <c r="DI130" s="226"/>
      <c r="DJ130" s="226"/>
      <c r="DK130" s="226"/>
      <c r="DL130" s="226"/>
      <c r="DM130" s="226"/>
      <c r="DN130" s="226"/>
      <c r="DO130" s="226"/>
      <c r="DP130" s="226"/>
      <c r="DQ130" s="226"/>
      <c r="DR130" s="226"/>
      <c r="DS130" s="226"/>
      <c r="DT130" s="226"/>
      <c r="DU130" s="226"/>
      <c r="DV130" s="226"/>
      <c r="DW130" s="226"/>
      <c r="DX130" s="226"/>
      <c r="DY130" s="226"/>
      <c r="DZ130" s="226"/>
      <c r="EA130" s="226"/>
      <c r="EB130" s="226"/>
      <c r="EC130" s="226"/>
      <c r="ED130" s="226"/>
      <c r="EE130" s="226"/>
      <c r="EF130" s="226"/>
      <c r="EG130" s="226"/>
      <c r="EH130" s="226"/>
      <c r="EI130" s="226"/>
      <c r="EJ130" s="226"/>
      <c r="EK130" s="226"/>
      <c r="EL130" s="226"/>
      <c r="EM130" s="226"/>
      <c r="EN130" s="226"/>
      <c r="EO130" s="226"/>
      <c r="EP130" s="226"/>
      <c r="EQ130" s="226"/>
      <c r="ER130" s="226"/>
      <c r="ES130" s="226"/>
      <c r="ET130" s="226"/>
      <c r="EU130" s="226"/>
      <c r="EV130" s="226"/>
      <c r="EW130" s="226"/>
      <c r="EX130" s="226"/>
      <c r="EY130" s="226"/>
      <c r="EZ130" s="226"/>
      <c r="FA130" s="226"/>
      <c r="FB130" s="226"/>
      <c r="FC130" s="226"/>
      <c r="FD130" s="226"/>
      <c r="FE130" s="226"/>
      <c r="FF130" s="226"/>
      <c r="FG130" s="226"/>
      <c r="FH130" s="226"/>
      <c r="FI130" s="226"/>
      <c r="FJ130" s="226"/>
      <c r="FK130" s="226"/>
      <c r="FL130" s="226"/>
      <c r="FM130" s="226"/>
      <c r="FN130" s="226"/>
      <c r="FO130" s="226"/>
      <c r="FP130" s="226"/>
      <c r="FQ130" s="226"/>
      <c r="FR130" s="226"/>
      <c r="FS130" s="226"/>
      <c r="FT130" s="226"/>
      <c r="FU130" s="226"/>
      <c r="FV130" s="226"/>
      <c r="FW130" s="226"/>
      <c r="FX130" s="226"/>
      <c r="FY130" s="226"/>
      <c r="FZ130" s="226"/>
      <c r="GA130" s="226"/>
      <c r="GB130" s="226"/>
      <c r="GC130" s="226"/>
      <c r="GD130" s="226"/>
      <c r="GE130" s="226"/>
      <c r="GF130" s="226"/>
      <c r="GG130" s="226"/>
    </row>
    <row r="131" spans="1:189" s="225" customFormat="1">
      <c r="A131" s="638" t="e">
        <f>+#REF!</f>
        <v>#REF!</v>
      </c>
      <c r="B131" s="749" t="e">
        <f>+#REF!</f>
        <v>#REF!</v>
      </c>
      <c r="C131" s="1522" t="e">
        <f>#REF!</f>
        <v>#REF!</v>
      </c>
      <c r="D131" s="1520">
        <f>J131</f>
        <v>637.5</v>
      </c>
      <c r="E131" s="1265" t="e">
        <f>#REF!</f>
        <v>#REF!</v>
      </c>
      <c r="F131" s="1267" t="e">
        <f>+D131*E131</f>
        <v>#REF!</v>
      </c>
      <c r="G131" s="259"/>
      <c r="H131" s="259">
        <f>F3</f>
        <v>625</v>
      </c>
      <c r="I131" s="265">
        <f t="shared" ref="I131:I133" si="9">+I130</f>
        <v>1.02</v>
      </c>
      <c r="J131" s="259">
        <f>H131*I131</f>
        <v>637.5</v>
      </c>
      <c r="K131" s="226"/>
      <c r="L131" s="226">
        <f>+H127</f>
        <v>640</v>
      </c>
      <c r="M131" s="226"/>
      <c r="N131" s="226"/>
      <c r="O131" s="226"/>
      <c r="P131" s="226"/>
      <c r="Q131" s="226"/>
      <c r="R131" s="226"/>
      <c r="S131" s="226"/>
      <c r="T131" s="226"/>
      <c r="U131" s="226"/>
      <c r="V131" s="226"/>
      <c r="W131" s="226"/>
      <c r="X131" s="226"/>
      <c r="Y131" s="226"/>
      <c r="Z131" s="226"/>
      <c r="AA131" s="226"/>
      <c r="AB131" s="226"/>
      <c r="AC131" s="226"/>
      <c r="AD131" s="226"/>
      <c r="AE131" s="226"/>
      <c r="AF131" s="226"/>
      <c r="AG131" s="226"/>
      <c r="AH131" s="226"/>
      <c r="AI131" s="226"/>
      <c r="AJ131" s="226"/>
      <c r="AK131" s="226"/>
      <c r="AL131" s="226"/>
      <c r="AM131" s="199"/>
      <c r="AN131" s="199"/>
      <c r="AO131" s="199"/>
      <c r="AP131" s="199"/>
      <c r="AQ131" s="226"/>
      <c r="AR131" s="226"/>
      <c r="AS131" s="226"/>
      <c r="AT131" s="226"/>
      <c r="AU131" s="226"/>
      <c r="AV131" s="226"/>
      <c r="AW131" s="226"/>
      <c r="AX131" s="226"/>
      <c r="AY131" s="226"/>
      <c r="AZ131" s="226"/>
      <c r="BA131" s="226"/>
      <c r="BB131" s="226"/>
      <c r="BC131" s="226"/>
      <c r="BD131" s="226"/>
      <c r="BE131" s="226"/>
      <c r="BF131" s="226"/>
      <c r="BG131" s="226"/>
      <c r="BH131" s="226"/>
      <c r="BI131" s="226"/>
      <c r="BJ131" s="226"/>
      <c r="BK131" s="226"/>
      <c r="BL131" s="226"/>
      <c r="BM131" s="226"/>
      <c r="BN131" s="226"/>
      <c r="BO131" s="226"/>
      <c r="BP131" s="226"/>
      <c r="BQ131" s="226"/>
      <c r="BR131" s="226"/>
      <c r="BS131" s="226"/>
      <c r="BT131" s="226"/>
      <c r="BU131" s="226"/>
      <c r="BV131" s="226"/>
      <c r="BW131" s="226"/>
      <c r="BX131" s="226"/>
      <c r="BY131" s="226"/>
      <c r="BZ131" s="226"/>
      <c r="CA131" s="226"/>
      <c r="CB131" s="226"/>
      <c r="CC131" s="226"/>
      <c r="CD131" s="226"/>
      <c r="CE131" s="226"/>
      <c r="CF131" s="226"/>
      <c r="CG131" s="226"/>
      <c r="CH131" s="226"/>
      <c r="CI131" s="226"/>
      <c r="CJ131" s="226"/>
      <c r="CK131" s="226"/>
      <c r="CL131" s="226"/>
      <c r="CM131" s="226"/>
      <c r="CN131" s="226"/>
      <c r="CO131" s="226"/>
      <c r="CP131" s="226"/>
      <c r="CQ131" s="226"/>
      <c r="CR131" s="226"/>
      <c r="CS131" s="226"/>
      <c r="CT131" s="226"/>
      <c r="CU131" s="226"/>
      <c r="CV131" s="226"/>
      <c r="CW131" s="226"/>
      <c r="CX131" s="226"/>
      <c r="CY131" s="226"/>
      <c r="CZ131" s="226"/>
      <c r="DA131" s="226"/>
      <c r="DB131" s="226"/>
      <c r="DC131" s="226"/>
      <c r="DD131" s="226"/>
      <c r="DE131" s="226"/>
      <c r="DF131" s="226"/>
      <c r="DG131" s="226"/>
      <c r="DH131" s="226"/>
      <c r="DI131" s="226"/>
      <c r="DJ131" s="226"/>
      <c r="DK131" s="226"/>
      <c r="DL131" s="226"/>
      <c r="DM131" s="226"/>
      <c r="DN131" s="226"/>
      <c r="DO131" s="226"/>
      <c r="DP131" s="226"/>
      <c r="DQ131" s="226"/>
      <c r="DR131" s="226"/>
      <c r="DS131" s="226"/>
      <c r="DT131" s="226"/>
      <c r="DU131" s="226"/>
      <c r="DV131" s="226"/>
      <c r="DW131" s="226"/>
      <c r="DX131" s="226"/>
      <c r="DY131" s="226"/>
      <c r="DZ131" s="226"/>
      <c r="EA131" s="226"/>
      <c r="EB131" s="226"/>
      <c r="EC131" s="226"/>
      <c r="ED131" s="226"/>
      <c r="EE131" s="226"/>
      <c r="EF131" s="226"/>
      <c r="EG131" s="226"/>
      <c r="EH131" s="226"/>
      <c r="EI131" s="226"/>
      <c r="EJ131" s="226"/>
      <c r="EK131" s="226"/>
      <c r="EL131" s="226"/>
      <c r="EM131" s="226"/>
      <c r="EN131" s="226"/>
      <c r="EO131" s="226"/>
      <c r="EP131" s="226"/>
      <c r="EQ131" s="226"/>
      <c r="ER131" s="226"/>
      <c r="ES131" s="226"/>
      <c r="ET131" s="226"/>
      <c r="EU131" s="226"/>
      <c r="EV131" s="226"/>
      <c r="EW131" s="226"/>
      <c r="EX131" s="226"/>
      <c r="EY131" s="226"/>
      <c r="EZ131" s="226"/>
      <c r="FA131" s="226"/>
      <c r="FB131" s="226"/>
      <c r="FC131" s="226"/>
      <c r="FD131" s="226"/>
      <c r="FE131" s="226"/>
      <c r="FF131" s="226"/>
      <c r="FG131" s="226"/>
      <c r="FH131" s="226"/>
      <c r="FI131" s="226"/>
      <c r="FJ131" s="226"/>
      <c r="FK131" s="226"/>
      <c r="FL131" s="226"/>
      <c r="FM131" s="226"/>
      <c r="FN131" s="226"/>
      <c r="FO131" s="226"/>
      <c r="FP131" s="226"/>
      <c r="FQ131" s="226"/>
      <c r="FR131" s="226"/>
      <c r="FS131" s="226"/>
      <c r="FT131" s="226"/>
      <c r="FU131" s="226"/>
      <c r="FV131" s="226"/>
      <c r="FW131" s="226"/>
      <c r="FX131" s="226"/>
      <c r="FY131" s="226"/>
      <c r="FZ131" s="226"/>
      <c r="GA131" s="226"/>
      <c r="GB131" s="226"/>
      <c r="GC131" s="226"/>
      <c r="GD131" s="226"/>
      <c r="GE131" s="226"/>
      <c r="GF131" s="226"/>
      <c r="GG131" s="226"/>
    </row>
    <row r="132" spans="1:189" s="198" customFormat="1">
      <c r="A132" s="638" t="e">
        <f>+#REF!</f>
        <v>#REF!</v>
      </c>
      <c r="B132" s="749" t="e">
        <f>+#REF!</f>
        <v>#REF!</v>
      </c>
      <c r="C132" s="1522" t="e">
        <f>#REF!</f>
        <v>#REF!</v>
      </c>
      <c r="D132" s="1520">
        <f>J132</f>
        <v>357</v>
      </c>
      <c r="E132" s="1265" t="e">
        <f>#REF!</f>
        <v>#REF!</v>
      </c>
      <c r="F132" s="1267" t="e">
        <f>+D132*E132</f>
        <v>#REF!</v>
      </c>
      <c r="G132" s="259"/>
      <c r="H132" s="259">
        <f>F4</f>
        <v>350</v>
      </c>
      <c r="I132" s="265">
        <f t="shared" si="9"/>
        <v>1.02</v>
      </c>
      <c r="J132" s="259">
        <f>H132*I132</f>
        <v>357</v>
      </c>
      <c r="K132" s="226"/>
      <c r="L132" s="226">
        <f>+H128</f>
        <v>0</v>
      </c>
      <c r="M132" s="226"/>
      <c r="N132" s="226"/>
      <c r="O132" s="226"/>
      <c r="P132" s="226"/>
      <c r="Q132" s="226"/>
      <c r="R132" s="226"/>
      <c r="S132" s="226"/>
      <c r="T132" s="226"/>
      <c r="U132" s="226"/>
      <c r="V132" s="226"/>
      <c r="W132" s="226"/>
      <c r="X132" s="226"/>
      <c r="Y132" s="226"/>
      <c r="Z132" s="226"/>
      <c r="AA132" s="226"/>
      <c r="AB132" s="226"/>
      <c r="AC132" s="226"/>
      <c r="AD132" s="226"/>
      <c r="AE132" s="226"/>
      <c r="AF132" s="226"/>
      <c r="AG132" s="226"/>
      <c r="AH132" s="226"/>
      <c r="AI132" s="226"/>
      <c r="AJ132" s="226"/>
      <c r="AK132" s="226"/>
      <c r="AL132" s="199"/>
      <c r="AM132" s="226"/>
      <c r="AN132" s="226"/>
      <c r="AO132" s="226"/>
      <c r="AP132" s="226"/>
      <c r="AQ132" s="199"/>
      <c r="AR132" s="199"/>
      <c r="AS132" s="199"/>
      <c r="AT132" s="199"/>
      <c r="AU132" s="199"/>
      <c r="AV132" s="199"/>
      <c r="AW132" s="199"/>
      <c r="AX132" s="199"/>
      <c r="AY132" s="199"/>
      <c r="AZ132" s="199"/>
      <c r="BA132" s="199"/>
      <c r="BB132" s="199"/>
      <c r="BC132" s="199"/>
      <c r="BD132" s="199"/>
      <c r="BE132" s="199"/>
      <c r="BF132" s="199"/>
      <c r="BG132" s="199"/>
      <c r="BH132" s="199"/>
      <c r="BI132" s="199"/>
      <c r="BJ132" s="199"/>
      <c r="BK132" s="199"/>
      <c r="BL132" s="199"/>
      <c r="BM132" s="199"/>
      <c r="BN132" s="199"/>
      <c r="BO132" s="199"/>
      <c r="BP132" s="199"/>
      <c r="BQ132" s="199"/>
      <c r="BR132" s="199"/>
      <c r="BS132" s="199"/>
      <c r="BT132" s="199"/>
      <c r="BU132" s="199"/>
      <c r="BV132" s="199"/>
      <c r="BW132" s="199"/>
      <c r="BX132" s="199"/>
      <c r="BY132" s="199"/>
      <c r="BZ132" s="199"/>
      <c r="CA132" s="199"/>
      <c r="CB132" s="199"/>
      <c r="CC132" s="199"/>
      <c r="CD132" s="199"/>
      <c r="CE132" s="199"/>
      <c r="CF132" s="199"/>
      <c r="CG132" s="199"/>
      <c r="CH132" s="199"/>
      <c r="CI132" s="199"/>
      <c r="CJ132" s="199"/>
      <c r="CK132" s="199"/>
      <c r="CL132" s="199"/>
      <c r="CM132" s="199"/>
      <c r="CN132" s="199"/>
      <c r="CO132" s="199"/>
      <c r="CP132" s="199"/>
      <c r="CQ132" s="199"/>
      <c r="CR132" s="199"/>
      <c r="CS132" s="199"/>
      <c r="CT132" s="199"/>
      <c r="CU132" s="199"/>
      <c r="CV132" s="199"/>
      <c r="CW132" s="199"/>
      <c r="CX132" s="199"/>
      <c r="CY132" s="199"/>
      <c r="CZ132" s="199"/>
      <c r="DA132" s="199"/>
      <c r="DB132" s="199"/>
      <c r="DC132" s="199"/>
      <c r="DD132" s="199"/>
      <c r="DE132" s="199"/>
      <c r="DF132" s="199"/>
      <c r="DG132" s="199"/>
      <c r="DH132" s="199"/>
      <c r="DI132" s="199"/>
      <c r="DJ132" s="199"/>
      <c r="DK132" s="199"/>
      <c r="DL132" s="199"/>
      <c r="DM132" s="199"/>
      <c r="DN132" s="199"/>
      <c r="DO132" s="199"/>
      <c r="DP132" s="199"/>
      <c r="DQ132" s="199"/>
      <c r="DR132" s="199"/>
      <c r="DS132" s="199"/>
      <c r="DT132" s="199"/>
      <c r="DU132" s="199"/>
      <c r="DV132" s="199"/>
      <c r="DW132" s="199"/>
      <c r="DX132" s="199"/>
      <c r="DY132" s="199"/>
      <c r="DZ132" s="199"/>
      <c r="EA132" s="199"/>
      <c r="EB132" s="199"/>
      <c r="EC132" s="199"/>
      <c r="ED132" s="199"/>
      <c r="EE132" s="199"/>
      <c r="EF132" s="199"/>
      <c r="EG132" s="199"/>
      <c r="EH132" s="199"/>
      <c r="EI132" s="199"/>
      <c r="EJ132" s="199"/>
      <c r="EK132" s="199"/>
      <c r="EL132" s="199"/>
      <c r="EM132" s="199"/>
      <c r="EN132" s="199"/>
      <c r="EO132" s="199"/>
      <c r="EP132" s="199"/>
      <c r="EQ132" s="199"/>
      <c r="ER132" s="199"/>
      <c r="ES132" s="199"/>
      <c r="ET132" s="199"/>
      <c r="EU132" s="199"/>
      <c r="EV132" s="199"/>
      <c r="EW132" s="199"/>
      <c r="EX132" s="199"/>
      <c r="EY132" s="199"/>
      <c r="EZ132" s="199"/>
      <c r="FA132" s="199"/>
      <c r="FB132" s="199"/>
      <c r="FC132" s="199"/>
      <c r="FD132" s="199"/>
      <c r="FE132" s="199"/>
      <c r="FF132" s="199"/>
      <c r="FG132" s="199"/>
      <c r="FH132" s="199"/>
      <c r="FI132" s="199"/>
      <c r="FJ132" s="199"/>
      <c r="FK132" s="199"/>
      <c r="FL132" s="199"/>
      <c r="FM132" s="199"/>
      <c r="FN132" s="199"/>
      <c r="FO132" s="199"/>
      <c r="FP132" s="199"/>
      <c r="FQ132" s="199"/>
      <c r="FR132" s="199"/>
      <c r="FS132" s="199"/>
      <c r="FT132" s="199"/>
      <c r="FU132" s="199"/>
      <c r="FV132" s="199"/>
      <c r="FW132" s="199"/>
      <c r="FX132" s="199"/>
      <c r="FY132" s="199"/>
      <c r="FZ132" s="199"/>
      <c r="GA132" s="199"/>
      <c r="GB132" s="199"/>
      <c r="GC132" s="199"/>
      <c r="GD132" s="199"/>
      <c r="GE132" s="199"/>
      <c r="GF132" s="199"/>
      <c r="GG132" s="199"/>
    </row>
    <row r="133" spans="1:189" s="225" customFormat="1">
      <c r="A133" s="1417" t="e">
        <f>+#REF!</f>
        <v>#REF!</v>
      </c>
      <c r="B133" s="1591" t="e">
        <f>+#REF!</f>
        <v>#REF!</v>
      </c>
      <c r="C133" s="1523" t="e">
        <f>#REF!</f>
        <v>#REF!</v>
      </c>
      <c r="D133" s="1521">
        <f>J133</f>
        <v>479.40000000000003</v>
      </c>
      <c r="E133" s="1261" t="e">
        <f>#REF!</f>
        <v>#REF!</v>
      </c>
      <c r="F133" s="1259" t="e">
        <f>+D133*E133</f>
        <v>#REF!</v>
      </c>
      <c r="G133" s="259"/>
      <c r="H133" s="259">
        <f>+F5</f>
        <v>470</v>
      </c>
      <c r="I133" s="265">
        <f t="shared" si="9"/>
        <v>1.02</v>
      </c>
      <c r="J133" s="259">
        <f>H133*I133</f>
        <v>479.40000000000003</v>
      </c>
      <c r="K133" s="226"/>
      <c r="L133" s="226"/>
      <c r="M133" s="226"/>
      <c r="N133" s="226"/>
      <c r="O133" s="226"/>
      <c r="P133" s="226"/>
      <c r="Q133" s="199"/>
      <c r="R133" s="199"/>
      <c r="S133" s="199"/>
      <c r="T133" s="199"/>
      <c r="U133" s="199"/>
      <c r="V133" s="199"/>
      <c r="W133" s="199"/>
      <c r="X133" s="199"/>
      <c r="Y133" s="199"/>
      <c r="Z133" s="199"/>
      <c r="AA133" s="199"/>
      <c r="AB133" s="199"/>
      <c r="AC133" s="199"/>
      <c r="AD133" s="199"/>
      <c r="AE133" s="199"/>
      <c r="AF133" s="199"/>
      <c r="AG133" s="199"/>
      <c r="AH133" s="199"/>
      <c r="AI133" s="199"/>
      <c r="AJ133" s="226"/>
      <c r="AK133" s="226"/>
      <c r="AL133" s="226"/>
      <c r="AM133" s="226"/>
      <c r="AN133" s="226"/>
      <c r="AO133" s="226"/>
      <c r="AP133" s="226"/>
      <c r="AQ133" s="226"/>
      <c r="AR133" s="226"/>
      <c r="AS133" s="226"/>
      <c r="AT133" s="226"/>
      <c r="AU133" s="226"/>
      <c r="AV133" s="226"/>
      <c r="AW133" s="226"/>
      <c r="AX133" s="226"/>
      <c r="AY133" s="226"/>
      <c r="AZ133" s="226"/>
      <c r="BA133" s="226"/>
      <c r="BB133" s="226"/>
      <c r="BC133" s="226"/>
      <c r="BD133" s="226"/>
      <c r="BE133" s="226"/>
      <c r="BF133" s="226"/>
      <c r="BG133" s="226"/>
      <c r="BH133" s="226"/>
      <c r="BI133" s="226"/>
      <c r="BJ133" s="226"/>
      <c r="BK133" s="226"/>
      <c r="BL133" s="226"/>
      <c r="BM133" s="226"/>
      <c r="BN133" s="226"/>
      <c r="BO133" s="226"/>
      <c r="BP133" s="226"/>
      <c r="BQ133" s="226"/>
      <c r="BR133" s="226"/>
      <c r="BS133" s="226"/>
      <c r="BT133" s="226"/>
      <c r="BU133" s="226"/>
      <c r="BV133" s="226"/>
      <c r="BW133" s="226"/>
      <c r="BX133" s="226"/>
      <c r="BY133" s="226"/>
      <c r="BZ133" s="226"/>
      <c r="CA133" s="226"/>
      <c r="CB133" s="226"/>
      <c r="CC133" s="226"/>
      <c r="CD133" s="226"/>
      <c r="CE133" s="226"/>
      <c r="CF133" s="226"/>
      <c r="CG133" s="226"/>
      <c r="CH133" s="226"/>
      <c r="CI133" s="226"/>
      <c r="CJ133" s="226"/>
      <c r="CK133" s="226"/>
      <c r="CL133" s="226"/>
      <c r="CM133" s="226"/>
      <c r="CN133" s="226"/>
      <c r="CO133" s="226"/>
      <c r="CP133" s="226"/>
      <c r="CQ133" s="226"/>
      <c r="CR133" s="226"/>
      <c r="CS133" s="226"/>
      <c r="CT133" s="226"/>
      <c r="CU133" s="226"/>
      <c r="CV133" s="226"/>
      <c r="CW133" s="226"/>
      <c r="CX133" s="226"/>
      <c r="CY133" s="226"/>
      <c r="CZ133" s="226"/>
      <c r="DA133" s="226"/>
      <c r="DB133" s="226"/>
      <c r="DC133" s="226"/>
      <c r="DD133" s="226"/>
      <c r="DE133" s="226"/>
      <c r="DF133" s="226"/>
      <c r="DG133" s="226"/>
      <c r="DH133" s="226"/>
      <c r="DI133" s="226"/>
      <c r="DJ133" s="226"/>
      <c r="DK133" s="226"/>
      <c r="DL133" s="226"/>
      <c r="DM133" s="226"/>
      <c r="DN133" s="226"/>
      <c r="DO133" s="226"/>
      <c r="DP133" s="226"/>
      <c r="DQ133" s="226"/>
      <c r="DR133" s="226"/>
      <c r="DS133" s="226"/>
      <c r="DT133" s="226"/>
      <c r="DU133" s="226"/>
      <c r="DV133" s="226"/>
      <c r="DW133" s="226"/>
      <c r="DX133" s="226"/>
      <c r="DY133" s="226"/>
      <c r="DZ133" s="226"/>
      <c r="EA133" s="226"/>
      <c r="EB133" s="226"/>
      <c r="EC133" s="226"/>
      <c r="ED133" s="226"/>
      <c r="EE133" s="226"/>
      <c r="EF133" s="226"/>
      <c r="EG133" s="226"/>
      <c r="EH133" s="226"/>
      <c r="EI133" s="226"/>
      <c r="EJ133" s="226"/>
      <c r="EK133" s="226"/>
      <c r="EL133" s="226"/>
      <c r="EM133" s="226"/>
      <c r="EN133" s="226"/>
      <c r="EO133" s="226"/>
      <c r="EP133" s="226"/>
      <c r="EQ133" s="226"/>
      <c r="ER133" s="226"/>
      <c r="ES133" s="226"/>
      <c r="ET133" s="226"/>
      <c r="EU133" s="226"/>
      <c r="EV133" s="226"/>
      <c r="EW133" s="226"/>
      <c r="EX133" s="226"/>
      <c r="EY133" s="226"/>
      <c r="EZ133" s="226"/>
      <c r="FA133" s="226"/>
      <c r="FB133" s="226"/>
      <c r="FC133" s="226"/>
      <c r="FD133" s="226"/>
      <c r="FE133" s="226"/>
      <c r="FF133" s="226"/>
      <c r="FG133" s="226"/>
      <c r="FH133" s="226"/>
      <c r="FI133" s="226"/>
      <c r="FJ133" s="226"/>
      <c r="FK133" s="226"/>
      <c r="FL133" s="226"/>
      <c r="FM133" s="226"/>
      <c r="FN133" s="226"/>
      <c r="FO133" s="226"/>
      <c r="FP133" s="226"/>
      <c r="FQ133" s="226"/>
      <c r="FR133" s="226"/>
      <c r="FS133" s="226"/>
      <c r="FT133" s="226"/>
      <c r="FU133" s="226"/>
      <c r="FV133" s="226"/>
      <c r="FW133" s="226"/>
      <c r="FX133" s="226"/>
      <c r="FY133" s="226"/>
      <c r="FZ133" s="226"/>
      <c r="GA133" s="226"/>
      <c r="GB133" s="226"/>
      <c r="GC133" s="226"/>
      <c r="GD133" s="226"/>
      <c r="GE133" s="226"/>
      <c r="GF133" s="226"/>
      <c r="GG133" s="226"/>
    </row>
    <row r="134" spans="1:189" s="225" customFormat="1">
      <c r="A134" s="745" t="e">
        <f>+#REF!</f>
        <v>#REF!</v>
      </c>
      <c r="B134" s="830" t="e">
        <f>+#REF!</f>
        <v>#REF!</v>
      </c>
      <c r="C134" s="1264"/>
      <c r="D134" s="1519"/>
      <c r="E134" s="1260"/>
      <c r="F134" s="1258"/>
      <c r="G134" s="259"/>
      <c r="H134" s="259"/>
      <c r="I134" s="265"/>
      <c r="J134" s="259"/>
      <c r="K134" s="199"/>
      <c r="L134" s="199"/>
      <c r="M134" s="199"/>
      <c r="N134" s="199"/>
      <c r="O134" s="199"/>
      <c r="P134" s="199"/>
      <c r="Q134" s="226"/>
      <c r="R134" s="226"/>
      <c r="S134" s="226"/>
      <c r="T134" s="226"/>
      <c r="U134" s="226"/>
      <c r="V134" s="226"/>
      <c r="W134" s="226"/>
      <c r="X134" s="226"/>
      <c r="Y134" s="226"/>
      <c r="Z134" s="226"/>
      <c r="AA134" s="226"/>
      <c r="AB134" s="226"/>
      <c r="AC134" s="226"/>
      <c r="AD134" s="226"/>
      <c r="AE134" s="226"/>
      <c r="AF134" s="226"/>
      <c r="AG134" s="226"/>
      <c r="AH134" s="226"/>
      <c r="AI134" s="226"/>
      <c r="AJ134" s="226"/>
      <c r="AK134" s="226"/>
      <c r="AL134" s="226"/>
      <c r="AM134" s="226"/>
      <c r="AN134" s="226"/>
      <c r="AO134" s="226"/>
      <c r="AP134" s="226"/>
      <c r="AQ134" s="226"/>
      <c r="AR134" s="226"/>
      <c r="AS134" s="226"/>
      <c r="AT134" s="226"/>
      <c r="AU134" s="226"/>
      <c r="AV134" s="226"/>
      <c r="AW134" s="226"/>
      <c r="AX134" s="226"/>
      <c r="AY134" s="226"/>
      <c r="AZ134" s="226"/>
      <c r="BA134" s="226"/>
      <c r="BB134" s="226"/>
      <c r="BC134" s="226"/>
      <c r="BD134" s="226"/>
      <c r="BE134" s="226"/>
      <c r="BF134" s="226"/>
      <c r="BG134" s="226"/>
      <c r="BH134" s="226"/>
      <c r="BI134" s="226"/>
      <c r="BJ134" s="226"/>
      <c r="BK134" s="226"/>
      <c r="BL134" s="226"/>
      <c r="BM134" s="226"/>
      <c r="BN134" s="226"/>
      <c r="BO134" s="226"/>
      <c r="BP134" s="226"/>
      <c r="BQ134" s="226"/>
      <c r="BR134" s="226"/>
      <c r="BS134" s="226"/>
      <c r="BT134" s="226"/>
      <c r="BU134" s="226"/>
      <c r="BV134" s="226"/>
      <c r="BW134" s="226"/>
      <c r="BX134" s="226"/>
      <c r="BY134" s="226"/>
      <c r="BZ134" s="226"/>
      <c r="CA134" s="226"/>
      <c r="CB134" s="226"/>
      <c r="CC134" s="226"/>
      <c r="CD134" s="226"/>
      <c r="CE134" s="226"/>
      <c r="CF134" s="226"/>
      <c r="CG134" s="226"/>
      <c r="CH134" s="226"/>
      <c r="CI134" s="226"/>
      <c r="CJ134" s="226"/>
      <c r="CK134" s="226"/>
      <c r="CL134" s="226"/>
      <c r="CM134" s="226"/>
      <c r="CN134" s="226"/>
      <c r="CO134" s="226"/>
      <c r="CP134" s="226"/>
      <c r="CQ134" s="226"/>
      <c r="CR134" s="226"/>
      <c r="CS134" s="226"/>
      <c r="CT134" s="226"/>
      <c r="CU134" s="226"/>
      <c r="CV134" s="226"/>
      <c r="CW134" s="226"/>
      <c r="CX134" s="226"/>
      <c r="CY134" s="226"/>
      <c r="CZ134" s="226"/>
      <c r="DA134" s="226"/>
      <c r="DB134" s="226"/>
      <c r="DC134" s="226"/>
      <c r="DD134" s="226"/>
      <c r="DE134" s="226"/>
      <c r="DF134" s="226"/>
      <c r="DG134" s="226"/>
      <c r="DH134" s="226"/>
      <c r="DI134" s="226"/>
      <c r="DJ134" s="226"/>
      <c r="DK134" s="226"/>
      <c r="DL134" s="226"/>
      <c r="DM134" s="226"/>
      <c r="DN134" s="226"/>
      <c r="DO134" s="226"/>
      <c r="DP134" s="226"/>
      <c r="DQ134" s="226"/>
      <c r="DR134" s="226"/>
      <c r="DS134" s="226"/>
      <c r="DT134" s="226"/>
      <c r="DU134" s="226"/>
      <c r="DV134" s="226"/>
      <c r="DW134" s="226"/>
      <c r="DX134" s="226"/>
      <c r="DY134" s="226"/>
      <c r="DZ134" s="226"/>
      <c r="EA134" s="226"/>
      <c r="EB134" s="226"/>
      <c r="EC134" s="226"/>
      <c r="ED134" s="226"/>
      <c r="EE134" s="226"/>
      <c r="EF134" s="226"/>
      <c r="EG134" s="226"/>
      <c r="EH134" s="226"/>
      <c r="EI134" s="226"/>
      <c r="EJ134" s="226"/>
      <c r="EK134" s="226"/>
      <c r="EL134" s="226"/>
      <c r="EM134" s="226"/>
      <c r="EN134" s="226"/>
      <c r="EO134" s="226"/>
      <c r="EP134" s="226"/>
      <c r="EQ134" s="226"/>
      <c r="ER134" s="226"/>
      <c r="ES134" s="226"/>
      <c r="ET134" s="226"/>
      <c r="EU134" s="226"/>
      <c r="EV134" s="226"/>
      <c r="EW134" s="226"/>
      <c r="EX134" s="226"/>
      <c r="EY134" s="226"/>
      <c r="EZ134" s="226"/>
      <c r="FA134" s="226"/>
      <c r="FB134" s="226"/>
      <c r="FC134" s="226"/>
      <c r="FD134" s="226"/>
      <c r="FE134" s="226"/>
      <c r="FF134" s="226"/>
      <c r="FG134" s="226"/>
      <c r="FH134" s="226"/>
      <c r="FI134" s="226"/>
      <c r="FJ134" s="226"/>
      <c r="FK134" s="226"/>
      <c r="FL134" s="226"/>
      <c r="FM134" s="226"/>
      <c r="FN134" s="226"/>
      <c r="FO134" s="226"/>
      <c r="FP134" s="226"/>
      <c r="FQ134" s="226"/>
      <c r="FR134" s="226"/>
      <c r="FS134" s="226"/>
      <c r="FT134" s="226"/>
      <c r="FU134" s="226"/>
      <c r="FV134" s="226"/>
      <c r="FW134" s="226"/>
      <c r="FX134" s="226"/>
      <c r="FY134" s="226"/>
      <c r="FZ134" s="226"/>
      <c r="GA134" s="226"/>
      <c r="GB134" s="226"/>
      <c r="GC134" s="226"/>
      <c r="GD134" s="226"/>
      <c r="GE134" s="226"/>
      <c r="GF134" s="226"/>
      <c r="GG134" s="226"/>
    </row>
    <row r="135" spans="1:189" s="225" customFormat="1">
      <c r="A135" s="639"/>
      <c r="B135" s="681"/>
      <c r="C135" s="1523" t="e">
        <f>#REF!</f>
        <v>#REF!</v>
      </c>
      <c r="D135" s="1521">
        <v>1</v>
      </c>
      <c r="E135" s="1261" t="e">
        <f>#REF!</f>
        <v>#REF!</v>
      </c>
      <c r="F135" s="1259" t="e">
        <f>+D135*E135</f>
        <v>#REF!</v>
      </c>
      <c r="G135" s="259"/>
      <c r="H135" s="259"/>
      <c r="I135" s="265"/>
      <c r="J135" s="259"/>
      <c r="K135" s="226"/>
      <c r="L135" s="226"/>
      <c r="M135" s="226"/>
      <c r="N135" s="226"/>
      <c r="O135" s="226"/>
      <c r="P135" s="226"/>
      <c r="Q135" s="226"/>
      <c r="R135" s="226"/>
      <c r="S135" s="226"/>
      <c r="T135" s="226"/>
      <c r="U135" s="226"/>
      <c r="V135" s="226"/>
      <c r="W135" s="226"/>
      <c r="X135" s="226"/>
      <c r="Y135" s="226"/>
      <c r="Z135" s="226"/>
      <c r="AA135" s="226"/>
      <c r="AB135" s="226"/>
      <c r="AC135" s="226"/>
      <c r="AD135" s="226"/>
      <c r="AE135" s="226"/>
      <c r="AF135" s="226"/>
      <c r="AG135" s="226"/>
      <c r="AH135" s="226"/>
      <c r="AI135" s="226"/>
      <c r="AJ135" s="226"/>
      <c r="AK135" s="226"/>
      <c r="AL135" s="226"/>
      <c r="AM135" s="226"/>
      <c r="AN135" s="226"/>
      <c r="AO135" s="226"/>
      <c r="AP135" s="226"/>
      <c r="AQ135" s="226"/>
      <c r="AR135" s="226"/>
      <c r="AS135" s="226"/>
      <c r="AT135" s="226"/>
      <c r="AU135" s="226"/>
      <c r="AV135" s="226"/>
      <c r="AW135" s="226"/>
      <c r="AX135" s="226"/>
      <c r="AY135" s="226"/>
      <c r="AZ135" s="226"/>
      <c r="BA135" s="226"/>
      <c r="BB135" s="226"/>
      <c r="BC135" s="226"/>
      <c r="BD135" s="226"/>
      <c r="BE135" s="226"/>
      <c r="BF135" s="226"/>
      <c r="BG135" s="226"/>
      <c r="BH135" s="226"/>
      <c r="BI135" s="226"/>
      <c r="BJ135" s="226"/>
      <c r="BK135" s="226"/>
      <c r="BL135" s="226"/>
      <c r="BM135" s="226"/>
      <c r="BN135" s="226"/>
      <c r="BO135" s="226"/>
      <c r="BP135" s="226"/>
      <c r="BQ135" s="226"/>
      <c r="BR135" s="226"/>
      <c r="BS135" s="226"/>
      <c r="BT135" s="226"/>
      <c r="BU135" s="226"/>
      <c r="BV135" s="226"/>
      <c r="BW135" s="226"/>
      <c r="BX135" s="226"/>
      <c r="BY135" s="226"/>
      <c r="BZ135" s="226"/>
      <c r="CA135" s="226"/>
      <c r="CB135" s="226"/>
      <c r="CC135" s="226"/>
      <c r="CD135" s="226"/>
      <c r="CE135" s="226"/>
      <c r="CF135" s="226"/>
      <c r="CG135" s="226"/>
      <c r="CH135" s="226"/>
      <c r="CI135" s="226"/>
      <c r="CJ135" s="226"/>
      <c r="CK135" s="226"/>
      <c r="CL135" s="226"/>
      <c r="CM135" s="226"/>
      <c r="CN135" s="226"/>
      <c r="CO135" s="226"/>
      <c r="CP135" s="226"/>
      <c r="CQ135" s="226"/>
      <c r="CR135" s="226"/>
      <c r="CS135" s="226"/>
      <c r="CT135" s="226"/>
      <c r="CU135" s="226"/>
      <c r="CV135" s="226"/>
      <c r="CW135" s="226"/>
      <c r="CX135" s="226"/>
      <c r="CY135" s="226"/>
      <c r="CZ135" s="226"/>
      <c r="DA135" s="226"/>
      <c r="DB135" s="226"/>
      <c r="DC135" s="226"/>
      <c r="DD135" s="226"/>
      <c r="DE135" s="226"/>
      <c r="DF135" s="226"/>
      <c r="DG135" s="226"/>
      <c r="DH135" s="226"/>
      <c r="DI135" s="226"/>
      <c r="DJ135" s="226"/>
      <c r="DK135" s="226"/>
      <c r="DL135" s="226"/>
      <c r="DM135" s="226"/>
      <c r="DN135" s="226"/>
      <c r="DO135" s="226"/>
      <c r="DP135" s="226"/>
      <c r="DQ135" s="226"/>
      <c r="DR135" s="226"/>
      <c r="DS135" s="226"/>
      <c r="DT135" s="226"/>
      <c r="DU135" s="226"/>
      <c r="DV135" s="226"/>
      <c r="DW135" s="226"/>
      <c r="DX135" s="226"/>
      <c r="DY135" s="226"/>
      <c r="DZ135" s="226"/>
      <c r="EA135" s="226"/>
      <c r="EB135" s="226"/>
      <c r="EC135" s="226"/>
      <c r="ED135" s="226"/>
      <c r="EE135" s="226"/>
      <c r="EF135" s="226"/>
      <c r="EG135" s="226"/>
      <c r="EH135" s="226"/>
      <c r="EI135" s="226"/>
      <c r="EJ135" s="226"/>
      <c r="EK135" s="226"/>
      <c r="EL135" s="226"/>
      <c r="EM135" s="226"/>
      <c r="EN135" s="226"/>
      <c r="EO135" s="226"/>
      <c r="EP135" s="226"/>
      <c r="EQ135" s="226"/>
      <c r="ER135" s="226"/>
      <c r="ES135" s="226"/>
      <c r="ET135" s="226"/>
      <c r="EU135" s="226"/>
      <c r="EV135" s="226"/>
      <c r="EW135" s="226"/>
      <c r="EX135" s="226"/>
      <c r="EY135" s="226"/>
      <c r="EZ135" s="226"/>
      <c r="FA135" s="226"/>
      <c r="FB135" s="226"/>
      <c r="FC135" s="226"/>
      <c r="FD135" s="226"/>
      <c r="FE135" s="226"/>
      <c r="FF135" s="226"/>
      <c r="FG135" s="226"/>
      <c r="FH135" s="226"/>
      <c r="FI135" s="226"/>
      <c r="FJ135" s="226"/>
      <c r="FK135" s="226"/>
      <c r="FL135" s="226"/>
      <c r="FM135" s="226"/>
      <c r="FN135" s="226"/>
      <c r="FO135" s="226"/>
      <c r="FP135" s="226"/>
      <c r="FQ135" s="226"/>
      <c r="FR135" s="226"/>
      <c r="FS135" s="226"/>
      <c r="FT135" s="226"/>
      <c r="FU135" s="226"/>
      <c r="FV135" s="226"/>
      <c r="FW135" s="226"/>
      <c r="FX135" s="226"/>
      <c r="FY135" s="226"/>
      <c r="FZ135" s="226"/>
      <c r="GA135" s="226"/>
      <c r="GB135" s="226"/>
      <c r="GC135" s="226"/>
      <c r="GD135" s="226"/>
      <c r="GE135" s="226"/>
      <c r="GF135" s="226"/>
      <c r="GG135" s="226"/>
    </row>
    <row r="136" spans="1:189" s="225" customFormat="1">
      <c r="A136" s="745" t="e">
        <f>+#REF!</f>
        <v>#REF!</v>
      </c>
      <c r="B136" s="830" t="e">
        <f>+#REF!</f>
        <v>#REF!</v>
      </c>
      <c r="C136" s="1264"/>
      <c r="D136" s="1519"/>
      <c r="E136" s="1260"/>
      <c r="F136" s="1258"/>
      <c r="G136" s="259"/>
      <c r="K136" s="226"/>
      <c r="L136" s="226"/>
      <c r="M136" s="226"/>
      <c r="N136" s="226"/>
      <c r="O136" s="226"/>
      <c r="P136" s="226"/>
      <c r="Q136" s="226"/>
      <c r="R136" s="226"/>
      <c r="S136" s="226"/>
      <c r="T136" s="226"/>
      <c r="U136" s="226"/>
      <c r="V136" s="226"/>
      <c r="W136" s="226"/>
      <c r="X136" s="226"/>
      <c r="Y136" s="226"/>
      <c r="Z136" s="226"/>
      <c r="AA136" s="226"/>
      <c r="AB136" s="226"/>
      <c r="AC136" s="226"/>
      <c r="AD136" s="226"/>
      <c r="AE136" s="226"/>
      <c r="AF136" s="226"/>
      <c r="AG136" s="226"/>
      <c r="AH136" s="226"/>
      <c r="AI136" s="226"/>
      <c r="AJ136" s="226"/>
      <c r="AK136" s="226"/>
      <c r="AL136" s="226"/>
      <c r="AM136" s="226"/>
      <c r="AN136" s="226"/>
      <c r="AO136" s="226"/>
      <c r="AP136" s="226"/>
      <c r="AQ136" s="226"/>
      <c r="AR136" s="226"/>
      <c r="AS136" s="226"/>
      <c r="AT136" s="226"/>
      <c r="AU136" s="226"/>
      <c r="AV136" s="226"/>
      <c r="AW136" s="226"/>
      <c r="AX136" s="226"/>
      <c r="AY136" s="226"/>
      <c r="AZ136" s="226"/>
      <c r="BA136" s="226"/>
      <c r="BB136" s="226"/>
      <c r="BC136" s="226"/>
      <c r="BD136" s="226"/>
      <c r="BE136" s="226"/>
      <c r="BF136" s="226"/>
      <c r="BG136" s="226"/>
      <c r="BH136" s="226"/>
      <c r="BI136" s="226"/>
      <c r="BJ136" s="226"/>
      <c r="BK136" s="226"/>
      <c r="BL136" s="226"/>
      <c r="BM136" s="226"/>
      <c r="BN136" s="226"/>
      <c r="BO136" s="226"/>
      <c r="BP136" s="226"/>
      <c r="BQ136" s="226"/>
      <c r="BR136" s="226"/>
      <c r="BS136" s="226"/>
      <c r="BT136" s="226"/>
      <c r="BU136" s="226"/>
      <c r="BV136" s="226"/>
      <c r="BW136" s="226"/>
      <c r="BX136" s="226"/>
      <c r="BY136" s="226"/>
      <c r="BZ136" s="226"/>
      <c r="CA136" s="226"/>
      <c r="CB136" s="226"/>
      <c r="CC136" s="226"/>
      <c r="CD136" s="226"/>
      <c r="CE136" s="226"/>
      <c r="CF136" s="226"/>
      <c r="CG136" s="226"/>
      <c r="CH136" s="226"/>
      <c r="CI136" s="226"/>
      <c r="CJ136" s="226"/>
      <c r="CK136" s="226"/>
      <c r="CL136" s="226"/>
      <c r="CM136" s="226"/>
      <c r="CN136" s="226"/>
      <c r="CO136" s="226"/>
      <c r="CP136" s="226"/>
      <c r="CQ136" s="226"/>
      <c r="CR136" s="226"/>
      <c r="CS136" s="226"/>
      <c r="CT136" s="226"/>
      <c r="CU136" s="226"/>
      <c r="CV136" s="226"/>
      <c r="CW136" s="226"/>
      <c r="CX136" s="226"/>
      <c r="CY136" s="226"/>
      <c r="CZ136" s="226"/>
      <c r="DA136" s="226"/>
      <c r="DB136" s="226"/>
      <c r="DC136" s="226"/>
      <c r="DD136" s="226"/>
      <c r="DE136" s="226"/>
      <c r="DF136" s="226"/>
      <c r="DG136" s="226"/>
      <c r="DH136" s="226"/>
      <c r="DI136" s="226"/>
      <c r="DJ136" s="226"/>
      <c r="DK136" s="226"/>
      <c r="DL136" s="226"/>
      <c r="DM136" s="226"/>
      <c r="DN136" s="226"/>
      <c r="DO136" s="226"/>
      <c r="DP136" s="226"/>
      <c r="DQ136" s="226"/>
      <c r="DR136" s="226"/>
      <c r="DS136" s="226"/>
      <c r="DT136" s="226"/>
      <c r="DU136" s="226"/>
      <c r="DV136" s="226"/>
      <c r="DW136" s="226"/>
      <c r="DX136" s="226"/>
      <c r="DY136" s="226"/>
      <c r="DZ136" s="226"/>
      <c r="EA136" s="226"/>
      <c r="EB136" s="226"/>
      <c r="EC136" s="226"/>
      <c r="ED136" s="226"/>
      <c r="EE136" s="226"/>
      <c r="EF136" s="226"/>
      <c r="EG136" s="226"/>
      <c r="EH136" s="226"/>
      <c r="EI136" s="226"/>
      <c r="EJ136" s="226"/>
      <c r="EK136" s="226"/>
      <c r="EL136" s="226"/>
      <c r="EM136" s="226"/>
      <c r="EN136" s="226"/>
      <c r="EO136" s="226"/>
      <c r="EP136" s="226"/>
      <c r="EQ136" s="226"/>
      <c r="ER136" s="226"/>
      <c r="ES136" s="226"/>
      <c r="ET136" s="226"/>
      <c r="EU136" s="226"/>
      <c r="EV136" s="226"/>
      <c r="EW136" s="226"/>
      <c r="EX136" s="226"/>
      <c r="EY136" s="226"/>
      <c r="EZ136" s="226"/>
      <c r="FA136" s="226"/>
      <c r="FB136" s="226"/>
      <c r="FC136" s="226"/>
      <c r="FD136" s="226"/>
      <c r="FE136" s="226"/>
      <c r="FF136" s="226"/>
      <c r="FG136" s="226"/>
      <c r="FH136" s="226"/>
      <c r="FI136" s="226"/>
      <c r="FJ136" s="226"/>
      <c r="FK136" s="226"/>
      <c r="FL136" s="226"/>
      <c r="FM136" s="226"/>
      <c r="FN136" s="226"/>
      <c r="FO136" s="226"/>
      <c r="FP136" s="226"/>
      <c r="FQ136" s="226"/>
      <c r="FR136" s="226"/>
      <c r="FS136" s="226"/>
      <c r="FT136" s="226"/>
      <c r="FU136" s="226"/>
      <c r="FV136" s="226"/>
      <c r="FW136" s="226"/>
      <c r="FX136" s="226"/>
      <c r="FY136" s="226"/>
      <c r="FZ136" s="226"/>
      <c r="GA136" s="226"/>
      <c r="GB136" s="226"/>
      <c r="GC136" s="226"/>
      <c r="GD136" s="226"/>
      <c r="GE136" s="226"/>
      <c r="GF136" s="226"/>
      <c r="GG136" s="226"/>
    </row>
    <row r="137" spans="1:189" s="225" customFormat="1" ht="30" customHeight="1">
      <c r="A137" s="785" t="e">
        <f>+#REF!</f>
        <v>#REF!</v>
      </c>
      <c r="B137" s="764" t="e">
        <f>+#REF!</f>
        <v>#REF!</v>
      </c>
      <c r="C137" s="1522" t="e">
        <f>#REF!</f>
        <v>#REF!</v>
      </c>
      <c r="D137" s="1520">
        <f>J137</f>
        <v>49.478000000000002</v>
      </c>
      <c r="E137" s="1265" t="e">
        <f>#REF!</f>
        <v>#REF!</v>
      </c>
      <c r="F137" s="1267" t="e">
        <f>+D137*E137</f>
        <v>#REF!</v>
      </c>
      <c r="G137" s="259"/>
      <c r="H137" s="259">
        <f>SUM(H129:H133)/50+10</f>
        <v>44.98</v>
      </c>
      <c r="I137" s="265">
        <v>1.1000000000000001</v>
      </c>
      <c r="J137" s="259">
        <f>H137*I137</f>
        <v>49.478000000000002</v>
      </c>
      <c r="K137" s="226"/>
      <c r="L137" s="226"/>
      <c r="M137" s="226"/>
      <c r="N137" s="226"/>
      <c r="O137" s="226"/>
      <c r="P137" s="226"/>
      <c r="Q137" s="226"/>
      <c r="R137" s="226"/>
      <c r="S137" s="226"/>
      <c r="T137" s="226"/>
      <c r="U137" s="226"/>
      <c r="V137" s="226"/>
      <c r="W137" s="226"/>
      <c r="X137" s="226"/>
      <c r="Y137" s="226"/>
      <c r="Z137" s="226"/>
      <c r="AA137" s="226"/>
      <c r="AB137" s="226"/>
      <c r="AC137" s="226"/>
      <c r="AD137" s="226"/>
      <c r="AE137" s="226"/>
      <c r="AF137" s="226"/>
      <c r="AG137" s="226"/>
      <c r="AH137" s="226"/>
      <c r="AI137" s="226"/>
      <c r="AJ137" s="226"/>
      <c r="AK137" s="226"/>
      <c r="AL137" s="226"/>
      <c r="AM137" s="226"/>
      <c r="AN137" s="226"/>
      <c r="AO137" s="226"/>
      <c r="AP137" s="226"/>
      <c r="AQ137" s="226"/>
      <c r="AR137" s="226"/>
      <c r="AS137" s="226"/>
      <c r="AT137" s="226"/>
      <c r="AU137" s="226"/>
      <c r="AV137" s="226"/>
      <c r="AW137" s="226"/>
      <c r="AX137" s="226"/>
      <c r="AY137" s="226"/>
      <c r="AZ137" s="226"/>
      <c r="BA137" s="226"/>
      <c r="BB137" s="226"/>
      <c r="BC137" s="226"/>
      <c r="BD137" s="226"/>
      <c r="BE137" s="226"/>
      <c r="BF137" s="226"/>
      <c r="BG137" s="226"/>
      <c r="BH137" s="226"/>
      <c r="BI137" s="226"/>
      <c r="BJ137" s="226"/>
      <c r="BK137" s="226"/>
      <c r="BL137" s="226"/>
      <c r="BM137" s="226"/>
      <c r="BN137" s="226"/>
      <c r="BO137" s="226"/>
      <c r="BP137" s="226"/>
      <c r="BQ137" s="226"/>
      <c r="BR137" s="226"/>
      <c r="BS137" s="226"/>
      <c r="BT137" s="226"/>
      <c r="BU137" s="226"/>
      <c r="BV137" s="226"/>
      <c r="BW137" s="226"/>
      <c r="BX137" s="226"/>
      <c r="BY137" s="226"/>
      <c r="BZ137" s="226"/>
      <c r="CA137" s="226"/>
      <c r="CB137" s="226"/>
      <c r="CC137" s="226"/>
      <c r="CD137" s="226"/>
      <c r="CE137" s="226"/>
      <c r="CF137" s="226"/>
      <c r="CG137" s="226"/>
      <c r="CH137" s="226"/>
      <c r="CI137" s="226"/>
      <c r="CJ137" s="226"/>
      <c r="CK137" s="226"/>
      <c r="CL137" s="226"/>
      <c r="CM137" s="226"/>
      <c r="CN137" s="226"/>
      <c r="CO137" s="226"/>
      <c r="CP137" s="226"/>
      <c r="CQ137" s="226"/>
      <c r="CR137" s="226"/>
      <c r="CS137" s="226"/>
      <c r="CT137" s="226"/>
      <c r="CU137" s="226"/>
      <c r="CV137" s="226"/>
      <c r="CW137" s="226"/>
      <c r="CX137" s="226"/>
      <c r="CY137" s="226"/>
      <c r="CZ137" s="226"/>
      <c r="DA137" s="226"/>
      <c r="DB137" s="226"/>
      <c r="DC137" s="226"/>
      <c r="DD137" s="226"/>
      <c r="DE137" s="226"/>
      <c r="DF137" s="226"/>
      <c r="DG137" s="226"/>
      <c r="DH137" s="226"/>
      <c r="DI137" s="226"/>
      <c r="DJ137" s="226"/>
      <c r="DK137" s="226"/>
      <c r="DL137" s="226"/>
      <c r="DM137" s="226"/>
      <c r="DN137" s="226"/>
      <c r="DO137" s="226"/>
      <c r="DP137" s="226"/>
      <c r="DQ137" s="226"/>
      <c r="DR137" s="226"/>
      <c r="DS137" s="226"/>
      <c r="DT137" s="226"/>
      <c r="DU137" s="226"/>
      <c r="DV137" s="226"/>
      <c r="DW137" s="226"/>
      <c r="DX137" s="226"/>
      <c r="DY137" s="226"/>
      <c r="DZ137" s="226"/>
      <c r="EA137" s="226"/>
      <c r="EB137" s="226"/>
      <c r="EC137" s="226"/>
      <c r="ED137" s="226"/>
      <c r="EE137" s="226"/>
      <c r="EF137" s="226"/>
      <c r="EG137" s="226"/>
      <c r="EH137" s="226"/>
      <c r="EI137" s="226"/>
      <c r="EJ137" s="226"/>
      <c r="EK137" s="226"/>
      <c r="EL137" s="226"/>
      <c r="EM137" s="226"/>
      <c r="EN137" s="226"/>
      <c r="EO137" s="226"/>
      <c r="EP137" s="226"/>
      <c r="EQ137" s="226"/>
      <c r="ER137" s="226"/>
      <c r="ES137" s="226"/>
      <c r="ET137" s="226"/>
      <c r="EU137" s="226"/>
      <c r="EV137" s="226"/>
      <c r="EW137" s="226"/>
      <c r="EX137" s="226"/>
      <c r="EY137" s="226"/>
      <c r="EZ137" s="226"/>
      <c r="FA137" s="226"/>
      <c r="FB137" s="226"/>
      <c r="FC137" s="226"/>
      <c r="FD137" s="226"/>
      <c r="FE137" s="226"/>
      <c r="FF137" s="226"/>
      <c r="FG137" s="226"/>
      <c r="FH137" s="226"/>
      <c r="FI137" s="226"/>
      <c r="FJ137" s="226"/>
      <c r="FK137" s="226"/>
      <c r="FL137" s="226"/>
      <c r="FM137" s="226"/>
      <c r="FN137" s="226"/>
      <c r="FO137" s="226"/>
      <c r="FP137" s="226"/>
      <c r="FQ137" s="226"/>
      <c r="FR137" s="226"/>
      <c r="FS137" s="226"/>
      <c r="FT137" s="226"/>
      <c r="FU137" s="226"/>
      <c r="FV137" s="226"/>
      <c r="FW137" s="226"/>
      <c r="FX137" s="226"/>
      <c r="FY137" s="226"/>
      <c r="FZ137" s="226"/>
      <c r="GA137" s="226"/>
      <c r="GB137" s="226"/>
      <c r="GC137" s="226"/>
      <c r="GD137" s="226"/>
      <c r="GE137" s="226"/>
      <c r="GF137" s="226"/>
      <c r="GG137" s="226"/>
    </row>
    <row r="138" spans="1:189" s="225" customFormat="1">
      <c r="A138" s="765" t="e">
        <f>+#REF!</f>
        <v>#REF!</v>
      </c>
      <c r="B138" s="1429" t="e">
        <f>+#REF!</f>
        <v>#REF!</v>
      </c>
      <c r="C138" s="1523" t="e">
        <f>#REF!</f>
        <v>#REF!</v>
      </c>
      <c r="D138" s="1521">
        <f>J138</f>
        <v>146.66666666666669</v>
      </c>
      <c r="E138" s="1261" t="e">
        <f>#REF!</f>
        <v>#REF!</v>
      </c>
      <c r="F138" s="1259" t="e">
        <f>+D138*E138</f>
        <v>#REF!</v>
      </c>
      <c r="G138" s="259"/>
      <c r="H138" s="259">
        <f>SUM(H126:H127)/12</f>
        <v>133.33333333333334</v>
      </c>
      <c r="I138" s="265">
        <v>1.1000000000000001</v>
      </c>
      <c r="J138" s="259">
        <f>H138*I138</f>
        <v>146.66666666666669</v>
      </c>
      <c r="K138" s="226"/>
      <c r="L138" s="226"/>
      <c r="M138" s="226"/>
      <c r="N138" s="226"/>
      <c r="O138" s="226"/>
      <c r="P138" s="226"/>
      <c r="Q138" s="226"/>
      <c r="R138" s="226"/>
      <c r="S138" s="226"/>
      <c r="T138" s="226"/>
      <c r="U138" s="226"/>
      <c r="V138" s="226"/>
      <c r="W138" s="226"/>
      <c r="X138" s="226"/>
      <c r="Y138" s="226"/>
      <c r="Z138" s="226"/>
      <c r="AA138" s="226"/>
      <c r="AB138" s="226"/>
      <c r="AC138" s="226"/>
      <c r="AD138" s="226"/>
      <c r="AE138" s="226"/>
      <c r="AF138" s="226"/>
      <c r="AG138" s="226"/>
      <c r="AH138" s="226"/>
      <c r="AI138" s="226"/>
      <c r="AJ138" s="226"/>
      <c r="AK138" s="226"/>
      <c r="AL138" s="226"/>
      <c r="AM138" s="226"/>
      <c r="AN138" s="226"/>
      <c r="AO138" s="226"/>
      <c r="AP138" s="226"/>
      <c r="AQ138" s="226"/>
      <c r="AR138" s="226"/>
      <c r="AS138" s="226"/>
      <c r="AT138" s="226"/>
      <c r="AU138" s="226"/>
      <c r="AV138" s="226"/>
      <c r="AW138" s="226"/>
      <c r="AX138" s="226"/>
      <c r="AY138" s="226"/>
      <c r="AZ138" s="226"/>
      <c r="BA138" s="226"/>
      <c r="BB138" s="226"/>
      <c r="BC138" s="226"/>
      <c r="BD138" s="226"/>
      <c r="BE138" s="226"/>
      <c r="BF138" s="226"/>
      <c r="BG138" s="226"/>
      <c r="BH138" s="226"/>
      <c r="BI138" s="226"/>
      <c r="BJ138" s="226"/>
      <c r="BK138" s="226"/>
      <c r="BL138" s="226"/>
      <c r="BM138" s="226"/>
      <c r="BN138" s="226"/>
      <c r="BO138" s="226"/>
      <c r="BP138" s="226"/>
      <c r="BQ138" s="226"/>
      <c r="BR138" s="226"/>
      <c r="BS138" s="226"/>
      <c r="BT138" s="226"/>
      <c r="BU138" s="226"/>
      <c r="BV138" s="226"/>
      <c r="BW138" s="226"/>
      <c r="BX138" s="226"/>
      <c r="BY138" s="226"/>
      <c r="BZ138" s="226"/>
      <c r="CA138" s="226"/>
      <c r="CB138" s="226"/>
      <c r="CC138" s="226"/>
      <c r="CD138" s="226"/>
      <c r="CE138" s="226"/>
      <c r="CF138" s="226"/>
      <c r="CG138" s="226"/>
      <c r="CH138" s="226"/>
      <c r="CI138" s="226"/>
      <c r="CJ138" s="226"/>
      <c r="CK138" s="226"/>
      <c r="CL138" s="226"/>
      <c r="CM138" s="226"/>
      <c r="CN138" s="226"/>
      <c r="CO138" s="226"/>
      <c r="CP138" s="226"/>
      <c r="CQ138" s="226"/>
      <c r="CR138" s="226"/>
      <c r="CS138" s="226"/>
      <c r="CT138" s="226"/>
      <c r="CU138" s="226"/>
      <c r="CV138" s="226"/>
      <c r="CW138" s="226"/>
      <c r="CX138" s="226"/>
      <c r="CY138" s="226"/>
      <c r="CZ138" s="226"/>
      <c r="DA138" s="226"/>
      <c r="DB138" s="226"/>
      <c r="DC138" s="226"/>
      <c r="DD138" s="226"/>
      <c r="DE138" s="226"/>
      <c r="DF138" s="226"/>
      <c r="DG138" s="226"/>
      <c r="DH138" s="226"/>
      <c r="DI138" s="226"/>
      <c r="DJ138" s="226"/>
      <c r="DK138" s="226"/>
      <c r="DL138" s="226"/>
      <c r="DM138" s="226"/>
      <c r="DN138" s="226"/>
      <c r="DO138" s="226"/>
      <c r="DP138" s="226"/>
      <c r="DQ138" s="226"/>
      <c r="DR138" s="226"/>
      <c r="DS138" s="226"/>
      <c r="DT138" s="226"/>
      <c r="DU138" s="226"/>
      <c r="DV138" s="226"/>
      <c r="DW138" s="226"/>
      <c r="DX138" s="226"/>
      <c r="DY138" s="226"/>
      <c r="DZ138" s="226"/>
      <c r="EA138" s="226"/>
      <c r="EB138" s="226"/>
      <c r="EC138" s="226"/>
      <c r="ED138" s="226"/>
      <c r="EE138" s="226"/>
      <c r="EF138" s="226"/>
      <c r="EG138" s="226"/>
      <c r="EH138" s="226"/>
      <c r="EI138" s="226"/>
      <c r="EJ138" s="226"/>
      <c r="EK138" s="226"/>
      <c r="EL138" s="226"/>
      <c r="EM138" s="226"/>
      <c r="EN138" s="226"/>
      <c r="EO138" s="226"/>
      <c r="EP138" s="226"/>
      <c r="EQ138" s="226"/>
      <c r="ER138" s="226"/>
      <c r="ES138" s="226"/>
      <c r="ET138" s="226"/>
      <c r="EU138" s="226"/>
      <c r="EV138" s="226"/>
      <c r="EW138" s="226"/>
      <c r="EX138" s="226"/>
      <c r="EY138" s="226"/>
      <c r="EZ138" s="226"/>
      <c r="FA138" s="226"/>
      <c r="FB138" s="226"/>
      <c r="FC138" s="226"/>
      <c r="FD138" s="226"/>
      <c r="FE138" s="226"/>
      <c r="FF138" s="226"/>
      <c r="FG138" s="226"/>
      <c r="FH138" s="226"/>
      <c r="FI138" s="226"/>
      <c r="FJ138" s="226"/>
      <c r="FK138" s="226"/>
      <c r="FL138" s="226"/>
      <c r="FM138" s="226"/>
      <c r="FN138" s="226"/>
      <c r="FO138" s="226"/>
      <c r="FP138" s="226"/>
      <c r="FQ138" s="226"/>
      <c r="FR138" s="226"/>
      <c r="FS138" s="226"/>
      <c r="FT138" s="226"/>
      <c r="FU138" s="226"/>
      <c r="FV138" s="226"/>
      <c r="FW138" s="226"/>
      <c r="FX138" s="226"/>
      <c r="FY138" s="226"/>
      <c r="FZ138" s="226"/>
      <c r="GA138" s="226"/>
      <c r="GB138" s="226"/>
      <c r="GC138" s="226"/>
      <c r="GD138" s="226"/>
      <c r="GE138" s="226"/>
      <c r="GF138" s="226"/>
      <c r="GG138" s="226"/>
    </row>
    <row r="139" spans="1:189" s="129" customFormat="1" ht="18.75">
      <c r="A139" s="1512"/>
      <c r="B139" s="749"/>
      <c r="C139" s="1605"/>
      <c r="D139" s="1606"/>
      <c r="E139" s="1404" t="s">
        <v>113</v>
      </c>
      <c r="F139" s="1406" t="e">
        <f>SUM(F105:F138)</f>
        <v>#REF!</v>
      </c>
      <c r="G139" s="255"/>
      <c r="H139" s="255"/>
      <c r="I139" s="262"/>
      <c r="J139" s="255"/>
    </row>
    <row r="140" spans="1:189" s="115" customFormat="1">
      <c r="A140" s="1512"/>
      <c r="B140" s="749"/>
      <c r="C140" s="1602"/>
      <c r="D140" s="1268"/>
      <c r="E140" s="1603"/>
      <c r="F140" s="1604"/>
      <c r="G140" s="948"/>
      <c r="H140" s="948"/>
      <c r="I140" s="1269"/>
      <c r="J140" s="948"/>
    </row>
    <row r="141" spans="1:189" s="495" customFormat="1" ht="24.95" customHeight="1">
      <c r="A141" s="1919" t="e">
        <f>+#REF!</f>
        <v>#REF!</v>
      </c>
      <c r="B141" s="1920"/>
      <c r="C141" s="1920"/>
      <c r="D141" s="1920"/>
      <c r="E141" s="1920"/>
      <c r="F141" s="1921"/>
      <c r="G141" s="493"/>
    </row>
    <row r="142" spans="1:189" s="495" customFormat="1">
      <c r="A142" s="745" t="e">
        <f>+#REF!</f>
        <v>#REF!</v>
      </c>
      <c r="B142" s="830" t="e">
        <f>+#REF!</f>
        <v>#REF!</v>
      </c>
      <c r="C142" s="1478"/>
      <c r="D142" s="543"/>
      <c r="E142" s="1260"/>
      <c r="F142" s="1258"/>
      <c r="G142" s="493"/>
    </row>
    <row r="143" spans="1:189" s="495" customFormat="1">
      <c r="A143" s="639" t="e">
        <f>+#REF!</f>
        <v>#REF!</v>
      </c>
      <c r="B143" s="681" t="e">
        <f>+#REF!</f>
        <v>#REF!</v>
      </c>
      <c r="C143" s="1526" t="e">
        <f>#REF!</f>
        <v>#REF!</v>
      </c>
      <c r="D143" s="1526">
        <f>J143</f>
        <v>111</v>
      </c>
      <c r="E143" s="1261" t="e">
        <f>#REF!</f>
        <v>#REF!</v>
      </c>
      <c r="F143" s="1259" t="e">
        <f>+D143*E143</f>
        <v>#REF!</v>
      </c>
      <c r="G143" s="493"/>
      <c r="H143" s="493">
        <f>2*F13/25</f>
        <v>105.28</v>
      </c>
      <c r="I143" s="494">
        <v>1.05</v>
      </c>
      <c r="J143" s="493">
        <f>ROUND(H143*I143,0)</f>
        <v>111</v>
      </c>
    </row>
    <row r="144" spans="1:189" s="495" customFormat="1">
      <c r="A144" s="745" t="e">
        <f>+#REF!</f>
        <v>#REF!</v>
      </c>
      <c r="B144" s="830" t="e">
        <f>+#REF!</f>
        <v>#REF!</v>
      </c>
      <c r="C144" s="1524"/>
      <c r="D144" s="1524"/>
      <c r="E144" s="1260"/>
      <c r="F144" s="1258"/>
      <c r="G144" s="493"/>
      <c r="H144" s="493"/>
      <c r="I144" s="494"/>
      <c r="J144" s="493"/>
    </row>
    <row r="145" spans="1:189" s="495" customFormat="1">
      <c r="A145" s="638" t="e">
        <f>+#REF!</f>
        <v>#REF!</v>
      </c>
      <c r="B145" s="749" t="e">
        <f>+#REF!</f>
        <v>#REF!</v>
      </c>
      <c r="C145" s="1525" t="e">
        <f>#REF!</f>
        <v>#REF!</v>
      </c>
      <c r="D145" s="1525">
        <v>20</v>
      </c>
      <c r="E145" s="1265" t="e">
        <f>#REF!</f>
        <v>#REF!</v>
      </c>
      <c r="F145" s="1267" t="e">
        <f>+D145*E145</f>
        <v>#REF!</v>
      </c>
      <c r="G145" s="493"/>
      <c r="H145" s="493"/>
      <c r="I145" s="494"/>
      <c r="J145" s="493"/>
    </row>
    <row r="146" spans="1:189" s="495" customFormat="1">
      <c r="A146" s="639" t="e">
        <f>+#REF!</f>
        <v>#REF!</v>
      </c>
      <c r="B146" s="681" t="e">
        <f>+#REF!</f>
        <v>#REF!</v>
      </c>
      <c r="C146" s="1526" t="e">
        <f>#REF!</f>
        <v>#REF!</v>
      </c>
      <c r="D146" s="1526">
        <v>4</v>
      </c>
      <c r="E146" s="1261" t="e">
        <f>#REF!</f>
        <v>#REF!</v>
      </c>
      <c r="F146" s="1259" t="e">
        <f>+D146*E146</f>
        <v>#REF!</v>
      </c>
      <c r="G146" s="493"/>
      <c r="H146" s="493"/>
      <c r="I146" s="494"/>
      <c r="J146" s="493"/>
    </row>
    <row r="147" spans="1:189" s="495" customFormat="1">
      <c r="A147" s="745" t="e">
        <f>+#REF!</f>
        <v>#REF!</v>
      </c>
      <c r="B147" s="830" t="e">
        <f>+#REF!</f>
        <v>#REF!</v>
      </c>
      <c r="C147" s="1524"/>
      <c r="D147" s="1524"/>
      <c r="E147" s="1260"/>
      <c r="F147" s="1258"/>
      <c r="G147" s="493"/>
      <c r="H147" s="493"/>
      <c r="I147" s="494"/>
      <c r="J147" s="493"/>
    </row>
    <row r="148" spans="1:189" s="495" customFormat="1">
      <c r="A148" s="639"/>
      <c r="B148" s="681"/>
      <c r="C148" s="1523" t="e">
        <f>#REF!</f>
        <v>#REF!</v>
      </c>
      <c r="D148" s="1526">
        <f>J148</f>
        <v>315</v>
      </c>
      <c r="E148" s="1261" t="e">
        <f>#REF!</f>
        <v>#REF!</v>
      </c>
      <c r="F148" s="1259" t="e">
        <f>+D148*E148</f>
        <v>#REF!</v>
      </c>
      <c r="G148" s="493"/>
      <c r="H148" s="493">
        <f>300</f>
        <v>300</v>
      </c>
      <c r="I148" s="494">
        <v>1.05</v>
      </c>
      <c r="J148" s="493">
        <f>H148*I148</f>
        <v>315</v>
      </c>
    </row>
    <row r="149" spans="1:189" s="456" customFormat="1" ht="18.75">
      <c r="A149" s="1123"/>
      <c r="B149" s="1124"/>
      <c r="C149" s="1605"/>
      <c r="D149" s="1606"/>
      <c r="E149" s="1404" t="s">
        <v>112</v>
      </c>
      <c r="F149" s="1406" t="e">
        <f>SUM(F142:F148)</f>
        <v>#REF!</v>
      </c>
      <c r="G149" s="493"/>
      <c r="H149" s="493"/>
      <c r="I149" s="494"/>
      <c r="J149" s="493"/>
      <c r="K149" s="495"/>
      <c r="L149" s="495"/>
      <c r="M149" s="495"/>
      <c r="N149" s="495"/>
      <c r="O149" s="495"/>
      <c r="P149" s="495"/>
      <c r="Q149" s="495"/>
      <c r="R149" s="495"/>
      <c r="S149" s="495"/>
      <c r="T149" s="495"/>
      <c r="U149" s="495"/>
      <c r="V149" s="495"/>
      <c r="W149" s="495"/>
      <c r="X149" s="495"/>
      <c r="Y149" s="495"/>
      <c r="Z149" s="495"/>
      <c r="AA149" s="495"/>
      <c r="AB149" s="495"/>
      <c r="AC149" s="495"/>
      <c r="AD149" s="495"/>
      <c r="AE149" s="495"/>
      <c r="AF149" s="495"/>
      <c r="AG149" s="495"/>
      <c r="AH149" s="495"/>
      <c r="AI149" s="495"/>
      <c r="AJ149" s="495"/>
      <c r="AK149" s="495"/>
      <c r="AL149" s="495"/>
      <c r="AM149" s="495"/>
      <c r="AN149" s="495"/>
      <c r="AO149" s="495"/>
      <c r="AP149" s="495"/>
      <c r="AQ149" s="495"/>
      <c r="AR149" s="495"/>
      <c r="AS149" s="495"/>
      <c r="AT149" s="495"/>
      <c r="AU149" s="495"/>
      <c r="AV149" s="495"/>
      <c r="AW149" s="495"/>
      <c r="AX149" s="495"/>
      <c r="AY149" s="495"/>
      <c r="AZ149" s="495"/>
      <c r="BA149" s="495"/>
      <c r="BB149" s="495"/>
      <c r="BC149" s="495"/>
      <c r="BD149" s="495"/>
      <c r="BE149" s="495"/>
      <c r="BF149" s="495"/>
      <c r="BG149" s="495"/>
      <c r="BH149" s="495"/>
      <c r="BI149" s="495"/>
      <c r="BJ149" s="495"/>
      <c r="BK149" s="495"/>
      <c r="BL149" s="495"/>
      <c r="BM149" s="495"/>
      <c r="BN149" s="495"/>
      <c r="BO149" s="495"/>
      <c r="BP149" s="495"/>
      <c r="BQ149" s="495"/>
      <c r="BR149" s="495"/>
      <c r="BS149" s="495"/>
      <c r="BT149" s="495"/>
      <c r="BU149" s="495"/>
      <c r="BV149" s="495"/>
      <c r="BW149" s="495"/>
      <c r="BX149" s="495"/>
      <c r="BY149" s="495"/>
      <c r="BZ149" s="495"/>
      <c r="CA149" s="495"/>
      <c r="CB149" s="495"/>
      <c r="CC149" s="495"/>
      <c r="CD149" s="495"/>
      <c r="CE149" s="495"/>
      <c r="CF149" s="495"/>
      <c r="CG149" s="495"/>
      <c r="CH149" s="495"/>
      <c r="CI149" s="495"/>
      <c r="CJ149" s="495"/>
      <c r="CK149" s="495"/>
      <c r="CL149" s="495"/>
      <c r="CM149" s="495"/>
      <c r="CN149" s="495"/>
      <c r="CO149" s="495"/>
      <c r="CP149" s="495"/>
      <c r="CQ149" s="495"/>
      <c r="CR149" s="495"/>
      <c r="CS149" s="495"/>
      <c r="CT149" s="495"/>
      <c r="CU149" s="495"/>
      <c r="CV149" s="495"/>
      <c r="CW149" s="495"/>
      <c r="CX149" s="495"/>
      <c r="CY149" s="495"/>
      <c r="CZ149" s="495"/>
      <c r="DA149" s="495"/>
      <c r="DB149" s="495"/>
      <c r="DC149" s="495"/>
      <c r="DD149" s="495"/>
      <c r="DE149" s="495"/>
      <c r="DF149" s="495"/>
      <c r="DG149" s="495"/>
      <c r="DH149" s="495"/>
      <c r="DI149" s="495"/>
      <c r="DJ149" s="495"/>
      <c r="DK149" s="495"/>
      <c r="DL149" s="495"/>
      <c r="DM149" s="495"/>
      <c r="DN149" s="495"/>
      <c r="DO149" s="495"/>
      <c r="DP149" s="495"/>
      <c r="DQ149" s="495"/>
      <c r="DR149" s="495"/>
      <c r="DS149" s="495"/>
      <c r="DT149" s="495"/>
      <c r="DU149" s="495"/>
      <c r="DV149" s="495"/>
      <c r="DW149" s="495"/>
      <c r="DX149" s="495"/>
      <c r="DY149" s="495"/>
      <c r="DZ149" s="495"/>
      <c r="EA149" s="495"/>
      <c r="EB149" s="495"/>
      <c r="EC149" s="495"/>
      <c r="ED149" s="495"/>
      <c r="EE149" s="495"/>
      <c r="EF149" s="495"/>
      <c r="EG149" s="495"/>
      <c r="EH149" s="495"/>
      <c r="EI149" s="495"/>
      <c r="EJ149" s="495"/>
      <c r="EK149" s="495"/>
      <c r="EL149" s="495"/>
      <c r="EM149" s="495"/>
      <c r="EN149" s="495"/>
      <c r="EO149" s="495"/>
      <c r="EP149" s="495"/>
      <c r="EQ149" s="495"/>
      <c r="ER149" s="495"/>
      <c r="ES149" s="495"/>
      <c r="ET149" s="495"/>
      <c r="EU149" s="495"/>
      <c r="EV149" s="495"/>
      <c r="EW149" s="495"/>
      <c r="EX149" s="495"/>
      <c r="EY149" s="495"/>
      <c r="EZ149" s="495"/>
      <c r="FA149" s="495"/>
      <c r="FB149" s="495"/>
      <c r="FC149" s="495"/>
      <c r="FD149" s="495"/>
      <c r="FE149" s="495"/>
      <c r="FF149" s="495"/>
      <c r="FG149" s="495"/>
      <c r="FH149" s="495"/>
      <c r="FI149" s="495"/>
      <c r="FJ149" s="495"/>
      <c r="FK149" s="495"/>
      <c r="FL149" s="495"/>
      <c r="FM149" s="495"/>
      <c r="FN149" s="495"/>
      <c r="FO149" s="495"/>
      <c r="FP149" s="495"/>
      <c r="FQ149" s="495"/>
      <c r="FR149" s="495"/>
      <c r="FS149" s="495"/>
      <c r="FT149" s="495"/>
      <c r="FU149" s="495"/>
      <c r="FV149" s="495"/>
      <c r="FW149" s="495"/>
      <c r="FX149" s="495"/>
      <c r="FY149" s="495"/>
      <c r="FZ149" s="495"/>
      <c r="GA149" s="495"/>
      <c r="GB149" s="495"/>
      <c r="GC149" s="495"/>
      <c r="GD149" s="495"/>
      <c r="GE149" s="495"/>
      <c r="GF149" s="495"/>
      <c r="GG149" s="495"/>
    </row>
    <row r="150" spans="1:189" s="129" customFormat="1" ht="15" customHeight="1">
      <c r="A150" s="1113"/>
      <c r="B150" s="926"/>
      <c r="C150" s="1595"/>
      <c r="D150" s="1114"/>
      <c r="E150" s="1594"/>
      <c r="F150" s="1594"/>
      <c r="G150" s="255"/>
      <c r="H150" s="255"/>
      <c r="I150" s="262"/>
      <c r="J150" s="255"/>
    </row>
    <row r="151" spans="1:189" s="129" customFormat="1" ht="24.95" customHeight="1">
      <c r="A151" s="1113"/>
      <c r="B151" s="926"/>
      <c r="C151" s="1605"/>
      <c r="D151" s="1606"/>
      <c r="E151" s="1404" t="s">
        <v>330</v>
      </c>
      <c r="F151" s="1406" t="e">
        <f>+F61+F70+F102+F139+F149</f>
        <v>#REF!</v>
      </c>
      <c r="G151" s="255"/>
      <c r="H151" s="255"/>
      <c r="I151" s="262"/>
      <c r="J151" s="255"/>
    </row>
    <row r="152" spans="1:189" ht="15" customHeight="1">
      <c r="A152" s="1113"/>
      <c r="B152" s="926"/>
      <c r="C152" s="1595"/>
      <c r="D152" s="1595"/>
      <c r="E152" s="1601"/>
      <c r="F152" s="1601"/>
    </row>
    <row r="153" spans="1:189" ht="24.95" customHeight="1">
      <c r="A153" s="1113"/>
      <c r="B153" s="926"/>
      <c r="C153" s="1605"/>
      <c r="D153" s="1606"/>
      <c r="E153" s="1404" t="s">
        <v>331</v>
      </c>
      <c r="F153" s="1406" t="e">
        <f>+F151+F37</f>
        <v>#REF!</v>
      </c>
    </row>
    <row r="156" spans="1:189" s="129" customFormat="1">
      <c r="A156" s="1108"/>
      <c r="B156" s="114"/>
      <c r="C156" s="1057"/>
      <c r="D156" s="940"/>
      <c r="E156" s="257"/>
      <c r="F156" s="257"/>
      <c r="G156" s="255">
        <v>6297720903.5422144</v>
      </c>
      <c r="H156" s="255"/>
      <c r="I156" s="262"/>
      <c r="J156" s="255"/>
    </row>
    <row r="157" spans="1:189">
      <c r="J157" s="255">
        <f>18500*17</f>
        <v>314500</v>
      </c>
    </row>
    <row r="160" spans="1:189" s="129" customFormat="1">
      <c r="A160" s="1108"/>
      <c r="B160" s="114"/>
      <c r="C160" s="1057"/>
      <c r="D160" s="940"/>
      <c r="E160" s="257"/>
      <c r="F160" s="257"/>
      <c r="G160" s="255"/>
      <c r="H160" s="255"/>
      <c r="I160" s="262"/>
      <c r="J160" s="255"/>
      <c r="AV160" s="129">
        <v>46200</v>
      </c>
    </row>
    <row r="161" spans="1:10" s="129" customFormat="1">
      <c r="A161" s="1108"/>
      <c r="B161" s="114"/>
      <c r="C161" s="1057"/>
      <c r="D161" s="940"/>
      <c r="E161" s="257"/>
      <c r="F161" s="257"/>
      <c r="G161" s="255"/>
      <c r="H161" s="255"/>
      <c r="I161" s="262"/>
      <c r="J161" s="255"/>
    </row>
    <row r="162" spans="1:10" s="129" customFormat="1">
      <c r="A162" s="1108"/>
      <c r="B162" s="114"/>
      <c r="C162" s="1057"/>
      <c r="D162" s="940"/>
      <c r="E162" s="257"/>
      <c r="F162" s="257"/>
      <c r="G162" s="255"/>
      <c r="H162" s="255"/>
      <c r="I162" s="262"/>
      <c r="J162" s="255"/>
    </row>
    <row r="164" spans="1:10" ht="15.75">
      <c r="A164" s="1109"/>
      <c r="E164" s="947"/>
      <c r="F164" s="1059"/>
    </row>
    <row r="165" spans="1:10" ht="26.25">
      <c r="B165" s="1915"/>
      <c r="C165" s="1915"/>
      <c r="D165" s="1915"/>
      <c r="E165" s="1915"/>
      <c r="F165" s="1915"/>
    </row>
    <row r="178" spans="5:5">
      <c r="E178" s="257">
        <f>18500*17</f>
        <v>314500</v>
      </c>
    </row>
  </sheetData>
  <mergeCells count="10">
    <mergeCell ref="B165:F165"/>
    <mergeCell ref="A1:F1"/>
    <mergeCell ref="A2:F2"/>
    <mergeCell ref="A15:F15"/>
    <mergeCell ref="A22:F22"/>
    <mergeCell ref="A39:F39"/>
    <mergeCell ref="A63:F63"/>
    <mergeCell ref="A72:F72"/>
    <mergeCell ref="A104:F104"/>
    <mergeCell ref="A141:F141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  <rowBreaks count="2" manualBreakCount="2">
    <brk id="36" max="6" man="1"/>
    <brk id="69" max="6" man="1"/>
  </rowBreaks>
  <colBreaks count="1" manualBreakCount="1">
    <brk id="6" max="1048575" man="1"/>
  </col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rgb="FFFFFF00"/>
  </sheetPr>
  <dimension ref="A1:GF158"/>
  <sheetViews>
    <sheetView workbookViewId="0">
      <selection activeCell="F170" sqref="F170"/>
    </sheetView>
  </sheetViews>
  <sheetFormatPr baseColWidth="10" defaultColWidth="9.140625" defaultRowHeight="15"/>
  <cols>
    <col min="1" max="1" width="14" style="832" customWidth="1"/>
    <col min="2" max="2" width="72.7109375" style="142" customWidth="1"/>
    <col min="3" max="3" width="10" style="541" customWidth="1"/>
    <col min="4" max="4" width="13.7109375" style="255" customWidth="1"/>
    <col min="5" max="5" width="31.85546875" style="255" customWidth="1"/>
    <col min="6" max="6" width="13.42578125" style="255" customWidth="1"/>
    <col min="7" max="7" width="16" style="255" bestFit="1" customWidth="1"/>
    <col min="8" max="8" width="15" style="262" bestFit="1" customWidth="1"/>
    <col min="9" max="9" width="16" style="255" bestFit="1" customWidth="1"/>
    <col min="10" max="10" width="9.140625" style="129"/>
    <col min="11" max="11" width="9.28515625" style="129" bestFit="1" customWidth="1"/>
    <col min="12" max="188" width="9.140625" style="129"/>
    <col min="189" max="16384" width="9.140625" style="142"/>
  </cols>
  <sheetData>
    <row r="1" spans="1:20" ht="20.25" thickBot="1">
      <c r="A1" s="1912" t="str">
        <f>+CBPU_M_Marina!A1</f>
        <v>CADRE DE BORDEREAU DES PRIX UNITAIRES</v>
      </c>
      <c r="B1" s="1913"/>
      <c r="C1" s="1913"/>
      <c r="D1" s="1913"/>
      <c r="E1" s="1914"/>
      <c r="J1" s="255"/>
      <c r="K1" s="262"/>
      <c r="L1" s="255"/>
      <c r="M1" s="255"/>
      <c r="N1" s="262"/>
      <c r="O1" s="255"/>
      <c r="P1" s="255"/>
      <c r="Q1" s="262"/>
      <c r="R1" s="255"/>
      <c r="S1" s="255"/>
      <c r="T1" s="262"/>
    </row>
    <row r="2" spans="1:20" ht="20.100000000000001" customHeight="1">
      <c r="A2" s="1930" t="s">
        <v>668</v>
      </c>
      <c r="B2" s="1955"/>
      <c r="C2" s="1955"/>
      <c r="D2" s="1955"/>
      <c r="E2" s="1956"/>
      <c r="F2" s="471"/>
      <c r="J2" s="255"/>
      <c r="K2" s="262"/>
      <c r="L2" s="255"/>
      <c r="M2" s="255"/>
      <c r="N2" s="262"/>
      <c r="O2" s="255"/>
      <c r="P2" s="255"/>
      <c r="Q2" s="262"/>
      <c r="R2" s="255"/>
      <c r="S2" s="255"/>
      <c r="T2" s="262"/>
    </row>
    <row r="3" spans="1:20" s="129" customFormat="1" ht="15.95" customHeight="1">
      <c r="A3" s="973"/>
      <c r="B3" s="974"/>
      <c r="C3" s="975"/>
      <c r="D3" s="976" t="s">
        <v>596</v>
      </c>
      <c r="E3" s="977">
        <f>1200-575</f>
        <v>625</v>
      </c>
      <c r="F3" s="255"/>
      <c r="G3" s="255" t="s">
        <v>599</v>
      </c>
      <c r="H3" s="262">
        <f>+E3+E4+E5+E6+E7</f>
        <v>1749</v>
      </c>
      <c r="I3" s="255"/>
      <c r="J3" s="255"/>
      <c r="K3" s="262"/>
      <c r="L3" s="255"/>
      <c r="M3" s="255"/>
      <c r="N3" s="262"/>
      <c r="O3" s="255"/>
      <c r="P3" s="255"/>
      <c r="Q3" s="262"/>
      <c r="R3" s="255"/>
      <c r="S3" s="255"/>
      <c r="T3" s="262"/>
    </row>
    <row r="4" spans="1:20" s="129" customFormat="1" ht="15.95" customHeight="1">
      <c r="A4" s="978"/>
      <c r="B4" s="979"/>
      <c r="C4" s="980"/>
      <c r="D4" s="981" t="s">
        <v>597</v>
      </c>
      <c r="E4" s="982">
        <f>1550-1200</f>
        <v>350</v>
      </c>
      <c r="F4" s="255"/>
      <c r="G4" s="255"/>
      <c r="H4" s="262"/>
      <c r="I4" s="255"/>
      <c r="J4" s="255"/>
      <c r="K4" s="262"/>
      <c r="L4" s="255"/>
      <c r="M4" s="255"/>
      <c r="N4" s="262"/>
      <c r="O4" s="255"/>
      <c r="P4" s="255"/>
      <c r="Q4" s="262"/>
      <c r="R4" s="255"/>
      <c r="S4" s="255"/>
      <c r="T4" s="262"/>
    </row>
    <row r="5" spans="1:20" s="129" customFormat="1" ht="15.95" customHeight="1">
      <c r="A5" s="978"/>
      <c r="B5" s="979"/>
      <c r="C5" s="980"/>
      <c r="D5" s="981" t="s">
        <v>598</v>
      </c>
      <c r="E5" s="982">
        <f>2020-1550</f>
        <v>470</v>
      </c>
      <c r="F5" s="255"/>
      <c r="G5" s="255"/>
      <c r="H5" s="262"/>
      <c r="I5" s="255"/>
      <c r="J5" s="255"/>
      <c r="K5" s="262"/>
      <c r="L5" s="255"/>
      <c r="M5" s="255"/>
      <c r="N5" s="262"/>
      <c r="O5" s="255"/>
      <c r="P5" s="255"/>
      <c r="Q5" s="262"/>
      <c r="R5" s="255"/>
      <c r="S5" s="255"/>
      <c r="T5" s="262"/>
    </row>
    <row r="6" spans="1:20" s="129" customFormat="1" ht="15.95" hidden="1" customHeight="1">
      <c r="A6" s="978"/>
      <c r="B6" s="979"/>
      <c r="C6" s="980"/>
      <c r="D6" s="981" t="s">
        <v>329</v>
      </c>
      <c r="E6" s="982">
        <f>420*0</f>
        <v>0</v>
      </c>
      <c r="F6" s="255" t="s">
        <v>328</v>
      </c>
      <c r="G6" s="255"/>
      <c r="H6" s="262" t="s">
        <v>496</v>
      </c>
      <c r="I6" s="255"/>
      <c r="J6" s="255">
        <v>650</v>
      </c>
      <c r="K6" s="262"/>
      <c r="L6" s="255"/>
      <c r="M6" s="255"/>
      <c r="N6" s="262"/>
      <c r="O6" s="255"/>
      <c r="P6" s="255"/>
      <c r="Q6" s="262"/>
      <c r="R6" s="255"/>
      <c r="S6" s="255"/>
      <c r="T6" s="262"/>
    </row>
    <row r="7" spans="1:20" s="129" customFormat="1" ht="15.95" customHeight="1">
      <c r="A7" s="978"/>
      <c r="B7" s="979"/>
      <c r="C7" s="980"/>
      <c r="D7" s="981" t="s">
        <v>333</v>
      </c>
      <c r="E7" s="982">
        <f>(38*20)*0.4</f>
        <v>304</v>
      </c>
      <c r="F7" s="255" t="s">
        <v>497</v>
      </c>
      <c r="G7" s="255"/>
      <c r="H7" s="262">
        <f>840/30</f>
        <v>28</v>
      </c>
      <c r="I7" s="255"/>
      <c r="J7" s="255"/>
      <c r="K7" s="262"/>
      <c r="L7" s="255"/>
      <c r="M7" s="255"/>
      <c r="N7" s="262"/>
      <c r="O7" s="255"/>
      <c r="P7" s="255"/>
      <c r="Q7" s="262"/>
      <c r="R7" s="255"/>
      <c r="S7" s="255"/>
      <c r="T7" s="262"/>
    </row>
    <row r="8" spans="1:20" s="129" customFormat="1" ht="15.95" hidden="1" customHeight="1">
      <c r="A8" s="978"/>
      <c r="B8" s="979"/>
      <c r="C8" s="980"/>
      <c r="D8" s="981" t="s">
        <v>517</v>
      </c>
      <c r="E8" s="982"/>
      <c r="F8" s="255"/>
      <c r="G8" s="255"/>
      <c r="H8" s="262" t="s">
        <v>393</v>
      </c>
      <c r="I8" s="255"/>
      <c r="J8" s="255"/>
      <c r="K8" s="262" t="s">
        <v>665</v>
      </c>
      <c r="L8" s="255" t="s">
        <v>664</v>
      </c>
      <c r="M8" s="255"/>
      <c r="N8" s="262" t="s">
        <v>666</v>
      </c>
      <c r="O8" s="255"/>
      <c r="P8" s="255"/>
      <c r="Q8" s="262"/>
      <c r="R8" s="255"/>
      <c r="S8" s="255"/>
      <c r="T8" s="262"/>
    </row>
    <row r="9" spans="1:20" s="129" customFormat="1" ht="15.95" hidden="1" customHeight="1">
      <c r="A9" s="978"/>
      <c r="B9" s="979"/>
      <c r="C9" s="980"/>
      <c r="D9" s="981" t="s">
        <v>518</v>
      </c>
      <c r="E9" s="982">
        <f>670*0</f>
        <v>0</v>
      </c>
      <c r="F9" s="255" t="s">
        <v>328</v>
      </c>
      <c r="G9" s="255"/>
      <c r="H9" s="262">
        <v>20</v>
      </c>
      <c r="I9" s="255"/>
      <c r="J9" s="255"/>
      <c r="K9" s="262">
        <v>11</v>
      </c>
      <c r="L9" s="255">
        <f>+E9*K9</f>
        <v>0</v>
      </c>
      <c r="M9" s="255"/>
      <c r="N9" s="262">
        <v>3</v>
      </c>
      <c r="O9" s="255">
        <f>+E9*N9*2</f>
        <v>0</v>
      </c>
      <c r="P9" s="255"/>
      <c r="Q9" s="262"/>
      <c r="R9" s="255"/>
      <c r="S9" s="255"/>
      <c r="T9" s="262"/>
    </row>
    <row r="10" spans="1:20" s="129" customFormat="1" ht="15.95" hidden="1" customHeight="1">
      <c r="A10" s="978"/>
      <c r="B10" s="979"/>
      <c r="C10" s="980"/>
      <c r="D10" s="981" t="s">
        <v>519</v>
      </c>
      <c r="E10" s="982">
        <f>411*0</f>
        <v>0</v>
      </c>
      <c r="F10" s="255"/>
      <c r="G10" s="255"/>
      <c r="H10" s="262">
        <v>20</v>
      </c>
      <c r="I10" s="255"/>
      <c r="J10" s="255"/>
      <c r="K10" s="262">
        <v>11</v>
      </c>
      <c r="L10" s="255">
        <f t="shared" ref="L10" si="0">+E10*K10</f>
        <v>0</v>
      </c>
      <c r="M10" s="255"/>
      <c r="N10" s="262">
        <v>3</v>
      </c>
      <c r="O10" s="255">
        <f t="shared" ref="O10:O12" si="1">+E10*N10*2</f>
        <v>0</v>
      </c>
      <c r="P10" s="255"/>
      <c r="Q10" s="262"/>
      <c r="R10" s="255"/>
      <c r="S10" s="255"/>
      <c r="T10" s="262"/>
    </row>
    <row r="11" spans="1:20" s="129" customFormat="1" ht="15.95" customHeight="1">
      <c r="A11" s="978"/>
      <c r="B11" s="979"/>
      <c r="C11" s="980"/>
      <c r="D11" s="981" t="s">
        <v>662</v>
      </c>
      <c r="E11" s="982">
        <v>800</v>
      </c>
      <c r="F11" s="255"/>
      <c r="G11" s="255"/>
      <c r="H11" s="262">
        <v>15</v>
      </c>
      <c r="I11" s="255"/>
      <c r="J11" s="255"/>
      <c r="K11" s="262">
        <v>9</v>
      </c>
      <c r="L11" s="255">
        <f>+E11*K11</f>
        <v>7200</v>
      </c>
      <c r="M11" s="255"/>
      <c r="N11" s="262">
        <v>2</v>
      </c>
      <c r="O11" s="255">
        <f t="shared" si="1"/>
        <v>3200</v>
      </c>
      <c r="P11" s="255"/>
      <c r="Q11" s="262"/>
      <c r="R11" s="255"/>
      <c r="S11" s="255"/>
      <c r="T11" s="262"/>
    </row>
    <row r="12" spans="1:20" s="129" customFormat="1" ht="15.95" customHeight="1">
      <c r="A12" s="978"/>
      <c r="B12" s="979"/>
      <c r="C12" s="980"/>
      <c r="D12" s="981" t="s">
        <v>663</v>
      </c>
      <c r="E12" s="982">
        <v>516</v>
      </c>
      <c r="F12" s="255"/>
      <c r="G12" s="255"/>
      <c r="H12" s="262">
        <v>15</v>
      </c>
      <c r="I12" s="255"/>
      <c r="J12" s="255"/>
      <c r="K12" s="262">
        <v>11</v>
      </c>
      <c r="L12" s="255"/>
      <c r="M12" s="255">
        <f>+E12*K12</f>
        <v>5676</v>
      </c>
      <c r="N12" s="262">
        <v>0</v>
      </c>
      <c r="O12" s="255">
        <f t="shared" si="1"/>
        <v>0</v>
      </c>
      <c r="P12" s="255"/>
      <c r="Q12" s="262"/>
      <c r="R12" s="255"/>
      <c r="S12" s="255"/>
      <c r="T12" s="262"/>
    </row>
    <row r="13" spans="1:20" s="129" customFormat="1" ht="15.95" customHeight="1">
      <c r="A13" s="983"/>
      <c r="B13" s="984"/>
      <c r="C13" s="985"/>
      <c r="D13" s="986" t="s">
        <v>309</v>
      </c>
      <c r="E13" s="987">
        <f>SUM(E9:E12)</f>
        <v>1316</v>
      </c>
      <c r="F13" s="255"/>
      <c r="G13" s="255"/>
      <c r="H13" s="262"/>
      <c r="I13" s="255"/>
      <c r="J13" s="255">
        <f>877*25/10</f>
        <v>2192.5</v>
      </c>
      <c r="K13" s="262"/>
      <c r="L13" s="255">
        <f>SUM(L9:L12)</f>
        <v>7200</v>
      </c>
      <c r="M13" s="255">
        <f>SUM(M12)</f>
        <v>5676</v>
      </c>
      <c r="N13" s="262"/>
      <c r="O13" s="255">
        <f>SUM(O9:O12)</f>
        <v>3200</v>
      </c>
      <c r="P13" s="255"/>
      <c r="Q13" s="262"/>
      <c r="R13" s="255"/>
      <c r="S13" s="255"/>
      <c r="T13" s="262"/>
    </row>
    <row r="14" spans="1:20" s="129" customFormat="1" ht="20.100000000000001" customHeight="1">
      <c r="A14" s="1957" t="s">
        <v>675</v>
      </c>
      <c r="B14" s="1958"/>
      <c r="C14" s="1960" t="s">
        <v>676</v>
      </c>
      <c r="D14" s="1961"/>
      <c r="E14" s="1962"/>
      <c r="F14" s="255"/>
      <c r="G14" s="255"/>
      <c r="H14" s="262"/>
      <c r="I14" s="255"/>
      <c r="J14" s="255"/>
      <c r="K14" s="262"/>
      <c r="L14" s="255"/>
      <c r="M14" s="255"/>
      <c r="N14" s="262"/>
      <c r="O14" s="255"/>
      <c r="P14" s="255"/>
      <c r="Q14" s="262"/>
      <c r="R14" s="255"/>
      <c r="S14" s="255"/>
      <c r="T14" s="262"/>
    </row>
    <row r="15" spans="1:20" s="129" customFormat="1" ht="20.100000000000001" customHeight="1">
      <c r="A15" s="913" t="s">
        <v>661</v>
      </c>
      <c r="B15" s="872" t="s">
        <v>584</v>
      </c>
      <c r="C15" s="873" t="s">
        <v>98</v>
      </c>
      <c r="D15" s="874" t="s">
        <v>677</v>
      </c>
      <c r="E15" s="874" t="s">
        <v>678</v>
      </c>
      <c r="F15" s="255"/>
      <c r="G15" s="255"/>
      <c r="H15" s="262"/>
      <c r="I15" s="255"/>
      <c r="J15" s="255"/>
      <c r="K15" s="262"/>
      <c r="L15" s="255">
        <f>+L13+10*20*20</f>
        <v>11200</v>
      </c>
      <c r="M15" s="255">
        <f>+M13</f>
        <v>5676</v>
      </c>
      <c r="N15" s="262"/>
      <c r="O15" s="255"/>
      <c r="P15" s="255"/>
      <c r="Q15" s="262"/>
      <c r="R15" s="255"/>
      <c r="S15" s="255"/>
      <c r="T15" s="262"/>
    </row>
    <row r="16" spans="1:20" s="129" customFormat="1" ht="21.95" customHeight="1">
      <c r="A16" s="1963" t="e">
        <f>+#REF!</f>
        <v>#REF!</v>
      </c>
      <c r="B16" s="1964"/>
      <c r="C16" s="1964"/>
      <c r="D16" s="1964"/>
      <c r="E16" s="1965"/>
      <c r="F16" s="255"/>
      <c r="G16" s="255"/>
      <c r="H16" s="262"/>
      <c r="I16" s="255"/>
      <c r="J16" s="255"/>
      <c r="K16" s="262"/>
      <c r="L16" s="255"/>
      <c r="M16" s="255"/>
      <c r="N16" s="262"/>
      <c r="O16" s="255"/>
      <c r="P16" s="255"/>
      <c r="Q16" s="262"/>
      <c r="R16" s="255"/>
      <c r="S16" s="255"/>
      <c r="T16" s="262"/>
    </row>
    <row r="17" spans="1:37" s="129" customFormat="1" ht="47.25" customHeight="1">
      <c r="A17" s="875" t="e">
        <f>+#REF!</f>
        <v>#REF!</v>
      </c>
      <c r="B17" s="865" t="e">
        <f>+#REF!</f>
        <v>#REF!</v>
      </c>
      <c r="C17" s="833"/>
      <c r="D17" s="854"/>
      <c r="E17" s="861"/>
      <c r="F17" s="255"/>
      <c r="G17" s="328" t="e">
        <f>8%*#REF!</f>
        <v>#REF!</v>
      </c>
      <c r="H17" s="262">
        <v>1</v>
      </c>
      <c r="I17" s="255" t="e">
        <f>G17*H17</f>
        <v>#REF!</v>
      </c>
      <c r="J17" s="255"/>
      <c r="K17" s="262"/>
      <c r="L17" s="255"/>
      <c r="M17" s="255"/>
      <c r="N17" s="262"/>
      <c r="O17" s="255"/>
      <c r="P17" s="255"/>
      <c r="Q17" s="262"/>
      <c r="R17" s="255"/>
      <c r="S17" s="255"/>
      <c r="T17" s="262"/>
    </row>
    <row r="18" spans="1:37" s="129" customFormat="1" ht="15.95" customHeight="1">
      <c r="A18" s="876"/>
      <c r="B18" s="918"/>
      <c r="C18" s="835" t="s">
        <v>618</v>
      </c>
      <c r="D18" s="855"/>
      <c r="E18" s="855"/>
      <c r="F18" s="255"/>
      <c r="G18" s="255"/>
      <c r="H18" s="262"/>
      <c r="I18" s="255"/>
    </row>
    <row r="19" spans="1:37" s="129" customFormat="1" ht="15.95" customHeight="1">
      <c r="A19" s="875" t="e">
        <f>+#REF!</f>
        <v>#REF!</v>
      </c>
      <c r="B19" s="917" t="e">
        <f>+#REF!</f>
        <v>#REF!</v>
      </c>
      <c r="C19" s="833"/>
      <c r="D19" s="856"/>
      <c r="E19" s="856"/>
      <c r="F19" s="255"/>
      <c r="G19" s="255">
        <f>E13</f>
        <v>1316</v>
      </c>
      <c r="H19" s="262">
        <v>1.1000000000000001</v>
      </c>
      <c r="I19" s="255">
        <f>G19*H19</f>
        <v>1447.6000000000001</v>
      </c>
    </row>
    <row r="20" spans="1:37" s="129" customFormat="1" ht="15.95" customHeight="1">
      <c r="A20" s="876"/>
      <c r="B20" s="918"/>
      <c r="C20" s="835" t="s">
        <v>618</v>
      </c>
      <c r="D20" s="857"/>
      <c r="E20" s="857"/>
      <c r="F20" s="255">
        <v>0.08</v>
      </c>
      <c r="G20" s="255" t="e">
        <f>+G17*F20</f>
        <v>#REF!</v>
      </c>
      <c r="H20" s="262"/>
      <c r="I20" s="255"/>
    </row>
    <row r="21" spans="1:37" s="129" customFormat="1" ht="21.95" customHeight="1">
      <c r="A21" s="964" t="e">
        <f>+#REF!</f>
        <v>#REF!</v>
      </c>
      <c r="B21" s="919"/>
      <c r="C21" s="866"/>
      <c r="D21" s="867"/>
      <c r="E21" s="867"/>
      <c r="F21" s="255"/>
      <c r="G21" s="255"/>
      <c r="H21" s="262"/>
      <c r="I21" s="255"/>
      <c r="M21" s="129">
        <f>1.7*3</f>
        <v>5.0999999999999996</v>
      </c>
      <c r="AK21" s="129">
        <v>250</v>
      </c>
    </row>
    <row r="22" spans="1:37" s="129" customFormat="1" ht="15.95" customHeight="1">
      <c r="A22" s="879" t="e">
        <f>+#REF!</f>
        <v>#REF!</v>
      </c>
      <c r="B22" s="868" t="e">
        <f>+#REF!</f>
        <v>#REF!</v>
      </c>
      <c r="C22" s="869"/>
      <c r="D22" s="858"/>
      <c r="E22" s="858"/>
      <c r="F22" s="255"/>
      <c r="G22" s="255"/>
      <c r="H22" s="262"/>
      <c r="I22" s="255"/>
    </row>
    <row r="23" spans="1:37" s="129" customFormat="1" ht="15.95" customHeight="1">
      <c r="A23" s="880"/>
      <c r="B23" s="870"/>
      <c r="C23" s="992" t="s">
        <v>266</v>
      </c>
      <c r="D23" s="674"/>
      <c r="E23" s="674"/>
      <c r="F23" s="255" t="e">
        <f>+#REF!</f>
        <v>#REF!</v>
      </c>
      <c r="G23" s="255" t="e">
        <f>+#REF!</f>
        <v>#REF!</v>
      </c>
      <c r="H23" s="262">
        <v>0.02</v>
      </c>
      <c r="I23" s="255"/>
    </row>
    <row r="24" spans="1:37" s="129" customFormat="1" ht="15.95" customHeight="1">
      <c r="A24" s="879" t="e">
        <f>+#REF!</f>
        <v>#REF!</v>
      </c>
      <c r="B24" s="868" t="e">
        <f>+#REF!</f>
        <v>#REF!</v>
      </c>
      <c r="C24" s="993"/>
      <c r="D24" s="858"/>
      <c r="E24" s="858"/>
      <c r="F24" s="255"/>
      <c r="G24" s="255"/>
      <c r="H24" s="262"/>
      <c r="I24" s="255"/>
    </row>
    <row r="25" spans="1:37" s="129" customFormat="1" ht="15.95" customHeight="1">
      <c r="A25" s="880"/>
      <c r="B25" s="870"/>
      <c r="C25" s="992" t="s">
        <v>266</v>
      </c>
      <c r="D25" s="674"/>
      <c r="E25" s="674"/>
      <c r="F25" s="255" t="e">
        <f>+G25*H25</f>
        <v>#REF!</v>
      </c>
      <c r="G25" s="255" t="e">
        <f>+G23</f>
        <v>#REF!</v>
      </c>
      <c r="H25" s="262">
        <v>0.02</v>
      </c>
      <c r="I25" s="255"/>
    </row>
    <row r="26" spans="1:37" s="129" customFormat="1" ht="15.95" customHeight="1">
      <c r="A26" s="879" t="e">
        <f>+#REF!</f>
        <v>#REF!</v>
      </c>
      <c r="B26" s="868" t="e">
        <f>+#REF!</f>
        <v>#REF!</v>
      </c>
      <c r="C26" s="993"/>
      <c r="D26" s="858"/>
      <c r="E26" s="858"/>
      <c r="F26" s="255"/>
      <c r="G26" s="255"/>
      <c r="H26" s="262"/>
      <c r="I26" s="255"/>
    </row>
    <row r="27" spans="1:37" s="129" customFormat="1" ht="15.95" customHeight="1">
      <c r="A27" s="880"/>
      <c r="B27" s="870"/>
      <c r="C27" s="992" t="s">
        <v>266</v>
      </c>
      <c r="D27" s="674"/>
      <c r="E27" s="674"/>
      <c r="F27" s="255" t="e">
        <f>+#REF!</f>
        <v>#REF!</v>
      </c>
      <c r="G27" s="255"/>
      <c r="H27" s="262"/>
      <c r="I27" s="255"/>
    </row>
    <row r="28" spans="1:37" s="129" customFormat="1" ht="15.95" customHeight="1">
      <c r="A28" s="879" t="e">
        <f>+#REF!</f>
        <v>#REF!</v>
      </c>
      <c r="B28" s="868" t="e">
        <f>+#REF!</f>
        <v>#REF!</v>
      </c>
      <c r="C28" s="993"/>
      <c r="D28" s="858"/>
      <c r="E28" s="858"/>
      <c r="F28" s="255"/>
      <c r="H28" s="262"/>
      <c r="I28" s="255"/>
    </row>
    <row r="29" spans="1:37" s="129" customFormat="1" ht="15.95" customHeight="1">
      <c r="A29" s="880"/>
      <c r="B29" s="870"/>
      <c r="C29" s="992" t="s">
        <v>266</v>
      </c>
      <c r="D29" s="674"/>
      <c r="E29" s="674"/>
      <c r="F29" s="255"/>
      <c r="G29" s="255"/>
      <c r="H29" s="262"/>
      <c r="I29" s="255"/>
    </row>
    <row r="30" spans="1:37" s="129" customFormat="1" ht="15.95" customHeight="1">
      <c r="A30" s="879" t="e">
        <f>+#REF!</f>
        <v>#REF!</v>
      </c>
      <c r="B30" s="868" t="e">
        <f>+#REF!</f>
        <v>#REF!</v>
      </c>
      <c r="C30" s="993"/>
      <c r="D30" s="858"/>
      <c r="E30" s="858"/>
      <c r="F30" s="255"/>
      <c r="G30" s="255"/>
      <c r="H30" s="262"/>
      <c r="I30" s="255"/>
    </row>
    <row r="31" spans="1:37" s="129" customFormat="1" ht="15.95" customHeight="1">
      <c r="A31" s="880"/>
      <c r="B31" s="870"/>
      <c r="C31" s="992" t="s">
        <v>266</v>
      </c>
      <c r="D31" s="674"/>
      <c r="E31" s="674"/>
      <c r="F31" s="255">
        <v>0.2</v>
      </c>
      <c r="G31" s="255"/>
      <c r="H31" s="262"/>
      <c r="I31" s="255"/>
    </row>
    <row r="32" spans="1:37" s="129" customFormat="1" ht="15.95" customHeight="1">
      <c r="A32" s="879" t="e">
        <f>+#REF!</f>
        <v>#REF!</v>
      </c>
      <c r="B32" s="868" t="e">
        <f>+#REF!</f>
        <v>#REF!</v>
      </c>
      <c r="C32" s="869"/>
      <c r="D32" s="858"/>
      <c r="E32" s="858"/>
      <c r="F32" s="255"/>
      <c r="G32" s="255"/>
      <c r="H32" s="262"/>
      <c r="I32" s="255"/>
    </row>
    <row r="33" spans="1:9" s="129" customFormat="1" ht="15.95" customHeight="1">
      <c r="A33" s="880"/>
      <c r="B33" s="870"/>
      <c r="C33" s="871" t="s">
        <v>27</v>
      </c>
      <c r="D33" s="674"/>
      <c r="E33" s="674"/>
      <c r="F33" s="255"/>
      <c r="G33" s="255"/>
      <c r="H33" s="262"/>
      <c r="I33" s="255"/>
    </row>
    <row r="34" spans="1:9" ht="20.100000000000001" customHeight="1">
      <c r="A34" s="1957" t="e">
        <f>+#REF!</f>
        <v>#REF!</v>
      </c>
      <c r="B34" s="1958"/>
      <c r="C34" s="1958"/>
      <c r="D34" s="1958"/>
      <c r="E34" s="1959"/>
    </row>
    <row r="35" spans="1:9" ht="15.95" customHeight="1">
      <c r="A35" s="879" t="e">
        <f>+#REF!</f>
        <v>#REF!</v>
      </c>
      <c r="B35" s="868" t="e">
        <f>+#REF!</f>
        <v>#REF!</v>
      </c>
      <c r="C35" s="836"/>
      <c r="D35" s="858"/>
      <c r="E35" s="856"/>
    </row>
    <row r="36" spans="1:9" ht="15.95" customHeight="1">
      <c r="A36" s="880"/>
      <c r="B36" s="884"/>
      <c r="C36" s="390" t="s">
        <v>618</v>
      </c>
      <c r="D36" s="674"/>
      <c r="E36" s="857"/>
    </row>
    <row r="37" spans="1:9" ht="15.95" customHeight="1">
      <c r="A37" s="879" t="e">
        <f>+#REF!</f>
        <v>#REF!</v>
      </c>
      <c r="B37" s="868" t="e">
        <f>+#REF!</f>
        <v>#REF!</v>
      </c>
      <c r="C37" s="837"/>
      <c r="D37" s="858"/>
      <c r="E37" s="856"/>
    </row>
    <row r="38" spans="1:9" ht="15.95" customHeight="1">
      <c r="A38" s="879" t="e">
        <f>+#REF!</f>
        <v>#REF!</v>
      </c>
      <c r="B38" s="868" t="e">
        <f>+#REF!</f>
        <v>#REF!</v>
      </c>
      <c r="C38" s="837"/>
      <c r="D38" s="858"/>
      <c r="E38" s="856"/>
    </row>
    <row r="39" spans="1:9" ht="15.95" customHeight="1">
      <c r="A39" s="885"/>
      <c r="B39" s="886"/>
      <c r="C39" s="390" t="s">
        <v>27</v>
      </c>
      <c r="D39" s="674"/>
      <c r="E39" s="857"/>
      <c r="G39" s="255">
        <v>30</v>
      </c>
      <c r="H39" s="262">
        <v>1.05</v>
      </c>
      <c r="I39" s="255">
        <f>G39*H39</f>
        <v>31.5</v>
      </c>
    </row>
    <row r="40" spans="1:9" ht="15.95" customHeight="1">
      <c r="A40" s="875" t="e">
        <f>+#REF!</f>
        <v>#REF!</v>
      </c>
      <c r="B40" s="865" t="e">
        <f>+#REF!</f>
        <v>#REF!</v>
      </c>
      <c r="C40" s="887"/>
      <c r="D40" s="858"/>
      <c r="E40" s="856"/>
    </row>
    <row r="41" spans="1:9" ht="15.95" customHeight="1">
      <c r="A41" s="888" t="e">
        <f>+#REF!</f>
        <v>#REF!</v>
      </c>
      <c r="B41" s="889" t="e">
        <f>+#REF!</f>
        <v>#REF!</v>
      </c>
      <c r="C41" s="839" t="s">
        <v>618</v>
      </c>
      <c r="D41" s="859"/>
      <c r="E41" s="863"/>
      <c r="G41" s="262">
        <f>E13/1000</f>
        <v>1.3160000000000001</v>
      </c>
      <c r="H41" s="262">
        <f t="shared" ref="H41:H47" si="2">1.05</f>
        <v>1.05</v>
      </c>
      <c r="I41" s="262">
        <f t="shared" ref="I41:I47" si="3">G41*H41</f>
        <v>1.3818000000000001</v>
      </c>
    </row>
    <row r="42" spans="1:9" ht="15.95" customHeight="1">
      <c r="A42" s="888" t="e">
        <f>+#REF!</f>
        <v>#REF!</v>
      </c>
      <c r="B42" s="889" t="e">
        <f>+#REF!</f>
        <v>#REF!</v>
      </c>
      <c r="C42" s="839" t="s">
        <v>618</v>
      </c>
      <c r="D42" s="859"/>
      <c r="E42" s="863"/>
      <c r="G42" s="262">
        <f>G41</f>
        <v>1.3160000000000001</v>
      </c>
      <c r="H42" s="262">
        <f t="shared" si="2"/>
        <v>1.05</v>
      </c>
      <c r="I42" s="262">
        <f t="shared" si="3"/>
        <v>1.3818000000000001</v>
      </c>
    </row>
    <row r="43" spans="1:9" s="129" customFormat="1" ht="15.95" customHeight="1">
      <c r="A43" s="888" t="e">
        <f>+#REF!</f>
        <v>#REF!</v>
      </c>
      <c r="B43" s="889" t="e">
        <f>+#REF!</f>
        <v>#REF!</v>
      </c>
      <c r="C43" s="839" t="s">
        <v>205</v>
      </c>
      <c r="D43" s="859"/>
      <c r="E43" s="863"/>
      <c r="F43" s="255"/>
      <c r="G43" s="262">
        <f>20%*E13 +(1225-530)*2+2*10*18</f>
        <v>2013.2</v>
      </c>
      <c r="H43" s="262">
        <f t="shared" si="2"/>
        <v>1.05</v>
      </c>
      <c r="I43" s="262">
        <f t="shared" si="3"/>
        <v>2113.86</v>
      </c>
    </row>
    <row r="44" spans="1:9" s="129" customFormat="1" ht="15.95" customHeight="1">
      <c r="A44" s="890" t="e">
        <f>+#REF!</f>
        <v>#REF!</v>
      </c>
      <c r="B44" s="884" t="e">
        <f>+#REF!</f>
        <v>#REF!</v>
      </c>
      <c r="C44" s="840" t="s">
        <v>618</v>
      </c>
      <c r="D44" s="674"/>
      <c r="E44" s="857"/>
      <c r="F44" s="255"/>
      <c r="G44" s="262">
        <f>G42</f>
        <v>1.3160000000000001</v>
      </c>
      <c r="H44" s="262">
        <f t="shared" si="2"/>
        <v>1.05</v>
      </c>
      <c r="I44" s="262">
        <f t="shared" si="3"/>
        <v>1.3818000000000001</v>
      </c>
    </row>
    <row r="45" spans="1:9" s="129" customFormat="1" ht="15.95" customHeight="1">
      <c r="A45" s="879" t="e">
        <f>+#REF!</f>
        <v>#REF!</v>
      </c>
      <c r="B45" s="868" t="e">
        <f>+#REF!</f>
        <v>#REF!</v>
      </c>
      <c r="C45" s="887"/>
      <c r="D45" s="858"/>
      <c r="E45" s="856"/>
      <c r="F45" s="255"/>
      <c r="G45" s="255"/>
      <c r="H45" s="262">
        <f t="shared" si="2"/>
        <v>1.05</v>
      </c>
      <c r="I45" s="262">
        <f t="shared" si="3"/>
        <v>0</v>
      </c>
    </row>
    <row r="46" spans="1:9" s="129" customFormat="1" ht="15.95" customHeight="1">
      <c r="A46" s="880"/>
      <c r="B46" s="891"/>
      <c r="C46" s="390" t="s">
        <v>94</v>
      </c>
      <c r="D46" s="674"/>
      <c r="E46" s="857"/>
      <c r="F46" s="422"/>
      <c r="G46" s="255">
        <f>510+ (1225-530)*9 + 7*20*18</f>
        <v>9285</v>
      </c>
      <c r="H46" s="262">
        <f t="shared" si="2"/>
        <v>1.05</v>
      </c>
      <c r="I46" s="262">
        <f t="shared" si="3"/>
        <v>9749.25</v>
      </c>
    </row>
    <row r="47" spans="1:9" s="129" customFormat="1" ht="15.95" customHeight="1">
      <c r="A47" s="879" t="e">
        <f>+#REF!</f>
        <v>#REF!</v>
      </c>
      <c r="B47" s="868" t="e">
        <f>+#REF!</f>
        <v>#REF!</v>
      </c>
      <c r="C47" s="887"/>
      <c r="D47" s="858"/>
      <c r="E47" s="856"/>
      <c r="F47" s="255"/>
      <c r="G47" s="255">
        <f>240+(1225-530)*2+20*2*18+7*18</f>
        <v>2476</v>
      </c>
      <c r="H47" s="262">
        <f t="shared" si="2"/>
        <v>1.05</v>
      </c>
      <c r="I47" s="262">
        <f t="shared" si="3"/>
        <v>2599.8000000000002</v>
      </c>
    </row>
    <row r="48" spans="1:9" s="129" customFormat="1" ht="15.95" customHeight="1">
      <c r="A48" s="880"/>
      <c r="B48" s="891"/>
      <c r="C48" s="390" t="s">
        <v>1</v>
      </c>
      <c r="D48" s="674"/>
      <c r="E48" s="857"/>
      <c r="F48" s="255"/>
      <c r="G48" s="255"/>
      <c r="H48" s="262"/>
      <c r="I48" s="255"/>
    </row>
    <row r="49" spans="1:37" s="129" customFormat="1" ht="15.95" customHeight="1">
      <c r="A49" s="879" t="e">
        <f>+#REF!</f>
        <v>#REF!</v>
      </c>
      <c r="B49" s="868" t="e">
        <f>+#REF!</f>
        <v>#REF!</v>
      </c>
      <c r="C49" s="887"/>
      <c r="D49" s="858"/>
      <c r="E49" s="856"/>
      <c r="F49" s="255"/>
      <c r="G49" s="255"/>
      <c r="H49" s="262"/>
      <c r="I49" s="255"/>
    </row>
    <row r="50" spans="1:37" s="129" customFormat="1" ht="15.95" customHeight="1">
      <c r="A50" s="892" t="e">
        <f>+#REF!</f>
        <v>#REF!</v>
      </c>
      <c r="B50" s="893" t="e">
        <f>+#REF!</f>
        <v>#REF!</v>
      </c>
      <c r="C50" s="841" t="s">
        <v>1</v>
      </c>
      <c r="D50" s="859"/>
      <c r="E50" s="863"/>
      <c r="F50" s="255"/>
      <c r="G50" s="255">
        <f>210+15+200+1100+150+200+75+228+105+75+90+325+440+220+200+400+150+100+1120+100+390+140+35+90+170+30+130+344+65+385+170+65+45+1600+1600+1100+217+285+230+320+558+190+260+260+570+1100+138+204+365+365+806+728+134+44+140+50+330+427+440</f>
        <v>20023</v>
      </c>
      <c r="H50" s="262">
        <v>1</v>
      </c>
      <c r="I50" s="255">
        <f>G50*H50</f>
        <v>20023</v>
      </c>
    </row>
    <row r="51" spans="1:37" s="129" customFormat="1" ht="15.95" customHeight="1">
      <c r="A51" s="879" t="e">
        <f>+#REF!</f>
        <v>#REF!</v>
      </c>
      <c r="B51" s="879" t="e">
        <f>+#REF!</f>
        <v>#REF!</v>
      </c>
      <c r="C51" s="887"/>
      <c r="D51" s="858"/>
      <c r="E51" s="856"/>
      <c r="F51" s="255"/>
      <c r="G51" s="255"/>
      <c r="H51" s="262"/>
      <c r="I51" s="255"/>
    </row>
    <row r="52" spans="1:37" s="129" customFormat="1" ht="15.95" customHeight="1">
      <c r="A52" s="880"/>
      <c r="B52" s="880"/>
      <c r="C52" s="390" t="s">
        <v>94</v>
      </c>
      <c r="D52" s="674"/>
      <c r="E52" s="857"/>
      <c r="F52" s="255"/>
      <c r="G52" s="255">
        <f>12*20</f>
        <v>240</v>
      </c>
      <c r="H52" s="262">
        <v>1.1000000000000001</v>
      </c>
      <c r="I52" s="255">
        <f>+G52*H52</f>
        <v>264</v>
      </c>
    </row>
    <row r="53" spans="1:37" s="129" customFormat="1" ht="15.95" customHeight="1">
      <c r="A53" s="879" t="e">
        <f>+#REF!</f>
        <v>#REF!</v>
      </c>
      <c r="B53" s="879" t="e">
        <f>+#REF!</f>
        <v>#REF!</v>
      </c>
      <c r="C53" s="887"/>
      <c r="D53" s="858"/>
      <c r="E53" s="856"/>
      <c r="F53" s="255"/>
      <c r="G53" s="255"/>
      <c r="H53" s="262"/>
      <c r="I53" s="255"/>
    </row>
    <row r="54" spans="1:37" s="129" customFormat="1" ht="15.95" customHeight="1">
      <c r="A54" s="880"/>
      <c r="B54" s="880"/>
      <c r="C54" s="390" t="s">
        <v>1</v>
      </c>
      <c r="D54" s="674"/>
      <c r="E54" s="857"/>
      <c r="F54" s="255"/>
      <c r="G54" s="255">
        <f>(2016-1550)+420</f>
        <v>886</v>
      </c>
      <c r="H54" s="262">
        <v>1.05</v>
      </c>
      <c r="I54" s="255">
        <f>G54*H54</f>
        <v>930.30000000000007</v>
      </c>
      <c r="J54" s="129" t="s">
        <v>511</v>
      </c>
    </row>
    <row r="55" spans="1:37" s="129" customFormat="1" ht="20.100000000000001" customHeight="1">
      <c r="A55" s="1957" t="e">
        <f>+#REF!</f>
        <v>#REF!</v>
      </c>
      <c r="B55" s="1958"/>
      <c r="C55" s="1958"/>
      <c r="D55" s="1958"/>
      <c r="E55" s="1959"/>
      <c r="F55" s="255"/>
      <c r="G55" s="255"/>
      <c r="H55" s="262"/>
      <c r="I55" s="255"/>
    </row>
    <row r="56" spans="1:37" s="129" customFormat="1" ht="15.95" customHeight="1">
      <c r="A56" s="879" t="e">
        <f>+#REF!</f>
        <v>#REF!</v>
      </c>
      <c r="B56" s="879" t="e">
        <f>+#REF!</f>
        <v>#REF!</v>
      </c>
      <c r="C56" s="887"/>
      <c r="D56" s="858"/>
      <c r="E56" s="856"/>
      <c r="F56" s="255"/>
      <c r="G56" s="255"/>
      <c r="H56" s="262"/>
      <c r="I56" s="255"/>
    </row>
    <row r="57" spans="1:37" s="129" customFormat="1" ht="15.95" customHeight="1">
      <c r="A57" s="880" t="e">
        <f>+#REF!</f>
        <v>#REF!</v>
      </c>
      <c r="B57" s="880" t="e">
        <f>+#REF!</f>
        <v>#REF!</v>
      </c>
      <c r="C57" s="390" t="s">
        <v>95</v>
      </c>
      <c r="D57" s="674"/>
      <c r="E57" s="857"/>
      <c r="F57" s="255"/>
      <c r="G57" s="255">
        <f>(E9*H9+E10*H10+E11*H11+E12*H12)*0.3</f>
        <v>5922</v>
      </c>
      <c r="H57" s="262">
        <v>1.1000000000000001</v>
      </c>
      <c r="I57" s="255">
        <f>G57*H57</f>
        <v>6514.2000000000007</v>
      </c>
    </row>
    <row r="58" spans="1:37" s="129" customFormat="1" ht="15.95" customHeight="1">
      <c r="A58" s="879" t="e">
        <f>+#REF!</f>
        <v>#REF!</v>
      </c>
      <c r="B58" s="879" t="e">
        <f>+#REF!</f>
        <v>#REF!</v>
      </c>
      <c r="C58" s="887"/>
      <c r="D58" s="858"/>
      <c r="E58" s="856"/>
      <c r="F58" s="255"/>
      <c r="G58" s="255"/>
      <c r="H58" s="262"/>
      <c r="I58" s="255">
        <f>I57*0</f>
        <v>0</v>
      </c>
    </row>
    <row r="59" spans="1:37" s="129" customFormat="1" ht="15.95" customHeight="1">
      <c r="A59" s="880"/>
      <c r="B59" s="880"/>
      <c r="C59" s="390" t="s">
        <v>95</v>
      </c>
      <c r="D59" s="674"/>
      <c r="E59" s="857"/>
      <c r="F59" s="255"/>
      <c r="G59" s="255"/>
      <c r="H59" s="262"/>
      <c r="I59" s="255"/>
    </row>
    <row r="60" spans="1:37" s="129" customFormat="1" ht="15.95" customHeight="1">
      <c r="A60" s="879" t="e">
        <f>+#REF!</f>
        <v>#REF!</v>
      </c>
      <c r="B60" s="879" t="e">
        <f>+#REF!</f>
        <v>#REF!</v>
      </c>
      <c r="C60" s="887"/>
      <c r="D60" s="858"/>
      <c r="E60" s="856"/>
      <c r="F60" s="255"/>
      <c r="G60" s="255"/>
      <c r="H60" s="262"/>
      <c r="I60" s="255"/>
    </row>
    <row r="61" spans="1:37" s="205" customFormat="1" ht="15.95" customHeight="1">
      <c r="A61" s="880"/>
      <c r="B61" s="880"/>
      <c r="C61" s="390" t="s">
        <v>95</v>
      </c>
      <c r="D61" s="674"/>
      <c r="E61" s="857"/>
      <c r="F61" s="255"/>
      <c r="G61" s="255">
        <f>G57*0.5</f>
        <v>2961</v>
      </c>
      <c r="H61" s="262">
        <v>1.1000000000000001</v>
      </c>
      <c r="I61" s="255">
        <f>G61*H61</f>
        <v>3257.1000000000004</v>
      </c>
      <c r="J61" s="129"/>
      <c r="K61" s="129"/>
      <c r="L61" s="129"/>
      <c r="M61" s="129"/>
      <c r="N61" s="129"/>
      <c r="O61" s="129"/>
      <c r="P61" s="129"/>
      <c r="Q61" s="129"/>
      <c r="R61" s="129"/>
      <c r="S61" s="129"/>
      <c r="T61" s="129"/>
      <c r="U61" s="129"/>
      <c r="V61" s="129"/>
      <c r="W61" s="129"/>
      <c r="X61" s="129"/>
      <c r="Y61" s="129"/>
      <c r="Z61" s="129"/>
      <c r="AA61" s="129"/>
      <c r="AB61" s="129"/>
      <c r="AC61" s="129"/>
      <c r="AD61" s="129"/>
      <c r="AE61" s="129"/>
      <c r="AF61" s="129"/>
      <c r="AG61" s="129"/>
      <c r="AH61" s="129"/>
      <c r="AI61" s="129"/>
      <c r="AJ61" s="129"/>
      <c r="AK61" s="129"/>
    </row>
    <row r="62" spans="1:37" s="129" customFormat="1" ht="15.95" customHeight="1">
      <c r="A62" s="1963" t="e">
        <f>+#REF!</f>
        <v>#REF!</v>
      </c>
      <c r="B62" s="1964"/>
      <c r="C62" s="1964"/>
      <c r="D62" s="1964"/>
      <c r="E62" s="1965"/>
      <c r="F62" s="255"/>
      <c r="G62" s="270">
        <f>+L15*0.15+M15*0.25+20*20*20*0.15</f>
        <v>4299</v>
      </c>
      <c r="H62" s="262">
        <f>1.1</f>
        <v>1.1000000000000001</v>
      </c>
      <c r="I62" s="255">
        <f>+G62*H62</f>
        <v>4728.9000000000005</v>
      </c>
    </row>
    <row r="63" spans="1:37" s="129" customFormat="1" ht="15.95" customHeight="1">
      <c r="A63" s="879" t="e">
        <f>+#REF!</f>
        <v>#REF!</v>
      </c>
      <c r="B63" s="879" t="e">
        <f>+#REF!</f>
        <v>#REF!</v>
      </c>
      <c r="C63" s="887"/>
      <c r="D63" s="858"/>
      <c r="E63" s="856"/>
      <c r="F63" s="255"/>
      <c r="G63" s="255"/>
      <c r="H63" s="262"/>
      <c r="I63" s="255"/>
      <c r="J63" s="129" t="s">
        <v>273</v>
      </c>
    </row>
    <row r="64" spans="1:37" s="129" customFormat="1" ht="15.95" customHeight="1">
      <c r="A64" s="880" t="e">
        <f>+#REF!</f>
        <v>#REF!</v>
      </c>
      <c r="B64" s="880" t="e">
        <f>+#REF!</f>
        <v>#REF!</v>
      </c>
      <c r="C64" s="390" t="s">
        <v>95</v>
      </c>
      <c r="D64" s="674"/>
      <c r="E64" s="857"/>
      <c r="F64" s="255"/>
      <c r="G64" s="270">
        <f>+(L15+M15)*0.35+O13*0.2 +20*20*20*0.35</f>
        <v>9346.5999999999985</v>
      </c>
      <c r="H64" s="262">
        <f>1.1</f>
        <v>1.1000000000000001</v>
      </c>
      <c r="I64" s="255">
        <f>+G64*H64</f>
        <v>10281.259999999998</v>
      </c>
    </row>
    <row r="65" spans="1:11" s="129" customFormat="1" ht="15.95" customHeight="1">
      <c r="A65" s="879" t="e">
        <f>+#REF!</f>
        <v>#REF!</v>
      </c>
      <c r="B65" s="879" t="e">
        <f>+#REF!</f>
        <v>#REF!</v>
      </c>
      <c r="C65" s="887"/>
      <c r="D65" s="858"/>
      <c r="E65" s="856"/>
      <c r="F65" s="255"/>
    </row>
    <row r="66" spans="1:11" s="129" customFormat="1" ht="15.95" customHeight="1">
      <c r="A66" s="880"/>
      <c r="B66" s="880"/>
      <c r="C66" s="390" t="s">
        <v>14</v>
      </c>
      <c r="D66" s="674"/>
      <c r="E66" s="857"/>
      <c r="F66" s="255"/>
      <c r="G66" s="255">
        <f>G62*1950*5%</f>
        <v>419152.5</v>
      </c>
      <c r="H66" s="262">
        <v>1.1000000000000001</v>
      </c>
      <c r="I66" s="255">
        <f>G66*H66</f>
        <v>461067.75000000006</v>
      </c>
      <c r="K66" s="129">
        <f>+(L15+M15)*0.15</f>
        <v>2531.4</v>
      </c>
    </row>
    <row r="67" spans="1:11" s="129" customFormat="1" ht="15.95" customHeight="1">
      <c r="A67" s="875" t="e">
        <f>+#REF!</f>
        <v>#REF!</v>
      </c>
      <c r="B67" s="865" t="e">
        <f>+#REF!</f>
        <v>#REF!</v>
      </c>
      <c r="C67" s="837"/>
      <c r="D67" s="858"/>
      <c r="E67" s="856"/>
      <c r="F67" s="255"/>
      <c r="G67" s="255"/>
      <c r="H67" s="262"/>
      <c r="I67" s="255"/>
    </row>
    <row r="68" spans="1:11" s="129" customFormat="1" ht="15.95" customHeight="1">
      <c r="A68" s="888" t="e">
        <f>+#REF!</f>
        <v>#REF!</v>
      </c>
      <c r="B68" s="889" t="e">
        <f>+#REF!</f>
        <v>#REF!</v>
      </c>
      <c r="C68" s="389"/>
      <c r="D68" s="859"/>
      <c r="E68" s="863"/>
      <c r="F68" s="255"/>
    </row>
    <row r="69" spans="1:11" s="129" customFormat="1" ht="15.95" customHeight="1">
      <c r="A69" s="888" t="e">
        <f>+#REF!</f>
        <v>#REF!</v>
      </c>
      <c r="B69" s="889" t="e">
        <f>+#REF!</f>
        <v>#REF!</v>
      </c>
      <c r="C69" s="389" t="s">
        <v>94</v>
      </c>
      <c r="D69" s="859"/>
      <c r="E69" s="863"/>
      <c r="F69" s="255"/>
      <c r="G69" s="255">
        <f>+M15</f>
        <v>5676</v>
      </c>
      <c r="H69" s="262">
        <v>1.05</v>
      </c>
      <c r="I69" s="255">
        <f>+G69*H69</f>
        <v>5959.8</v>
      </c>
    </row>
    <row r="70" spans="1:11" s="129" customFormat="1" ht="15.95" customHeight="1">
      <c r="A70" s="888" t="e">
        <f>+#REF!</f>
        <v>#REF!</v>
      </c>
      <c r="B70" s="889" t="e">
        <f>+#REF!</f>
        <v>#REF!</v>
      </c>
      <c r="C70" s="389" t="s">
        <v>94</v>
      </c>
      <c r="D70" s="859"/>
      <c r="E70" s="863"/>
      <c r="F70" s="255"/>
      <c r="G70" s="255">
        <f>+L15</f>
        <v>11200</v>
      </c>
      <c r="H70" s="262">
        <v>1.05</v>
      </c>
      <c r="I70" s="255">
        <f t="shared" ref="I70:I71" si="4">+G70*H70</f>
        <v>11760</v>
      </c>
    </row>
    <row r="71" spans="1:11" s="129" customFormat="1" ht="15.95" customHeight="1">
      <c r="A71" s="888" t="e">
        <f>+#REF!</f>
        <v>#REF!</v>
      </c>
      <c r="B71" s="889" t="e">
        <f>+#REF!</f>
        <v>#REF!</v>
      </c>
      <c r="C71" s="389" t="s">
        <v>94</v>
      </c>
      <c r="D71" s="859"/>
      <c r="E71" s="863"/>
      <c r="F71" s="255"/>
      <c r="G71" s="255">
        <f>+O13</f>
        <v>3200</v>
      </c>
      <c r="H71" s="262">
        <v>1.05</v>
      </c>
      <c r="I71" s="255">
        <f t="shared" si="4"/>
        <v>3360</v>
      </c>
    </row>
    <row r="72" spans="1:11" s="129" customFormat="1" ht="15.95" customHeight="1">
      <c r="A72" s="888" t="e">
        <f>+#REF!</f>
        <v>#REF!</v>
      </c>
      <c r="B72" s="889" t="e">
        <f>+#REF!</f>
        <v>#REF!</v>
      </c>
      <c r="C72" s="389"/>
      <c r="D72" s="859"/>
      <c r="E72" s="863"/>
      <c r="F72" s="255"/>
      <c r="G72" s="255"/>
      <c r="H72" s="262"/>
      <c r="I72" s="255"/>
    </row>
    <row r="73" spans="1:11" s="129" customFormat="1" ht="15.95" customHeight="1">
      <c r="A73" s="888" t="e">
        <f>+#REF!</f>
        <v>#REF!</v>
      </c>
      <c r="B73" s="889" t="e">
        <f>+#REF!</f>
        <v>#REF!</v>
      </c>
      <c r="C73" s="389" t="s">
        <v>94</v>
      </c>
      <c r="D73" s="859"/>
      <c r="E73" s="863"/>
      <c r="F73" s="255"/>
      <c r="G73" s="255"/>
      <c r="H73" s="262"/>
      <c r="I73" s="255"/>
    </row>
    <row r="74" spans="1:11" s="129" customFormat="1" ht="15.95" customHeight="1">
      <c r="A74" s="888" t="e">
        <f>+#REF!</f>
        <v>#REF!</v>
      </c>
      <c r="B74" s="889" t="e">
        <f>+#REF!</f>
        <v>#REF!</v>
      </c>
      <c r="C74" s="389" t="s">
        <v>94</v>
      </c>
      <c r="D74" s="859"/>
      <c r="E74" s="863"/>
      <c r="F74" s="255"/>
      <c r="G74" s="255"/>
      <c r="H74" s="262"/>
      <c r="I74" s="255"/>
    </row>
    <row r="75" spans="1:11" s="129" customFormat="1" ht="15.95" customHeight="1">
      <c r="A75" s="890" t="e">
        <f>+#REF!</f>
        <v>#REF!</v>
      </c>
      <c r="B75" s="884" t="e">
        <f>+#REF!</f>
        <v>#REF!</v>
      </c>
      <c r="C75" s="390" t="s">
        <v>94</v>
      </c>
      <c r="D75" s="674"/>
      <c r="E75" s="857"/>
      <c r="F75" s="255"/>
      <c r="G75" s="255"/>
      <c r="H75" s="262"/>
      <c r="I75" s="255"/>
    </row>
    <row r="76" spans="1:11" s="129" customFormat="1" ht="15.95" customHeight="1">
      <c r="A76" s="875" t="e">
        <f>+#REF!</f>
        <v>#REF!</v>
      </c>
      <c r="B76" s="865" t="e">
        <f>+#REF!</f>
        <v>#REF!</v>
      </c>
      <c r="C76" s="844"/>
      <c r="D76" s="858"/>
      <c r="E76" s="856"/>
      <c r="F76" s="255"/>
      <c r="G76" s="255"/>
      <c r="H76" s="262"/>
      <c r="I76" s="255"/>
    </row>
    <row r="77" spans="1:11" s="129" customFormat="1" ht="15.95" customHeight="1">
      <c r="A77" s="888" t="e">
        <f>+#REF!</f>
        <v>#REF!</v>
      </c>
      <c r="B77" s="889" t="e">
        <f>+#REF!</f>
        <v>#REF!</v>
      </c>
      <c r="C77" s="389"/>
      <c r="D77" s="859"/>
      <c r="E77" s="863"/>
      <c r="F77" s="255"/>
      <c r="G77" s="255">
        <f>20*20</f>
        <v>400</v>
      </c>
      <c r="H77" s="262">
        <v>1.1000000000000001</v>
      </c>
      <c r="I77" s="255">
        <f>+G77*H77</f>
        <v>440.00000000000006</v>
      </c>
    </row>
    <row r="78" spans="1:11" s="129" customFormat="1" ht="15.95" customHeight="1">
      <c r="A78" s="888" t="e">
        <f>+#REF!</f>
        <v>#REF!</v>
      </c>
      <c r="B78" s="889" t="e">
        <f>+#REF!</f>
        <v>#REF!</v>
      </c>
      <c r="C78" s="389" t="s">
        <v>94</v>
      </c>
      <c r="D78" s="859"/>
      <c r="E78" s="863"/>
      <c r="F78" s="255"/>
      <c r="G78" s="255"/>
      <c r="H78" s="262"/>
      <c r="I78" s="255"/>
    </row>
    <row r="79" spans="1:11" s="129" customFormat="1" ht="15.95" customHeight="1">
      <c r="A79" s="888" t="e">
        <f>+#REF!</f>
        <v>#REF!</v>
      </c>
      <c r="B79" s="889" t="e">
        <f>+#REF!</f>
        <v>#REF!</v>
      </c>
      <c r="C79" s="389" t="s">
        <v>94</v>
      </c>
      <c r="D79" s="859"/>
      <c r="E79" s="863"/>
      <c r="F79" s="255"/>
      <c r="G79" s="255">
        <f>SUM(E9:E11)*2</f>
        <v>1600</v>
      </c>
      <c r="H79" s="262">
        <v>1</v>
      </c>
      <c r="I79" s="255">
        <f>+G79*H79</f>
        <v>1600</v>
      </c>
    </row>
    <row r="80" spans="1:11" s="129" customFormat="1" ht="15.95" customHeight="1">
      <c r="A80" s="888" t="e">
        <f>+#REF!</f>
        <v>#REF!</v>
      </c>
      <c r="B80" s="889" t="e">
        <f>+#REF!</f>
        <v>#REF!</v>
      </c>
      <c r="C80" s="389" t="s">
        <v>94</v>
      </c>
      <c r="D80" s="859"/>
      <c r="E80" s="863"/>
      <c r="F80" s="255"/>
      <c r="G80" s="255">
        <f>+(E9+E10+E11+20*2*20)*2</f>
        <v>3200</v>
      </c>
      <c r="H80" s="262">
        <v>1.05</v>
      </c>
      <c r="I80" s="255">
        <f>+G80*H80</f>
        <v>3360</v>
      </c>
    </row>
    <row r="81" spans="1:15" s="129" customFormat="1" ht="15.95" customHeight="1">
      <c r="A81" s="888" t="e">
        <f>+#REF!</f>
        <v>#REF!</v>
      </c>
      <c r="B81" s="889" t="e">
        <f>+#REF!</f>
        <v>#REF!</v>
      </c>
      <c r="C81" s="389"/>
      <c r="D81" s="859"/>
      <c r="E81" s="863"/>
      <c r="F81" s="255"/>
      <c r="G81" s="255"/>
      <c r="H81" s="262"/>
      <c r="I81" s="255"/>
    </row>
    <row r="82" spans="1:15" s="129" customFormat="1" ht="15.95" customHeight="1">
      <c r="A82" s="888" t="e">
        <f>+#REF!</f>
        <v>#REF!</v>
      </c>
      <c r="B82" s="889" t="e">
        <f>+#REF!</f>
        <v>#REF!</v>
      </c>
      <c r="C82" s="389" t="s">
        <v>94</v>
      </c>
      <c r="D82" s="859"/>
      <c r="E82" s="863"/>
      <c r="F82" s="255"/>
      <c r="G82" s="255"/>
      <c r="H82" s="262"/>
      <c r="I82" s="255"/>
    </row>
    <row r="83" spans="1:15" s="129" customFormat="1" ht="15.95" customHeight="1">
      <c r="A83" s="888" t="e">
        <f>+#REF!</f>
        <v>#REF!</v>
      </c>
      <c r="B83" s="889" t="e">
        <f>+#REF!</f>
        <v>#REF!</v>
      </c>
      <c r="C83" s="389" t="s">
        <v>94</v>
      </c>
      <c r="D83" s="859"/>
      <c r="E83" s="863"/>
      <c r="F83" s="255"/>
      <c r="G83" s="255"/>
      <c r="H83" s="262"/>
      <c r="I83" s="255"/>
    </row>
    <row r="84" spans="1:15" s="129" customFormat="1" ht="15.95" customHeight="1">
      <c r="A84" s="890" t="e">
        <f>+#REF!</f>
        <v>#REF!</v>
      </c>
      <c r="B84" s="884" t="e">
        <f>+#REF!</f>
        <v>#REF!</v>
      </c>
      <c r="C84" s="390" t="s">
        <v>94</v>
      </c>
      <c r="D84" s="674"/>
      <c r="E84" s="857"/>
      <c r="F84" s="255"/>
      <c r="G84" s="255"/>
      <c r="H84" s="262"/>
      <c r="I84" s="255"/>
    </row>
    <row r="85" spans="1:15" s="129" customFormat="1" ht="15.95" customHeight="1">
      <c r="A85" s="895" t="e">
        <f>+#REF!</f>
        <v>#REF!</v>
      </c>
      <c r="B85" s="920" t="e">
        <f>+#REF!</f>
        <v>#REF!</v>
      </c>
      <c r="C85" s="844"/>
      <c r="D85" s="814"/>
      <c r="E85" s="864"/>
      <c r="F85" s="255"/>
      <c r="G85" s="255"/>
      <c r="H85" s="262"/>
      <c r="I85" s="255"/>
    </row>
    <row r="86" spans="1:15" s="129" customFormat="1" ht="15.95" customHeight="1">
      <c r="A86" s="888" t="e">
        <f>+#REF!</f>
        <v>#REF!</v>
      </c>
      <c r="B86" s="889" t="e">
        <f>+#REF!</f>
        <v>#REF!</v>
      </c>
      <c r="C86" s="389"/>
      <c r="D86" s="859"/>
      <c r="E86" s="863"/>
      <c r="F86" s="255"/>
      <c r="G86" s="255"/>
      <c r="H86" s="262"/>
      <c r="I86" s="255"/>
    </row>
    <row r="87" spans="1:15" s="129" customFormat="1" ht="15.95" customHeight="1">
      <c r="A87" s="888" t="e">
        <f>+#REF!</f>
        <v>#REF!</v>
      </c>
      <c r="B87" s="889" t="e">
        <f>+#REF!</f>
        <v>#REF!</v>
      </c>
      <c r="C87" s="389" t="s">
        <v>94</v>
      </c>
      <c r="D87" s="859"/>
      <c r="E87" s="863"/>
      <c r="F87" s="255"/>
      <c r="G87" s="255"/>
      <c r="H87" s="262"/>
      <c r="I87" s="255"/>
    </row>
    <row r="88" spans="1:15" s="129" customFormat="1" ht="15.95" customHeight="1">
      <c r="A88" s="890" t="e">
        <f>+#REF!</f>
        <v>#REF!</v>
      </c>
      <c r="B88" s="884" t="e">
        <f>+#REF!</f>
        <v>#REF!</v>
      </c>
      <c r="C88" s="390" t="s">
        <v>94</v>
      </c>
      <c r="D88" s="674"/>
      <c r="E88" s="857"/>
      <c r="F88" s="255"/>
      <c r="G88" s="255"/>
      <c r="H88" s="262"/>
      <c r="I88" s="255"/>
    </row>
    <row r="89" spans="1:15" s="129" customFormat="1" ht="15.95" customHeight="1">
      <c r="A89" s="895" t="e">
        <f>+#REF!</f>
        <v>#REF!</v>
      </c>
      <c r="B89" s="920" t="e">
        <f>+#REF!</f>
        <v>#REF!</v>
      </c>
      <c r="C89" s="844"/>
      <c r="D89" s="814"/>
      <c r="E89" s="864"/>
      <c r="F89" s="255"/>
      <c r="G89" s="255"/>
      <c r="H89" s="262"/>
      <c r="I89" s="255"/>
    </row>
    <row r="90" spans="1:15" s="129" customFormat="1" ht="15.95" customHeight="1">
      <c r="A90" s="888" t="e">
        <f>+#REF!</f>
        <v>#REF!</v>
      </c>
      <c r="B90" s="889" t="e">
        <f>+#REF!</f>
        <v>#REF!</v>
      </c>
      <c r="C90" s="389" t="s">
        <v>94</v>
      </c>
      <c r="D90" s="859"/>
      <c r="E90" s="863"/>
      <c r="F90" s="255"/>
      <c r="G90" s="255"/>
      <c r="H90" s="262"/>
      <c r="I90" s="255"/>
    </row>
    <row r="91" spans="1:15" s="129" customFormat="1" ht="15.95" customHeight="1">
      <c r="A91" s="890" t="e">
        <f>+#REF!</f>
        <v>#REF!</v>
      </c>
      <c r="B91" s="884" t="e">
        <f>+#REF!</f>
        <v>#REF!</v>
      </c>
      <c r="C91" s="390" t="s">
        <v>94</v>
      </c>
      <c r="D91" s="674"/>
      <c r="E91" s="857"/>
      <c r="F91" s="255"/>
      <c r="G91" s="255"/>
      <c r="H91" s="262"/>
      <c r="I91" s="255"/>
    </row>
    <row r="92" spans="1:15" s="129" customFormat="1" ht="15.95" customHeight="1">
      <c r="A92" s="1963" t="e">
        <f>+#REF!</f>
        <v>#REF!</v>
      </c>
      <c r="B92" s="1964"/>
      <c r="C92" s="1964"/>
      <c r="D92" s="1964"/>
      <c r="E92" s="1965"/>
      <c r="F92" s="255"/>
      <c r="G92" s="255"/>
      <c r="H92" s="262"/>
      <c r="I92" s="255"/>
    </row>
    <row r="93" spans="1:15" s="129" customFormat="1" ht="15.95" customHeight="1">
      <c r="A93" s="896" t="e">
        <f>+#REF!</f>
        <v>#REF!</v>
      </c>
      <c r="B93" s="914" t="e">
        <f>+#REF!</f>
        <v>#REF!</v>
      </c>
      <c r="C93" s="845"/>
      <c r="D93" s="858"/>
      <c r="E93" s="861"/>
      <c r="F93" s="255"/>
      <c r="G93" s="255"/>
      <c r="H93" s="262"/>
      <c r="I93" s="255"/>
      <c r="K93" s="129">
        <v>6.1</v>
      </c>
    </row>
    <row r="94" spans="1:15" s="129" customFormat="1" ht="15.95" customHeight="1">
      <c r="A94" s="885"/>
      <c r="B94" s="897"/>
      <c r="C94" s="840" t="s">
        <v>95</v>
      </c>
      <c r="D94" s="674"/>
      <c r="E94" s="857"/>
      <c r="F94" s="255"/>
      <c r="G94" s="336">
        <f>83607*0.9</f>
        <v>75246.3</v>
      </c>
      <c r="H94" s="262">
        <v>1</v>
      </c>
      <c r="I94" s="255">
        <f>G94*H94-I96</f>
        <v>62272.28517857143</v>
      </c>
      <c r="K94" s="129">
        <f>2*9</f>
        <v>18</v>
      </c>
      <c r="L94" s="129" t="s">
        <v>498</v>
      </c>
    </row>
    <row r="95" spans="1:15" s="129" customFormat="1" ht="15.95" customHeight="1">
      <c r="A95" s="875" t="e">
        <f>+#REF!</f>
        <v>#REF!</v>
      </c>
      <c r="B95" s="865" t="e">
        <f>+#REF!</f>
        <v>#REF!</v>
      </c>
      <c r="C95" s="845"/>
      <c r="D95" s="858"/>
      <c r="E95" s="856"/>
      <c r="F95" s="255"/>
      <c r="G95" s="255"/>
      <c r="H95" s="262"/>
      <c r="I95" s="255"/>
      <c r="K95" s="129">
        <f>2*2</f>
        <v>4</v>
      </c>
    </row>
    <row r="96" spans="1:15" s="129" customFormat="1" ht="15.95" customHeight="1">
      <c r="A96" s="880"/>
      <c r="B96" s="884"/>
      <c r="C96" s="840" t="s">
        <v>95</v>
      </c>
      <c r="D96" s="674"/>
      <c r="E96" s="857"/>
      <c r="F96" s="255"/>
      <c r="G96" s="328">
        <f>+G94/2016*(2016-1700)</f>
        <v>11794.558928571429</v>
      </c>
      <c r="H96" s="262">
        <v>1.1000000000000001</v>
      </c>
      <c r="I96" s="255">
        <f>G96*H96</f>
        <v>12974.014821428573</v>
      </c>
      <c r="J96" s="328">
        <f>+J94/2016*(2016-1700)</f>
        <v>0</v>
      </c>
      <c r="K96" s="262">
        <v>1.1000000000000001</v>
      </c>
      <c r="L96" s="255">
        <f>J96*K96</f>
        <v>0</v>
      </c>
      <c r="M96" s="328">
        <f>+M94/2016*(2016-1700)</f>
        <v>0</v>
      </c>
      <c r="N96" s="262">
        <v>1.1000000000000001</v>
      </c>
      <c r="O96" s="255">
        <f>M96*N96</f>
        <v>0</v>
      </c>
    </row>
    <row r="97" spans="1:15" s="129" customFormat="1" ht="15.95" customHeight="1">
      <c r="A97" s="875" t="e">
        <f>+#REF!</f>
        <v>#REF!</v>
      </c>
      <c r="B97" s="865" t="e">
        <f>+#REF!</f>
        <v>#REF!</v>
      </c>
      <c r="C97" s="845"/>
      <c r="D97" s="858"/>
      <c r="E97" s="856"/>
      <c r="F97" s="255"/>
      <c r="G97" s="328">
        <f>+G95/2016*(2016-1700)</f>
        <v>0</v>
      </c>
      <c r="H97" s="262">
        <v>1.1000000000000001</v>
      </c>
      <c r="I97" s="255">
        <f>G97*H97</f>
        <v>0</v>
      </c>
      <c r="J97" s="328">
        <f>+J95/2016*(2016-1700)</f>
        <v>0</v>
      </c>
      <c r="K97" s="262">
        <v>1.1000000000000001</v>
      </c>
      <c r="L97" s="255">
        <f>J97*K97</f>
        <v>0</v>
      </c>
      <c r="M97" s="328">
        <f>+M95/2016*(2016-1700)</f>
        <v>0</v>
      </c>
      <c r="N97" s="262">
        <v>1.1000000000000001</v>
      </c>
      <c r="O97" s="255">
        <f>M97*N97</f>
        <v>0</v>
      </c>
    </row>
    <row r="98" spans="1:15" s="129" customFormat="1" ht="15.95" customHeight="1">
      <c r="A98" s="880"/>
      <c r="B98" s="884"/>
      <c r="C98" s="840" t="s">
        <v>95</v>
      </c>
      <c r="D98" s="674"/>
      <c r="E98" s="857"/>
      <c r="F98" s="255"/>
      <c r="G98" s="256">
        <f>G94-(6.3*2.4*E4)-(4.3*2.4*E3)-(1+0.25*2+0.1*2)*(1.5+0.25*2+0.1)*E6</f>
        <v>63504.3</v>
      </c>
      <c r="H98" s="262">
        <v>0.8</v>
      </c>
      <c r="I98" s="255">
        <f>G98*H98</f>
        <v>50803.44</v>
      </c>
      <c r="K98" s="129">
        <f>2*3</f>
        <v>6</v>
      </c>
    </row>
    <row r="99" spans="1:15" s="129" customFormat="1" ht="15.95" customHeight="1">
      <c r="A99" s="875" t="e">
        <f>+#REF!</f>
        <v>#REF!</v>
      </c>
      <c r="B99" s="865" t="e">
        <f>+#REF!</f>
        <v>#REF!</v>
      </c>
      <c r="C99" s="845"/>
      <c r="D99" s="858"/>
      <c r="E99" s="856"/>
      <c r="F99" s="255"/>
      <c r="G99" s="255"/>
      <c r="H99" s="262"/>
      <c r="I99" s="255"/>
    </row>
    <row r="100" spans="1:15" s="129" customFormat="1" ht="15.95" customHeight="1">
      <c r="A100" s="880"/>
      <c r="B100" s="884"/>
      <c r="C100" s="840" t="s">
        <v>95</v>
      </c>
      <c r="D100" s="674"/>
      <c r="E100" s="857"/>
      <c r="F100" s="255"/>
      <c r="G100" s="255"/>
      <c r="H100" s="262"/>
      <c r="I100" s="255"/>
    </row>
    <row r="101" spans="1:15" s="129" customFormat="1" ht="15.95" customHeight="1">
      <c r="A101" s="875" t="e">
        <f>+#REF!</f>
        <v>#REF!</v>
      </c>
      <c r="B101" s="865" t="e">
        <f>+#REF!</f>
        <v>#REF!</v>
      </c>
      <c r="C101" s="845"/>
      <c r="D101" s="858"/>
      <c r="E101" s="856"/>
      <c r="F101" s="255"/>
      <c r="G101" s="255"/>
      <c r="H101" s="262"/>
      <c r="I101" s="255"/>
    </row>
    <row r="102" spans="1:15" s="129" customFormat="1" ht="15.95" customHeight="1">
      <c r="A102" s="880"/>
      <c r="B102" s="884"/>
      <c r="C102" s="840" t="s">
        <v>94</v>
      </c>
      <c r="D102" s="674"/>
      <c r="E102" s="857"/>
      <c r="F102" s="255"/>
      <c r="G102" s="255"/>
      <c r="H102" s="262"/>
      <c r="I102" s="255">
        <f>6.2+2</f>
        <v>8.1999999999999993</v>
      </c>
      <c r="J102" s="129">
        <f>2</f>
        <v>2</v>
      </c>
    </row>
    <row r="103" spans="1:15" s="129" customFormat="1" ht="15.95" customHeight="1">
      <c r="A103" s="875" t="e">
        <f>+#REF!</f>
        <v>#REF!</v>
      </c>
      <c r="B103" s="865" t="e">
        <f>+#REF!</f>
        <v>#REF!</v>
      </c>
      <c r="C103" s="845"/>
      <c r="D103" s="858"/>
      <c r="E103" s="856"/>
      <c r="F103" s="255"/>
      <c r="G103" s="255"/>
      <c r="H103" s="262"/>
      <c r="I103" s="255"/>
      <c r="J103" s="129">
        <f>I102*J102/2</f>
        <v>8.1999999999999993</v>
      </c>
    </row>
    <row r="104" spans="1:15" s="129" customFormat="1" ht="15.95" customHeight="1">
      <c r="A104" s="880" t="e">
        <f>+#REF!</f>
        <v>#REF!</v>
      </c>
      <c r="B104" s="884" t="e">
        <f>+#REF!</f>
        <v>#REF!</v>
      </c>
      <c r="C104" s="840" t="s">
        <v>14</v>
      </c>
      <c r="D104" s="674"/>
      <c r="E104" s="857"/>
      <c r="F104" s="255"/>
      <c r="G104" s="255"/>
      <c r="H104" s="262"/>
      <c r="I104" s="255"/>
    </row>
    <row r="105" spans="1:15" s="129" customFormat="1" ht="15.95" customHeight="1">
      <c r="A105" s="875" t="e">
        <f>+#REF!</f>
        <v>#REF!</v>
      </c>
      <c r="B105" s="865" t="e">
        <f>+#REF!</f>
        <v>#REF!</v>
      </c>
      <c r="C105" s="845"/>
      <c r="D105" s="858"/>
      <c r="E105" s="856"/>
      <c r="F105" s="255"/>
      <c r="G105" s="255"/>
      <c r="H105" s="262"/>
      <c r="I105" s="255"/>
      <c r="K105" s="129">
        <f>0.1+0.25+0.25+0.25+0.1</f>
        <v>0.95</v>
      </c>
    </row>
    <row r="106" spans="1:15" s="129" customFormat="1" ht="15.95" customHeight="1">
      <c r="A106" s="880"/>
      <c r="B106" s="884"/>
      <c r="C106" s="840" t="s">
        <v>95</v>
      </c>
      <c r="D106" s="674"/>
      <c r="E106" s="857"/>
      <c r="F106" s="255"/>
      <c r="G106" s="255"/>
      <c r="H106" s="262"/>
      <c r="I106" s="255"/>
      <c r="K106" s="129">
        <f>1*2+K105</f>
        <v>2.95</v>
      </c>
      <c r="M106" s="129">
        <f>0.1+0.25+1.8+0.25</f>
        <v>2.4</v>
      </c>
    </row>
    <row r="107" spans="1:15" s="129" customFormat="1" ht="15.95" customHeight="1">
      <c r="A107" s="875" t="e">
        <f>+#REF!</f>
        <v>#REF!</v>
      </c>
      <c r="B107" s="865" t="e">
        <f>+#REF!</f>
        <v>#REF!</v>
      </c>
      <c r="C107" s="845"/>
      <c r="D107" s="858"/>
      <c r="E107" s="856"/>
      <c r="F107" s="255"/>
      <c r="G107" s="255"/>
      <c r="H107" s="262"/>
      <c r="I107" s="255"/>
    </row>
    <row r="108" spans="1:15" s="129" customFormat="1" ht="15.95" customHeight="1">
      <c r="A108" s="880"/>
      <c r="B108" s="884"/>
      <c r="C108" s="840" t="s">
        <v>95</v>
      </c>
      <c r="D108" s="674"/>
      <c r="E108" s="857"/>
      <c r="F108" s="255"/>
      <c r="G108" s="255"/>
      <c r="H108" s="262"/>
      <c r="I108" s="255"/>
    </row>
    <row r="109" spans="1:15" s="129" customFormat="1" ht="30" customHeight="1">
      <c r="A109" s="879" t="e">
        <f>+#REF!</f>
        <v>#REF!</v>
      </c>
      <c r="B109" s="915" t="e">
        <f>+#REF!</f>
        <v>#REF!</v>
      </c>
      <c r="C109" s="887"/>
      <c r="D109" s="858"/>
      <c r="E109" s="856"/>
      <c r="F109" s="255"/>
      <c r="G109" s="255"/>
      <c r="H109" s="262"/>
      <c r="I109" s="255"/>
    </row>
    <row r="110" spans="1:15" s="129" customFormat="1" ht="15.95" customHeight="1">
      <c r="A110" s="892" t="e">
        <f>+#REF!</f>
        <v>#REF!</v>
      </c>
      <c r="B110" s="893" t="e">
        <f>+#REF!</f>
        <v>#REF!</v>
      </c>
      <c r="C110" s="389" t="s">
        <v>94</v>
      </c>
      <c r="D110" s="859"/>
      <c r="E110" s="863"/>
      <c r="F110" s="255"/>
      <c r="G110" s="255">
        <f>2%*I50</f>
        <v>400.46000000000004</v>
      </c>
      <c r="H110" s="262">
        <v>1.1000000000000001</v>
      </c>
      <c r="I110" s="255">
        <f>G110*H110</f>
        <v>440.50600000000009</v>
      </c>
    </row>
    <row r="111" spans="1:15" s="129" customFormat="1" ht="15.95" customHeight="1">
      <c r="A111" s="892" t="e">
        <f>+#REF!</f>
        <v>#REF!</v>
      </c>
      <c r="B111" s="893" t="e">
        <f>+#REF!</f>
        <v>#REF!</v>
      </c>
      <c r="C111" s="389" t="s">
        <v>94</v>
      </c>
      <c r="D111" s="859"/>
      <c r="E111" s="863"/>
      <c r="F111" s="255"/>
      <c r="G111" s="255">
        <f>1%*G50</f>
        <v>200.23000000000002</v>
      </c>
      <c r="H111" s="262">
        <v>1.1000000000000001</v>
      </c>
      <c r="I111" s="255">
        <f>G111*H111</f>
        <v>220.25300000000004</v>
      </c>
    </row>
    <row r="112" spans="1:15" ht="15.95" customHeight="1">
      <c r="A112" s="880" t="e">
        <f>+#REF!</f>
        <v>#REF!</v>
      </c>
      <c r="B112" s="870" t="e">
        <f>+#REF!</f>
        <v>#REF!</v>
      </c>
      <c r="C112" s="390" t="s">
        <v>94</v>
      </c>
      <c r="D112" s="674"/>
      <c r="E112" s="857"/>
      <c r="G112" s="255">
        <v>30</v>
      </c>
    </row>
    <row r="113" spans="1:188" s="225" customFormat="1" ht="15.95" customHeight="1">
      <c r="A113" s="879" t="e">
        <f>+#REF!</f>
        <v>#REF!</v>
      </c>
      <c r="B113" s="868" t="e">
        <f>+#REF!</f>
        <v>#REF!</v>
      </c>
      <c r="C113" s="837"/>
      <c r="D113" s="858"/>
      <c r="E113" s="856"/>
      <c r="F113" s="259"/>
      <c r="G113" s="259"/>
      <c r="H113" s="265"/>
      <c r="I113" s="255">
        <f>G113*H113</f>
        <v>0</v>
      </c>
      <c r="J113" s="226"/>
      <c r="K113" s="226"/>
      <c r="L113" s="226"/>
      <c r="M113" s="226"/>
      <c r="N113" s="226"/>
      <c r="O113" s="226"/>
      <c r="P113" s="226"/>
      <c r="Q113" s="226"/>
      <c r="R113" s="226"/>
      <c r="S113" s="226"/>
      <c r="T113" s="226"/>
      <c r="U113" s="226"/>
      <c r="V113" s="226"/>
      <c r="W113" s="226"/>
      <c r="X113" s="226"/>
      <c r="Y113" s="226"/>
      <c r="Z113" s="226"/>
      <c r="AA113" s="226"/>
      <c r="AB113" s="226"/>
      <c r="AC113" s="226"/>
      <c r="AD113" s="226"/>
      <c r="AE113" s="226"/>
      <c r="AF113" s="226"/>
      <c r="AG113" s="226"/>
      <c r="AH113" s="226"/>
      <c r="AI113" s="226"/>
      <c r="AJ113" s="226"/>
      <c r="AK113" s="226"/>
      <c r="AL113" s="226"/>
      <c r="AM113" s="226"/>
      <c r="AN113" s="226"/>
      <c r="AO113" s="226"/>
      <c r="AP113" s="226"/>
      <c r="AQ113" s="226"/>
      <c r="AR113" s="226"/>
      <c r="AS113" s="226"/>
      <c r="AT113" s="226"/>
      <c r="AU113" s="226"/>
      <c r="AV113" s="226"/>
      <c r="AW113" s="226"/>
      <c r="AX113" s="226"/>
      <c r="AY113" s="226"/>
      <c r="AZ113" s="226"/>
      <c r="BA113" s="226"/>
      <c r="BB113" s="226"/>
      <c r="BC113" s="226"/>
      <c r="BD113" s="226"/>
      <c r="BE113" s="226"/>
      <c r="BF113" s="226"/>
      <c r="BG113" s="226"/>
      <c r="BH113" s="226"/>
      <c r="BI113" s="226"/>
      <c r="BJ113" s="226"/>
      <c r="BK113" s="226"/>
      <c r="BL113" s="226"/>
      <c r="BM113" s="226"/>
      <c r="BN113" s="226"/>
      <c r="BO113" s="226"/>
      <c r="BP113" s="226"/>
      <c r="BQ113" s="226"/>
      <c r="BR113" s="226"/>
      <c r="BS113" s="226"/>
      <c r="BT113" s="226"/>
      <c r="BU113" s="226"/>
      <c r="BV113" s="226"/>
      <c r="BW113" s="226"/>
      <c r="BX113" s="226"/>
      <c r="BY113" s="226"/>
      <c r="BZ113" s="226"/>
      <c r="CA113" s="226"/>
      <c r="CB113" s="226"/>
      <c r="CC113" s="226"/>
      <c r="CD113" s="226"/>
      <c r="CE113" s="226"/>
      <c r="CF113" s="226"/>
      <c r="CG113" s="226"/>
      <c r="CH113" s="226"/>
      <c r="CI113" s="226"/>
      <c r="CJ113" s="226"/>
      <c r="CK113" s="226"/>
      <c r="CL113" s="226"/>
      <c r="CM113" s="226"/>
      <c r="CN113" s="226"/>
      <c r="CO113" s="226"/>
      <c r="CP113" s="226"/>
      <c r="CQ113" s="226"/>
      <c r="CR113" s="226"/>
      <c r="CS113" s="226"/>
      <c r="CT113" s="226"/>
      <c r="CU113" s="226"/>
      <c r="CV113" s="226"/>
      <c r="CW113" s="226"/>
      <c r="CX113" s="226"/>
      <c r="CY113" s="226"/>
      <c r="CZ113" s="226"/>
      <c r="DA113" s="226"/>
      <c r="DB113" s="226"/>
      <c r="DC113" s="226"/>
      <c r="DD113" s="226"/>
      <c r="DE113" s="226"/>
      <c r="DF113" s="226"/>
      <c r="DG113" s="226"/>
      <c r="DH113" s="226"/>
      <c r="DI113" s="226"/>
      <c r="DJ113" s="226"/>
      <c r="DK113" s="226"/>
      <c r="DL113" s="226"/>
      <c r="DM113" s="226"/>
      <c r="DN113" s="226"/>
      <c r="DO113" s="226"/>
      <c r="DP113" s="226"/>
      <c r="DQ113" s="226"/>
      <c r="DR113" s="226"/>
      <c r="DS113" s="226"/>
      <c r="DT113" s="226"/>
      <c r="DU113" s="226"/>
      <c r="DV113" s="226"/>
      <c r="DW113" s="226"/>
      <c r="DX113" s="226"/>
      <c r="DY113" s="226"/>
      <c r="DZ113" s="226"/>
      <c r="EA113" s="226"/>
      <c r="EB113" s="226"/>
      <c r="EC113" s="226"/>
      <c r="ED113" s="226"/>
      <c r="EE113" s="226"/>
      <c r="EF113" s="226"/>
      <c r="EG113" s="226"/>
      <c r="EH113" s="226"/>
      <c r="EI113" s="226"/>
      <c r="EJ113" s="226"/>
      <c r="EK113" s="226"/>
      <c r="EL113" s="226"/>
      <c r="EM113" s="226"/>
      <c r="EN113" s="226"/>
      <c r="EO113" s="226"/>
      <c r="EP113" s="226"/>
      <c r="EQ113" s="226"/>
      <c r="ER113" s="226"/>
      <c r="ES113" s="226"/>
      <c r="ET113" s="226"/>
      <c r="EU113" s="226"/>
      <c r="EV113" s="226"/>
      <c r="EW113" s="226"/>
      <c r="EX113" s="226"/>
      <c r="EY113" s="226"/>
      <c r="EZ113" s="226"/>
      <c r="FA113" s="226"/>
      <c r="FB113" s="226"/>
      <c r="FC113" s="226"/>
      <c r="FD113" s="226"/>
      <c r="FE113" s="226"/>
      <c r="FF113" s="226"/>
      <c r="FG113" s="226"/>
      <c r="FH113" s="226"/>
      <c r="FI113" s="226"/>
      <c r="FJ113" s="226"/>
      <c r="FK113" s="226"/>
      <c r="FL113" s="226"/>
      <c r="FM113" s="226"/>
      <c r="FN113" s="226"/>
      <c r="FO113" s="226"/>
      <c r="FP113" s="226"/>
      <c r="FQ113" s="226"/>
      <c r="FR113" s="226"/>
      <c r="FS113" s="226"/>
      <c r="FT113" s="226"/>
      <c r="FU113" s="226"/>
      <c r="FV113" s="226"/>
      <c r="FW113" s="226"/>
      <c r="FX113" s="226"/>
      <c r="FY113" s="226"/>
      <c r="FZ113" s="226"/>
      <c r="GA113" s="226"/>
      <c r="GB113" s="226"/>
      <c r="GC113" s="226"/>
      <c r="GD113" s="226"/>
      <c r="GE113" s="226"/>
      <c r="GF113" s="226"/>
    </row>
    <row r="114" spans="1:188" s="225" customFormat="1" ht="15.95" customHeight="1">
      <c r="A114" s="892" t="e">
        <f>+#REF!</f>
        <v>#REF!</v>
      </c>
      <c r="B114" s="893" t="e">
        <f>+#REF!</f>
        <v>#REF!</v>
      </c>
      <c r="C114" s="389" t="s">
        <v>1</v>
      </c>
      <c r="D114" s="859"/>
      <c r="E114" s="863"/>
      <c r="F114" s="259"/>
      <c r="G114" s="225">
        <f>+(E9+E10+E11)*2*0.6</f>
        <v>960</v>
      </c>
      <c r="H114" s="265">
        <v>1.2</v>
      </c>
      <c r="I114" s="255">
        <f>G114*H114</f>
        <v>1152</v>
      </c>
      <c r="J114" s="226" t="s">
        <v>595</v>
      </c>
      <c r="K114" s="226"/>
      <c r="L114" s="226">
        <f>+(E9+E10+E11)*2</f>
        <v>1600</v>
      </c>
      <c r="M114" s="226"/>
      <c r="N114" s="226"/>
      <c r="O114" s="226"/>
      <c r="P114" s="226"/>
      <c r="Q114" s="226"/>
      <c r="R114" s="226"/>
      <c r="S114" s="226"/>
      <c r="T114" s="226"/>
      <c r="U114" s="226"/>
      <c r="V114" s="226"/>
      <c r="W114" s="226"/>
      <c r="X114" s="226"/>
      <c r="Y114" s="226"/>
      <c r="Z114" s="226"/>
      <c r="AA114" s="226"/>
      <c r="AB114" s="226"/>
      <c r="AC114" s="226"/>
      <c r="AD114" s="226"/>
      <c r="AE114" s="226"/>
      <c r="AF114" s="226"/>
      <c r="AG114" s="226"/>
      <c r="AH114" s="226"/>
      <c r="AI114" s="226"/>
      <c r="AJ114" s="226"/>
      <c r="AK114" s="226"/>
      <c r="AL114" s="226"/>
      <c r="AM114" s="226"/>
      <c r="AN114" s="226"/>
      <c r="AO114" s="226"/>
      <c r="AP114" s="226"/>
      <c r="AQ114" s="226"/>
      <c r="AR114" s="226"/>
      <c r="AS114" s="226"/>
      <c r="AT114" s="226"/>
      <c r="AU114" s="226"/>
      <c r="AV114" s="226"/>
      <c r="AW114" s="226"/>
      <c r="AX114" s="226"/>
      <c r="AY114" s="226"/>
      <c r="AZ114" s="226"/>
      <c r="BA114" s="226"/>
      <c r="BB114" s="226"/>
      <c r="BC114" s="226"/>
      <c r="BD114" s="226"/>
      <c r="BE114" s="226"/>
      <c r="BF114" s="226"/>
      <c r="BG114" s="226"/>
      <c r="BH114" s="226"/>
      <c r="BI114" s="226"/>
      <c r="BJ114" s="226"/>
      <c r="BK114" s="226"/>
      <c r="BL114" s="226"/>
      <c r="BM114" s="226"/>
      <c r="BN114" s="226"/>
      <c r="BO114" s="226"/>
      <c r="BP114" s="226"/>
      <c r="BQ114" s="226"/>
      <c r="BR114" s="226"/>
      <c r="BS114" s="226"/>
      <c r="BT114" s="226"/>
      <c r="BU114" s="226"/>
      <c r="BV114" s="226"/>
      <c r="BW114" s="226"/>
      <c r="BX114" s="226"/>
      <c r="BY114" s="226"/>
      <c r="BZ114" s="226"/>
      <c r="CA114" s="226"/>
      <c r="CB114" s="226"/>
      <c r="CC114" s="226"/>
      <c r="CD114" s="226"/>
      <c r="CE114" s="226"/>
      <c r="CF114" s="226"/>
      <c r="CG114" s="226"/>
      <c r="CH114" s="226"/>
      <c r="CI114" s="226"/>
      <c r="CJ114" s="226"/>
      <c r="CK114" s="226"/>
      <c r="CL114" s="226"/>
      <c r="CM114" s="226"/>
      <c r="CN114" s="226"/>
      <c r="CO114" s="226"/>
      <c r="CP114" s="226"/>
      <c r="CQ114" s="226"/>
      <c r="CR114" s="226"/>
      <c r="CS114" s="226"/>
      <c r="CT114" s="226"/>
      <c r="CU114" s="226"/>
      <c r="CV114" s="226"/>
      <c r="CW114" s="226"/>
      <c r="CX114" s="226"/>
      <c r="CY114" s="226"/>
      <c r="CZ114" s="226"/>
      <c r="DA114" s="226"/>
      <c r="DB114" s="226"/>
      <c r="DC114" s="226"/>
      <c r="DD114" s="226"/>
      <c r="DE114" s="226"/>
      <c r="DF114" s="226"/>
      <c r="DG114" s="226"/>
      <c r="DH114" s="226"/>
      <c r="DI114" s="226"/>
      <c r="DJ114" s="226"/>
      <c r="DK114" s="226"/>
      <c r="DL114" s="226"/>
      <c r="DM114" s="226"/>
      <c r="DN114" s="226"/>
      <c r="DO114" s="226"/>
      <c r="DP114" s="226"/>
      <c r="DQ114" s="226"/>
      <c r="DR114" s="226"/>
      <c r="DS114" s="226"/>
      <c r="DT114" s="226"/>
      <c r="DU114" s="226"/>
      <c r="DV114" s="226"/>
      <c r="DW114" s="226"/>
      <c r="DX114" s="226"/>
      <c r="DY114" s="226"/>
      <c r="DZ114" s="226"/>
      <c r="EA114" s="226"/>
      <c r="EB114" s="226"/>
      <c r="EC114" s="226"/>
      <c r="ED114" s="226"/>
      <c r="EE114" s="226"/>
      <c r="EF114" s="226"/>
      <c r="EG114" s="226"/>
      <c r="EH114" s="226"/>
      <c r="EI114" s="226"/>
      <c r="EJ114" s="226"/>
      <c r="EK114" s="226"/>
      <c r="EL114" s="226"/>
      <c r="EM114" s="226"/>
      <c r="EN114" s="226"/>
      <c r="EO114" s="226"/>
      <c r="EP114" s="226"/>
      <c r="EQ114" s="226"/>
      <c r="ER114" s="226"/>
      <c r="ES114" s="226"/>
      <c r="ET114" s="226"/>
      <c r="EU114" s="226"/>
      <c r="EV114" s="226"/>
      <c r="EW114" s="226"/>
      <c r="EX114" s="226"/>
      <c r="EY114" s="226"/>
      <c r="EZ114" s="226"/>
      <c r="FA114" s="226"/>
      <c r="FB114" s="226"/>
      <c r="FC114" s="226"/>
      <c r="FD114" s="226"/>
      <c r="FE114" s="226"/>
      <c r="FF114" s="226"/>
      <c r="FG114" s="226"/>
      <c r="FH114" s="226"/>
      <c r="FI114" s="226"/>
      <c r="FJ114" s="226"/>
      <c r="FK114" s="226"/>
      <c r="FL114" s="226"/>
      <c r="FM114" s="226"/>
      <c r="FN114" s="226"/>
      <c r="FO114" s="226"/>
      <c r="FP114" s="226"/>
      <c r="FQ114" s="226"/>
      <c r="FR114" s="226"/>
      <c r="FS114" s="226"/>
      <c r="FT114" s="226"/>
      <c r="FU114" s="226"/>
      <c r="FV114" s="226"/>
      <c r="FW114" s="226"/>
      <c r="FX114" s="226"/>
      <c r="FY114" s="226"/>
      <c r="FZ114" s="226"/>
      <c r="GA114" s="226"/>
      <c r="GB114" s="226"/>
      <c r="GC114" s="226"/>
      <c r="GD114" s="226"/>
      <c r="GE114" s="226"/>
      <c r="GF114" s="226"/>
    </row>
    <row r="115" spans="1:188" s="225" customFormat="1" ht="15.95" customHeight="1">
      <c r="A115" s="880" t="e">
        <f>+#REF!</f>
        <v>#REF!</v>
      </c>
      <c r="B115" s="870" t="e">
        <f>+#REF!</f>
        <v>#REF!</v>
      </c>
      <c r="C115" s="390" t="s">
        <v>1</v>
      </c>
      <c r="D115" s="674"/>
      <c r="E115" s="857"/>
      <c r="F115" s="259"/>
      <c r="G115" s="225">
        <f>+(E9+E10+E11)*2*0.4</f>
        <v>640</v>
      </c>
      <c r="H115" s="265">
        <v>1.1000000000000001</v>
      </c>
      <c r="I115" s="255">
        <f>G115*H115</f>
        <v>704</v>
      </c>
      <c r="J115" s="226"/>
      <c r="K115" s="226"/>
      <c r="L115" s="226"/>
      <c r="M115" s="226"/>
      <c r="N115" s="226"/>
      <c r="O115" s="226"/>
      <c r="P115" s="226"/>
      <c r="Q115" s="226"/>
      <c r="R115" s="226"/>
      <c r="S115" s="226"/>
      <c r="T115" s="226"/>
      <c r="U115" s="226"/>
      <c r="V115" s="226"/>
      <c r="W115" s="226"/>
      <c r="X115" s="226"/>
      <c r="Y115" s="226"/>
      <c r="Z115" s="226"/>
      <c r="AA115" s="226"/>
      <c r="AB115" s="226"/>
      <c r="AC115" s="226"/>
      <c r="AD115" s="226"/>
      <c r="AE115" s="226"/>
      <c r="AF115" s="226"/>
      <c r="AG115" s="226"/>
      <c r="AH115" s="226"/>
      <c r="AI115" s="226"/>
      <c r="AJ115" s="226"/>
      <c r="AK115" s="226"/>
      <c r="AL115" s="226"/>
      <c r="AM115" s="226"/>
      <c r="AN115" s="226"/>
      <c r="AO115" s="226"/>
      <c r="AP115" s="226"/>
      <c r="AQ115" s="226"/>
      <c r="AR115" s="226"/>
      <c r="AS115" s="226"/>
      <c r="AT115" s="226"/>
      <c r="AU115" s="226"/>
      <c r="AV115" s="226"/>
      <c r="AW115" s="226"/>
      <c r="AX115" s="226"/>
      <c r="AY115" s="226"/>
      <c r="AZ115" s="226"/>
      <c r="BA115" s="226"/>
      <c r="BB115" s="226"/>
      <c r="BC115" s="226"/>
      <c r="BD115" s="226"/>
      <c r="BE115" s="226"/>
      <c r="BF115" s="226"/>
      <c r="BG115" s="226"/>
      <c r="BH115" s="226"/>
      <c r="BI115" s="226"/>
      <c r="BJ115" s="226"/>
      <c r="BK115" s="226"/>
      <c r="BL115" s="226"/>
      <c r="BM115" s="226"/>
      <c r="BN115" s="226"/>
      <c r="BO115" s="226"/>
      <c r="BP115" s="226"/>
      <c r="BQ115" s="226"/>
      <c r="BR115" s="226"/>
      <c r="BS115" s="226"/>
      <c r="BT115" s="226"/>
      <c r="BU115" s="226"/>
      <c r="BV115" s="226"/>
      <c r="BW115" s="226"/>
      <c r="BX115" s="226"/>
      <c r="BY115" s="226"/>
      <c r="BZ115" s="226"/>
      <c r="CA115" s="226"/>
      <c r="CB115" s="226"/>
      <c r="CC115" s="226"/>
      <c r="CD115" s="226"/>
      <c r="CE115" s="226"/>
      <c r="CF115" s="226"/>
      <c r="CG115" s="226"/>
      <c r="CH115" s="226"/>
      <c r="CI115" s="226"/>
      <c r="CJ115" s="226"/>
      <c r="CK115" s="226"/>
      <c r="CL115" s="226"/>
      <c r="CM115" s="226"/>
      <c r="CN115" s="226"/>
      <c r="CO115" s="226"/>
      <c r="CP115" s="226"/>
      <c r="CQ115" s="226"/>
      <c r="CR115" s="226"/>
      <c r="CS115" s="226"/>
      <c r="CT115" s="226"/>
      <c r="CU115" s="226"/>
      <c r="CV115" s="226"/>
      <c r="CW115" s="226"/>
      <c r="CX115" s="226"/>
      <c r="CY115" s="226"/>
      <c r="CZ115" s="226"/>
      <c r="DA115" s="226"/>
      <c r="DB115" s="226"/>
      <c r="DC115" s="226"/>
      <c r="DD115" s="226"/>
      <c r="DE115" s="226"/>
      <c r="DF115" s="226"/>
      <c r="DG115" s="226"/>
      <c r="DH115" s="226"/>
      <c r="DI115" s="226"/>
      <c r="DJ115" s="226"/>
      <c r="DK115" s="226"/>
      <c r="DL115" s="226"/>
      <c r="DM115" s="226"/>
      <c r="DN115" s="226"/>
      <c r="DO115" s="226"/>
      <c r="DP115" s="226"/>
      <c r="DQ115" s="226"/>
      <c r="DR115" s="226"/>
      <c r="DS115" s="226"/>
      <c r="DT115" s="226"/>
      <c r="DU115" s="226"/>
      <c r="DV115" s="226"/>
      <c r="DW115" s="226"/>
      <c r="DX115" s="226"/>
      <c r="DY115" s="226"/>
      <c r="DZ115" s="226"/>
      <c r="EA115" s="226"/>
      <c r="EB115" s="226"/>
      <c r="EC115" s="226"/>
      <c r="ED115" s="226"/>
      <c r="EE115" s="226"/>
      <c r="EF115" s="226"/>
      <c r="EG115" s="226"/>
      <c r="EH115" s="226"/>
      <c r="EI115" s="226"/>
      <c r="EJ115" s="226"/>
      <c r="EK115" s="226"/>
      <c r="EL115" s="226"/>
      <c r="EM115" s="226"/>
      <c r="EN115" s="226"/>
      <c r="EO115" s="226"/>
      <c r="EP115" s="226"/>
      <c r="EQ115" s="226"/>
      <c r="ER115" s="226"/>
      <c r="ES115" s="226"/>
      <c r="ET115" s="226"/>
      <c r="EU115" s="226"/>
      <c r="EV115" s="226"/>
      <c r="EW115" s="226"/>
      <c r="EX115" s="226"/>
      <c r="EY115" s="226"/>
      <c r="EZ115" s="226"/>
      <c r="FA115" s="226"/>
      <c r="FB115" s="226"/>
      <c r="FC115" s="226"/>
      <c r="FD115" s="226"/>
      <c r="FE115" s="226"/>
      <c r="FF115" s="226"/>
      <c r="FG115" s="226"/>
      <c r="FH115" s="226"/>
      <c r="FI115" s="226"/>
      <c r="FJ115" s="226"/>
      <c r="FK115" s="226"/>
      <c r="FL115" s="226"/>
      <c r="FM115" s="226"/>
      <c r="FN115" s="226"/>
      <c r="FO115" s="226"/>
      <c r="FP115" s="226"/>
      <c r="FQ115" s="226"/>
      <c r="FR115" s="226"/>
      <c r="FS115" s="226"/>
      <c r="FT115" s="226"/>
      <c r="FU115" s="226"/>
      <c r="FV115" s="226"/>
      <c r="FW115" s="226"/>
      <c r="FX115" s="226"/>
      <c r="FY115" s="226"/>
      <c r="FZ115" s="226"/>
      <c r="GA115" s="226"/>
      <c r="GB115" s="226"/>
      <c r="GC115" s="226"/>
      <c r="GD115" s="226"/>
      <c r="GE115" s="226"/>
      <c r="GF115" s="226"/>
    </row>
    <row r="116" spans="1:188" s="225" customFormat="1" ht="15.95" customHeight="1">
      <c r="A116" s="898" t="e">
        <f>+#REF!</f>
        <v>#REF!</v>
      </c>
      <c r="B116" s="921" t="e">
        <f>+#REF!</f>
        <v>#REF!</v>
      </c>
      <c r="C116" s="844"/>
      <c r="D116" s="814"/>
      <c r="E116" s="864"/>
      <c r="F116" s="259"/>
      <c r="H116" s="265"/>
      <c r="I116" s="255"/>
      <c r="J116" s="226"/>
      <c r="K116" s="226"/>
      <c r="L116" s="226"/>
      <c r="M116" s="226"/>
      <c r="N116" s="226"/>
      <c r="O116" s="226"/>
      <c r="P116" s="226"/>
      <c r="Q116" s="226"/>
      <c r="R116" s="226"/>
      <c r="S116" s="226"/>
      <c r="T116" s="226"/>
      <c r="U116" s="226"/>
      <c r="V116" s="226"/>
      <c r="W116" s="226"/>
      <c r="X116" s="226"/>
      <c r="Y116" s="226"/>
      <c r="Z116" s="226"/>
      <c r="AA116" s="226"/>
      <c r="AB116" s="226"/>
      <c r="AC116" s="226"/>
      <c r="AD116" s="226"/>
      <c r="AE116" s="226"/>
      <c r="AF116" s="226"/>
      <c r="AG116" s="226"/>
      <c r="AH116" s="226"/>
      <c r="AI116" s="226"/>
      <c r="AJ116" s="226"/>
      <c r="AK116" s="226"/>
      <c r="AL116" s="226"/>
      <c r="AM116" s="226"/>
      <c r="AN116" s="226"/>
      <c r="AO116" s="226"/>
      <c r="AP116" s="226"/>
      <c r="AQ116" s="226"/>
      <c r="AR116" s="226"/>
      <c r="AS116" s="226"/>
      <c r="AT116" s="226"/>
      <c r="AU116" s="226"/>
      <c r="AV116" s="226"/>
      <c r="AW116" s="226"/>
      <c r="AX116" s="226"/>
      <c r="AY116" s="226"/>
      <c r="AZ116" s="226"/>
      <c r="BA116" s="226"/>
      <c r="BB116" s="226"/>
      <c r="BC116" s="226"/>
      <c r="BD116" s="226"/>
      <c r="BE116" s="226"/>
      <c r="BF116" s="226"/>
      <c r="BG116" s="226"/>
      <c r="BH116" s="226"/>
      <c r="BI116" s="226"/>
      <c r="BJ116" s="226"/>
      <c r="BK116" s="226"/>
      <c r="BL116" s="226"/>
      <c r="BM116" s="226"/>
      <c r="BN116" s="226"/>
      <c r="BO116" s="226"/>
      <c r="BP116" s="226"/>
      <c r="BQ116" s="226"/>
      <c r="BR116" s="226"/>
      <c r="BS116" s="226"/>
      <c r="BT116" s="226"/>
      <c r="BU116" s="226"/>
      <c r="BV116" s="226"/>
      <c r="BW116" s="226"/>
      <c r="BX116" s="226"/>
      <c r="BY116" s="226"/>
      <c r="BZ116" s="226"/>
      <c r="CA116" s="226"/>
      <c r="CB116" s="226"/>
      <c r="CC116" s="226"/>
      <c r="CD116" s="226"/>
      <c r="CE116" s="226"/>
      <c r="CF116" s="226"/>
      <c r="CG116" s="226"/>
      <c r="CH116" s="226"/>
      <c r="CI116" s="226"/>
      <c r="CJ116" s="226"/>
      <c r="CK116" s="226"/>
      <c r="CL116" s="226"/>
      <c r="CM116" s="226"/>
      <c r="CN116" s="226"/>
      <c r="CO116" s="226"/>
      <c r="CP116" s="226"/>
      <c r="CQ116" s="226"/>
      <c r="CR116" s="226"/>
      <c r="CS116" s="226"/>
      <c r="CT116" s="226"/>
      <c r="CU116" s="226"/>
      <c r="CV116" s="226"/>
      <c r="CW116" s="226"/>
      <c r="CX116" s="226"/>
      <c r="CY116" s="226"/>
      <c r="CZ116" s="226"/>
      <c r="DA116" s="226"/>
      <c r="DB116" s="226"/>
      <c r="DC116" s="226"/>
      <c r="DD116" s="226"/>
      <c r="DE116" s="226"/>
      <c r="DF116" s="226"/>
      <c r="DG116" s="226"/>
      <c r="DH116" s="226"/>
      <c r="DI116" s="226"/>
      <c r="DJ116" s="226"/>
      <c r="DK116" s="226"/>
      <c r="DL116" s="226"/>
      <c r="DM116" s="226"/>
      <c r="DN116" s="226"/>
      <c r="DO116" s="226"/>
      <c r="DP116" s="226"/>
      <c r="DQ116" s="226"/>
      <c r="DR116" s="226"/>
      <c r="DS116" s="226"/>
      <c r="DT116" s="226"/>
      <c r="DU116" s="226"/>
      <c r="DV116" s="226"/>
      <c r="DW116" s="226"/>
      <c r="DX116" s="226"/>
      <c r="DY116" s="226"/>
      <c r="DZ116" s="226"/>
      <c r="EA116" s="226"/>
      <c r="EB116" s="226"/>
      <c r="EC116" s="226"/>
      <c r="ED116" s="226"/>
      <c r="EE116" s="226"/>
      <c r="EF116" s="226"/>
      <c r="EG116" s="226"/>
      <c r="EH116" s="226"/>
      <c r="EI116" s="226"/>
      <c r="EJ116" s="226"/>
      <c r="EK116" s="226"/>
      <c r="EL116" s="226"/>
      <c r="EM116" s="226"/>
      <c r="EN116" s="226"/>
      <c r="EO116" s="226"/>
      <c r="EP116" s="226"/>
      <c r="EQ116" s="226"/>
      <c r="ER116" s="226"/>
      <c r="ES116" s="226"/>
      <c r="ET116" s="226"/>
      <c r="EU116" s="226"/>
      <c r="EV116" s="226"/>
      <c r="EW116" s="226"/>
      <c r="EX116" s="226"/>
      <c r="EY116" s="226"/>
      <c r="EZ116" s="226"/>
      <c r="FA116" s="226"/>
      <c r="FB116" s="226"/>
      <c r="FC116" s="226"/>
      <c r="FD116" s="226"/>
      <c r="FE116" s="226"/>
      <c r="FF116" s="226"/>
      <c r="FG116" s="226"/>
      <c r="FH116" s="226"/>
      <c r="FI116" s="226"/>
      <c r="FJ116" s="226"/>
      <c r="FK116" s="226"/>
      <c r="FL116" s="226"/>
      <c r="FM116" s="226"/>
      <c r="FN116" s="226"/>
      <c r="FO116" s="226"/>
      <c r="FP116" s="226"/>
      <c r="FQ116" s="226"/>
      <c r="FR116" s="226"/>
      <c r="FS116" s="226"/>
      <c r="FT116" s="226"/>
      <c r="FU116" s="226"/>
      <c r="FV116" s="226"/>
      <c r="FW116" s="226"/>
      <c r="FX116" s="226"/>
      <c r="FY116" s="226"/>
      <c r="FZ116" s="226"/>
      <c r="GA116" s="226"/>
      <c r="GB116" s="226"/>
      <c r="GC116" s="226"/>
      <c r="GD116" s="226"/>
      <c r="GE116" s="226"/>
      <c r="GF116" s="226"/>
    </row>
    <row r="117" spans="1:188" s="225" customFormat="1" ht="15.95" customHeight="1">
      <c r="A117" s="892" t="e">
        <f>+#REF!</f>
        <v>#REF!</v>
      </c>
      <c r="B117" s="893" t="e">
        <f>+#REF!</f>
        <v>#REF!</v>
      </c>
      <c r="C117" s="389" t="s">
        <v>1</v>
      </c>
      <c r="D117" s="859"/>
      <c r="E117" s="863"/>
      <c r="F117" s="259"/>
      <c r="G117" s="259">
        <f>E7</f>
        <v>304</v>
      </c>
      <c r="H117" s="265">
        <v>1.02</v>
      </c>
      <c r="I117" s="259">
        <f>G117*H117</f>
        <v>310.08</v>
      </c>
      <c r="J117" s="226"/>
      <c r="K117" s="226"/>
      <c r="L117" s="226"/>
      <c r="M117" s="226"/>
      <c r="N117" s="226"/>
      <c r="O117" s="226"/>
      <c r="P117" s="226"/>
      <c r="Q117" s="226"/>
      <c r="R117" s="226"/>
      <c r="S117" s="226"/>
      <c r="T117" s="226"/>
      <c r="U117" s="226"/>
      <c r="V117" s="226"/>
      <c r="W117" s="226"/>
      <c r="X117" s="226"/>
      <c r="Y117" s="226"/>
      <c r="Z117" s="226"/>
      <c r="AA117" s="226"/>
      <c r="AB117" s="226"/>
      <c r="AC117" s="226"/>
      <c r="AD117" s="226"/>
      <c r="AE117" s="226"/>
      <c r="AF117" s="226"/>
      <c r="AG117" s="226"/>
      <c r="AH117" s="226"/>
      <c r="AI117" s="226"/>
      <c r="AJ117" s="226"/>
      <c r="AK117" s="226"/>
      <c r="AL117" s="226"/>
      <c r="AM117" s="226"/>
      <c r="AN117" s="226"/>
      <c r="AO117" s="226"/>
      <c r="AP117" s="226"/>
      <c r="AQ117" s="226"/>
      <c r="AR117" s="226"/>
      <c r="AS117" s="226"/>
      <c r="AT117" s="226"/>
      <c r="AU117" s="226"/>
      <c r="AV117" s="226"/>
      <c r="AW117" s="226"/>
      <c r="AX117" s="226"/>
      <c r="AY117" s="226"/>
      <c r="AZ117" s="226"/>
      <c r="BA117" s="226"/>
      <c r="BB117" s="226"/>
      <c r="BC117" s="226"/>
      <c r="BD117" s="226"/>
      <c r="BE117" s="226"/>
      <c r="BF117" s="226"/>
      <c r="BG117" s="226"/>
      <c r="BH117" s="226"/>
      <c r="BI117" s="226"/>
      <c r="BJ117" s="226"/>
      <c r="BK117" s="226"/>
      <c r="BL117" s="226"/>
      <c r="BM117" s="226"/>
      <c r="BN117" s="226"/>
      <c r="BO117" s="226"/>
      <c r="BP117" s="226"/>
      <c r="BQ117" s="226"/>
      <c r="BR117" s="226"/>
      <c r="BS117" s="226"/>
      <c r="BT117" s="226"/>
      <c r="BU117" s="226"/>
      <c r="BV117" s="226"/>
      <c r="BW117" s="226"/>
      <c r="BX117" s="226"/>
      <c r="BY117" s="226"/>
      <c r="BZ117" s="226"/>
      <c r="CA117" s="226"/>
      <c r="CB117" s="226"/>
      <c r="CC117" s="226"/>
      <c r="CD117" s="226"/>
      <c r="CE117" s="226"/>
      <c r="CF117" s="226"/>
      <c r="CG117" s="226"/>
      <c r="CH117" s="226"/>
      <c r="CI117" s="226"/>
      <c r="CJ117" s="226"/>
      <c r="CK117" s="226"/>
      <c r="CL117" s="226"/>
      <c r="CM117" s="226"/>
      <c r="CN117" s="226"/>
      <c r="CO117" s="226"/>
      <c r="CP117" s="226"/>
      <c r="CQ117" s="226"/>
      <c r="CR117" s="226"/>
      <c r="CS117" s="226"/>
      <c r="CT117" s="226"/>
      <c r="CU117" s="226"/>
      <c r="CV117" s="226"/>
      <c r="CW117" s="226"/>
      <c r="CX117" s="226"/>
      <c r="CY117" s="226"/>
      <c r="CZ117" s="226"/>
      <c r="DA117" s="226"/>
      <c r="DB117" s="226"/>
      <c r="DC117" s="226"/>
      <c r="DD117" s="226"/>
      <c r="DE117" s="226"/>
      <c r="DF117" s="226"/>
      <c r="DG117" s="226"/>
      <c r="DH117" s="226"/>
      <c r="DI117" s="226"/>
      <c r="DJ117" s="226"/>
      <c r="DK117" s="226"/>
      <c r="DL117" s="226"/>
      <c r="DM117" s="226"/>
      <c r="DN117" s="226"/>
      <c r="DO117" s="226"/>
      <c r="DP117" s="226"/>
      <c r="DQ117" s="226"/>
      <c r="DR117" s="226"/>
      <c r="DS117" s="226"/>
      <c r="DT117" s="226"/>
      <c r="DU117" s="226"/>
      <c r="DV117" s="226"/>
      <c r="DW117" s="226"/>
      <c r="DX117" s="226"/>
      <c r="DY117" s="226"/>
      <c r="DZ117" s="226"/>
      <c r="EA117" s="226"/>
      <c r="EB117" s="226"/>
      <c r="EC117" s="226"/>
      <c r="ED117" s="226"/>
      <c r="EE117" s="226"/>
      <c r="EF117" s="226"/>
      <c r="EG117" s="226"/>
      <c r="EH117" s="226"/>
      <c r="EI117" s="226"/>
      <c r="EJ117" s="226"/>
      <c r="EK117" s="226"/>
      <c r="EL117" s="226"/>
      <c r="EM117" s="226"/>
      <c r="EN117" s="226"/>
      <c r="EO117" s="226"/>
      <c r="EP117" s="226"/>
      <c r="EQ117" s="226"/>
      <c r="ER117" s="226"/>
      <c r="ES117" s="226"/>
      <c r="ET117" s="226"/>
      <c r="EU117" s="226"/>
      <c r="EV117" s="226"/>
      <c r="EW117" s="226"/>
      <c r="EX117" s="226"/>
      <c r="EY117" s="226"/>
      <c r="EZ117" s="226"/>
      <c r="FA117" s="226"/>
      <c r="FB117" s="226"/>
      <c r="FC117" s="226"/>
      <c r="FD117" s="226"/>
      <c r="FE117" s="226"/>
      <c r="FF117" s="226"/>
      <c r="FG117" s="226"/>
      <c r="FH117" s="226"/>
      <c r="FI117" s="226"/>
      <c r="FJ117" s="226"/>
      <c r="FK117" s="226"/>
      <c r="FL117" s="226"/>
      <c r="FM117" s="226"/>
      <c r="FN117" s="226"/>
      <c r="FO117" s="226"/>
      <c r="FP117" s="226"/>
      <c r="FQ117" s="226"/>
      <c r="FR117" s="226"/>
      <c r="FS117" s="226"/>
      <c r="FT117" s="226"/>
      <c r="FU117" s="226"/>
      <c r="FV117" s="226"/>
      <c r="FW117" s="226"/>
      <c r="FX117" s="226"/>
      <c r="FY117" s="226"/>
      <c r="FZ117" s="226"/>
      <c r="GA117" s="226"/>
      <c r="GB117" s="226"/>
      <c r="GC117" s="226"/>
      <c r="GD117" s="226"/>
      <c r="GE117" s="226"/>
      <c r="GF117" s="226"/>
    </row>
    <row r="118" spans="1:188" s="225" customFormat="1" ht="15.95" customHeight="1">
      <c r="A118" s="892" t="e">
        <f>+#REF!</f>
        <v>#REF!</v>
      </c>
      <c r="B118" s="893" t="e">
        <f>+#REF!</f>
        <v>#REF!</v>
      </c>
      <c r="C118" s="389" t="s">
        <v>1</v>
      </c>
      <c r="D118" s="859"/>
      <c r="E118" s="863"/>
      <c r="F118" s="259"/>
      <c r="G118" s="259">
        <f>E3</f>
        <v>625</v>
      </c>
      <c r="H118" s="265">
        <v>1.02</v>
      </c>
      <c r="I118" s="259">
        <f>G118*H118</f>
        <v>637.5</v>
      </c>
      <c r="J118" s="226"/>
      <c r="K118" s="226">
        <f>+G115</f>
        <v>640</v>
      </c>
      <c r="L118" s="226"/>
      <c r="M118" s="226"/>
      <c r="N118" s="226"/>
      <c r="O118" s="226"/>
      <c r="P118" s="226"/>
      <c r="Q118" s="226"/>
      <c r="R118" s="226"/>
      <c r="S118" s="226"/>
      <c r="T118" s="226"/>
      <c r="U118" s="226"/>
      <c r="V118" s="226"/>
      <c r="W118" s="226"/>
      <c r="X118" s="226"/>
      <c r="Y118" s="226"/>
      <c r="Z118" s="226"/>
      <c r="AA118" s="226"/>
      <c r="AB118" s="226"/>
      <c r="AC118" s="226"/>
      <c r="AD118" s="226"/>
      <c r="AE118" s="226"/>
      <c r="AF118" s="226"/>
      <c r="AG118" s="226"/>
      <c r="AH118" s="226"/>
      <c r="AI118" s="226"/>
      <c r="AJ118" s="226"/>
      <c r="AK118" s="226"/>
      <c r="AL118" s="199"/>
      <c r="AM118" s="199"/>
      <c r="AN118" s="199"/>
      <c r="AO118" s="199"/>
      <c r="AP118" s="226"/>
      <c r="AQ118" s="226"/>
      <c r="AR118" s="226"/>
      <c r="AS118" s="226"/>
      <c r="AT118" s="226"/>
      <c r="AU118" s="226"/>
      <c r="AV118" s="226"/>
      <c r="AW118" s="226"/>
      <c r="AX118" s="226"/>
      <c r="AY118" s="226"/>
      <c r="AZ118" s="226"/>
      <c r="BA118" s="226"/>
      <c r="BB118" s="226"/>
      <c r="BC118" s="226"/>
      <c r="BD118" s="226"/>
      <c r="BE118" s="226"/>
      <c r="BF118" s="226"/>
      <c r="BG118" s="226"/>
      <c r="BH118" s="226"/>
      <c r="BI118" s="226"/>
      <c r="BJ118" s="226"/>
      <c r="BK118" s="226"/>
      <c r="BL118" s="226"/>
      <c r="BM118" s="226"/>
      <c r="BN118" s="226"/>
      <c r="BO118" s="226"/>
      <c r="BP118" s="226"/>
      <c r="BQ118" s="226"/>
      <c r="BR118" s="226"/>
      <c r="BS118" s="226"/>
      <c r="BT118" s="226"/>
      <c r="BU118" s="226"/>
      <c r="BV118" s="226"/>
      <c r="BW118" s="226"/>
      <c r="BX118" s="226"/>
      <c r="BY118" s="226"/>
      <c r="BZ118" s="226"/>
      <c r="CA118" s="226"/>
      <c r="CB118" s="226"/>
      <c r="CC118" s="226"/>
      <c r="CD118" s="226"/>
      <c r="CE118" s="226"/>
      <c r="CF118" s="226"/>
      <c r="CG118" s="226"/>
      <c r="CH118" s="226"/>
      <c r="CI118" s="226"/>
      <c r="CJ118" s="226"/>
      <c r="CK118" s="226"/>
      <c r="CL118" s="226"/>
      <c r="CM118" s="226"/>
      <c r="CN118" s="226"/>
      <c r="CO118" s="226"/>
      <c r="CP118" s="226"/>
      <c r="CQ118" s="226"/>
      <c r="CR118" s="226"/>
      <c r="CS118" s="226"/>
      <c r="CT118" s="226"/>
      <c r="CU118" s="226"/>
      <c r="CV118" s="226"/>
      <c r="CW118" s="226"/>
      <c r="CX118" s="226"/>
      <c r="CY118" s="226"/>
      <c r="CZ118" s="226"/>
      <c r="DA118" s="226"/>
      <c r="DB118" s="226"/>
      <c r="DC118" s="226"/>
      <c r="DD118" s="226"/>
      <c r="DE118" s="226"/>
      <c r="DF118" s="226"/>
      <c r="DG118" s="226"/>
      <c r="DH118" s="226"/>
      <c r="DI118" s="226"/>
      <c r="DJ118" s="226"/>
      <c r="DK118" s="226"/>
      <c r="DL118" s="226"/>
      <c r="DM118" s="226"/>
      <c r="DN118" s="226"/>
      <c r="DO118" s="226"/>
      <c r="DP118" s="226"/>
      <c r="DQ118" s="226"/>
      <c r="DR118" s="226"/>
      <c r="DS118" s="226"/>
      <c r="DT118" s="226"/>
      <c r="DU118" s="226"/>
      <c r="DV118" s="226"/>
      <c r="DW118" s="226"/>
      <c r="DX118" s="226"/>
      <c r="DY118" s="226"/>
      <c r="DZ118" s="226"/>
      <c r="EA118" s="226"/>
      <c r="EB118" s="226"/>
      <c r="EC118" s="226"/>
      <c r="ED118" s="226"/>
      <c r="EE118" s="226"/>
      <c r="EF118" s="226"/>
      <c r="EG118" s="226"/>
      <c r="EH118" s="226"/>
      <c r="EI118" s="226"/>
      <c r="EJ118" s="226"/>
      <c r="EK118" s="226"/>
      <c r="EL118" s="226"/>
      <c r="EM118" s="226"/>
      <c r="EN118" s="226"/>
      <c r="EO118" s="226"/>
      <c r="EP118" s="226"/>
      <c r="EQ118" s="226"/>
      <c r="ER118" s="226"/>
      <c r="ES118" s="226"/>
      <c r="ET118" s="226"/>
      <c r="EU118" s="226"/>
      <c r="EV118" s="226"/>
      <c r="EW118" s="226"/>
      <c r="EX118" s="226"/>
      <c r="EY118" s="226"/>
      <c r="EZ118" s="226"/>
      <c r="FA118" s="226"/>
      <c r="FB118" s="226"/>
      <c r="FC118" s="226"/>
      <c r="FD118" s="226"/>
      <c r="FE118" s="226"/>
      <c r="FF118" s="226"/>
      <c r="FG118" s="226"/>
      <c r="FH118" s="226"/>
      <c r="FI118" s="226"/>
      <c r="FJ118" s="226"/>
      <c r="FK118" s="226"/>
      <c r="FL118" s="226"/>
      <c r="FM118" s="226"/>
      <c r="FN118" s="226"/>
      <c r="FO118" s="226"/>
      <c r="FP118" s="226"/>
      <c r="FQ118" s="226"/>
      <c r="FR118" s="226"/>
      <c r="FS118" s="226"/>
      <c r="FT118" s="226"/>
      <c r="FU118" s="226"/>
      <c r="FV118" s="226"/>
      <c r="FW118" s="226"/>
      <c r="FX118" s="226"/>
      <c r="FY118" s="226"/>
      <c r="FZ118" s="226"/>
      <c r="GA118" s="226"/>
      <c r="GB118" s="226"/>
      <c r="GC118" s="226"/>
      <c r="GD118" s="226"/>
      <c r="GE118" s="226"/>
      <c r="GF118" s="226"/>
    </row>
    <row r="119" spans="1:188" s="198" customFormat="1" ht="15.95" customHeight="1">
      <c r="A119" s="880" t="e">
        <f>+#REF!</f>
        <v>#REF!</v>
      </c>
      <c r="B119" s="870" t="e">
        <f>+#REF!</f>
        <v>#REF!</v>
      </c>
      <c r="C119" s="390" t="s">
        <v>1</v>
      </c>
      <c r="D119" s="674"/>
      <c r="E119" s="857"/>
      <c r="F119" s="259"/>
      <c r="G119" s="259">
        <f>E4</f>
        <v>350</v>
      </c>
      <c r="H119" s="265">
        <f t="shared" ref="H119:H120" si="5">+H118</f>
        <v>1.02</v>
      </c>
      <c r="I119" s="259">
        <f>G119*H119</f>
        <v>357</v>
      </c>
      <c r="J119" s="226"/>
      <c r="K119" s="226">
        <f>+G116</f>
        <v>0</v>
      </c>
      <c r="L119" s="226"/>
      <c r="M119" s="226"/>
      <c r="N119" s="226"/>
      <c r="O119" s="226"/>
      <c r="P119" s="226"/>
      <c r="Q119" s="226"/>
      <c r="R119" s="226"/>
      <c r="S119" s="226"/>
      <c r="T119" s="226"/>
      <c r="U119" s="226"/>
      <c r="V119" s="226"/>
      <c r="W119" s="226"/>
      <c r="X119" s="226"/>
      <c r="Y119" s="226"/>
      <c r="Z119" s="226"/>
      <c r="AA119" s="226"/>
      <c r="AB119" s="226"/>
      <c r="AC119" s="226"/>
      <c r="AD119" s="226"/>
      <c r="AE119" s="226"/>
      <c r="AF119" s="226"/>
      <c r="AG119" s="226"/>
      <c r="AH119" s="226"/>
      <c r="AI119" s="226"/>
      <c r="AJ119" s="226"/>
      <c r="AK119" s="199"/>
      <c r="AL119" s="226"/>
      <c r="AM119" s="226"/>
      <c r="AN119" s="226"/>
      <c r="AO119" s="226"/>
      <c r="AP119" s="199"/>
      <c r="AQ119" s="199"/>
      <c r="AR119" s="199"/>
      <c r="AS119" s="199"/>
      <c r="AT119" s="199"/>
      <c r="AU119" s="199"/>
      <c r="AV119" s="199"/>
      <c r="AW119" s="199"/>
      <c r="AX119" s="199"/>
      <c r="AY119" s="199"/>
      <c r="AZ119" s="199"/>
      <c r="BA119" s="199"/>
      <c r="BB119" s="199"/>
      <c r="BC119" s="199"/>
      <c r="BD119" s="199"/>
      <c r="BE119" s="199"/>
      <c r="BF119" s="199"/>
      <c r="BG119" s="199"/>
      <c r="BH119" s="199"/>
      <c r="BI119" s="199"/>
      <c r="BJ119" s="199"/>
      <c r="BK119" s="199"/>
      <c r="BL119" s="199"/>
      <c r="BM119" s="199"/>
      <c r="BN119" s="199"/>
      <c r="BO119" s="199"/>
      <c r="BP119" s="199"/>
      <c r="BQ119" s="199"/>
      <c r="BR119" s="199"/>
      <c r="BS119" s="199"/>
      <c r="BT119" s="199"/>
      <c r="BU119" s="199"/>
      <c r="BV119" s="199"/>
      <c r="BW119" s="199"/>
      <c r="BX119" s="199"/>
      <c r="BY119" s="199"/>
      <c r="BZ119" s="199"/>
      <c r="CA119" s="199"/>
      <c r="CB119" s="199"/>
      <c r="CC119" s="199"/>
      <c r="CD119" s="199"/>
      <c r="CE119" s="199"/>
      <c r="CF119" s="199"/>
      <c r="CG119" s="199"/>
      <c r="CH119" s="199"/>
      <c r="CI119" s="199"/>
      <c r="CJ119" s="199"/>
      <c r="CK119" s="199"/>
      <c r="CL119" s="199"/>
      <c r="CM119" s="199"/>
      <c r="CN119" s="199"/>
      <c r="CO119" s="199"/>
      <c r="CP119" s="199"/>
      <c r="CQ119" s="199"/>
      <c r="CR119" s="199"/>
      <c r="CS119" s="199"/>
      <c r="CT119" s="199"/>
      <c r="CU119" s="199"/>
      <c r="CV119" s="199"/>
      <c r="CW119" s="199"/>
      <c r="CX119" s="199"/>
      <c r="CY119" s="199"/>
      <c r="CZ119" s="199"/>
      <c r="DA119" s="199"/>
      <c r="DB119" s="199"/>
      <c r="DC119" s="199"/>
      <c r="DD119" s="199"/>
      <c r="DE119" s="199"/>
      <c r="DF119" s="199"/>
      <c r="DG119" s="199"/>
      <c r="DH119" s="199"/>
      <c r="DI119" s="199"/>
      <c r="DJ119" s="199"/>
      <c r="DK119" s="199"/>
      <c r="DL119" s="199"/>
      <c r="DM119" s="199"/>
      <c r="DN119" s="199"/>
      <c r="DO119" s="199"/>
      <c r="DP119" s="199"/>
      <c r="DQ119" s="199"/>
      <c r="DR119" s="199"/>
      <c r="DS119" s="199"/>
      <c r="DT119" s="199"/>
      <c r="DU119" s="199"/>
      <c r="DV119" s="199"/>
      <c r="DW119" s="199"/>
      <c r="DX119" s="199"/>
      <c r="DY119" s="199"/>
      <c r="DZ119" s="199"/>
      <c r="EA119" s="199"/>
      <c r="EB119" s="199"/>
      <c r="EC119" s="199"/>
      <c r="ED119" s="199"/>
      <c r="EE119" s="199"/>
      <c r="EF119" s="199"/>
      <c r="EG119" s="199"/>
      <c r="EH119" s="199"/>
      <c r="EI119" s="199"/>
      <c r="EJ119" s="199"/>
      <c r="EK119" s="199"/>
      <c r="EL119" s="199"/>
      <c r="EM119" s="199"/>
      <c r="EN119" s="199"/>
      <c r="EO119" s="199"/>
      <c r="EP119" s="199"/>
      <c r="EQ119" s="199"/>
      <c r="ER119" s="199"/>
      <c r="ES119" s="199"/>
      <c r="ET119" s="199"/>
      <c r="EU119" s="199"/>
      <c r="EV119" s="199"/>
      <c r="EW119" s="199"/>
      <c r="EX119" s="199"/>
      <c r="EY119" s="199"/>
      <c r="EZ119" s="199"/>
      <c r="FA119" s="199"/>
      <c r="FB119" s="199"/>
      <c r="FC119" s="199"/>
      <c r="FD119" s="199"/>
      <c r="FE119" s="199"/>
      <c r="FF119" s="199"/>
      <c r="FG119" s="199"/>
      <c r="FH119" s="199"/>
      <c r="FI119" s="199"/>
      <c r="FJ119" s="199"/>
      <c r="FK119" s="199"/>
      <c r="FL119" s="199"/>
      <c r="FM119" s="199"/>
      <c r="FN119" s="199"/>
      <c r="FO119" s="199"/>
      <c r="FP119" s="199"/>
      <c r="FQ119" s="199"/>
      <c r="FR119" s="199"/>
      <c r="FS119" s="199"/>
      <c r="FT119" s="199"/>
      <c r="FU119" s="199"/>
      <c r="FV119" s="199"/>
      <c r="FW119" s="199"/>
      <c r="FX119" s="199"/>
      <c r="FY119" s="199"/>
      <c r="FZ119" s="199"/>
      <c r="GA119" s="199"/>
      <c r="GB119" s="199"/>
      <c r="GC119" s="199"/>
      <c r="GD119" s="199"/>
      <c r="GE119" s="199"/>
      <c r="GF119" s="199"/>
    </row>
    <row r="120" spans="1:188" s="225" customFormat="1" ht="15.95" customHeight="1">
      <c r="A120" s="969" t="e">
        <f>+#REF!</f>
        <v>#REF!</v>
      </c>
      <c r="B120" s="970" t="e">
        <f>+#REF!</f>
        <v>#REF!</v>
      </c>
      <c r="C120" s="55" t="s">
        <v>1</v>
      </c>
      <c r="D120" s="971"/>
      <c r="E120" s="972"/>
      <c r="F120" s="259"/>
      <c r="G120" s="259">
        <f>+E5</f>
        <v>470</v>
      </c>
      <c r="H120" s="265">
        <f t="shared" si="5"/>
        <v>1.02</v>
      </c>
      <c r="I120" s="259">
        <f>G120*H120</f>
        <v>479.40000000000003</v>
      </c>
      <c r="J120" s="226"/>
      <c r="K120" s="226"/>
      <c r="L120" s="226"/>
      <c r="M120" s="226"/>
      <c r="N120" s="226"/>
      <c r="O120" s="226"/>
      <c r="P120" s="199"/>
      <c r="Q120" s="199"/>
      <c r="R120" s="199"/>
      <c r="S120" s="199"/>
      <c r="T120" s="199"/>
      <c r="U120" s="199"/>
      <c r="V120" s="199"/>
      <c r="W120" s="199"/>
      <c r="X120" s="199"/>
      <c r="Y120" s="199"/>
      <c r="Z120" s="199"/>
      <c r="AA120" s="199"/>
      <c r="AB120" s="199"/>
      <c r="AC120" s="199"/>
      <c r="AD120" s="199"/>
      <c r="AE120" s="199"/>
      <c r="AF120" s="199"/>
      <c r="AG120" s="199"/>
      <c r="AH120" s="199"/>
      <c r="AI120" s="226"/>
      <c r="AJ120" s="226"/>
      <c r="AK120" s="226"/>
      <c r="AL120" s="226"/>
      <c r="AM120" s="226"/>
      <c r="AN120" s="226"/>
      <c r="AO120" s="226"/>
      <c r="AP120" s="226"/>
      <c r="AQ120" s="226"/>
      <c r="AR120" s="226"/>
      <c r="AS120" s="226"/>
      <c r="AT120" s="226"/>
      <c r="AU120" s="226"/>
      <c r="AV120" s="226"/>
      <c r="AW120" s="226"/>
      <c r="AX120" s="226"/>
      <c r="AY120" s="226"/>
      <c r="AZ120" s="226"/>
      <c r="BA120" s="226"/>
      <c r="BB120" s="226"/>
      <c r="BC120" s="226"/>
      <c r="BD120" s="226"/>
      <c r="BE120" s="226"/>
      <c r="BF120" s="226"/>
      <c r="BG120" s="226"/>
      <c r="BH120" s="226"/>
      <c r="BI120" s="226"/>
      <c r="BJ120" s="226"/>
      <c r="BK120" s="226"/>
      <c r="BL120" s="226"/>
      <c r="BM120" s="226"/>
      <c r="BN120" s="226"/>
      <c r="BO120" s="226"/>
      <c r="BP120" s="226"/>
      <c r="BQ120" s="226"/>
      <c r="BR120" s="226"/>
      <c r="BS120" s="226"/>
      <c r="BT120" s="226"/>
      <c r="BU120" s="226"/>
      <c r="BV120" s="226"/>
      <c r="BW120" s="226"/>
      <c r="BX120" s="226"/>
      <c r="BY120" s="226"/>
      <c r="BZ120" s="226"/>
      <c r="CA120" s="226"/>
      <c r="CB120" s="226"/>
      <c r="CC120" s="226"/>
      <c r="CD120" s="226"/>
      <c r="CE120" s="226"/>
      <c r="CF120" s="226"/>
      <c r="CG120" s="226"/>
      <c r="CH120" s="226"/>
      <c r="CI120" s="226"/>
      <c r="CJ120" s="226"/>
      <c r="CK120" s="226"/>
      <c r="CL120" s="226"/>
      <c r="CM120" s="226"/>
      <c r="CN120" s="226"/>
      <c r="CO120" s="226"/>
      <c r="CP120" s="226"/>
      <c r="CQ120" s="226"/>
      <c r="CR120" s="226"/>
      <c r="CS120" s="226"/>
      <c r="CT120" s="226"/>
      <c r="CU120" s="226"/>
      <c r="CV120" s="226"/>
      <c r="CW120" s="226"/>
      <c r="CX120" s="226"/>
      <c r="CY120" s="226"/>
      <c r="CZ120" s="226"/>
      <c r="DA120" s="226"/>
      <c r="DB120" s="226"/>
      <c r="DC120" s="226"/>
      <c r="DD120" s="226"/>
      <c r="DE120" s="226"/>
      <c r="DF120" s="226"/>
      <c r="DG120" s="226"/>
      <c r="DH120" s="226"/>
      <c r="DI120" s="226"/>
      <c r="DJ120" s="226"/>
      <c r="DK120" s="226"/>
      <c r="DL120" s="226"/>
      <c r="DM120" s="226"/>
      <c r="DN120" s="226"/>
      <c r="DO120" s="226"/>
      <c r="DP120" s="226"/>
      <c r="DQ120" s="226"/>
      <c r="DR120" s="226"/>
      <c r="DS120" s="226"/>
      <c r="DT120" s="226"/>
      <c r="DU120" s="226"/>
      <c r="DV120" s="226"/>
      <c r="DW120" s="226"/>
      <c r="DX120" s="226"/>
      <c r="DY120" s="226"/>
      <c r="DZ120" s="226"/>
      <c r="EA120" s="226"/>
      <c r="EB120" s="226"/>
      <c r="EC120" s="226"/>
      <c r="ED120" s="226"/>
      <c r="EE120" s="226"/>
      <c r="EF120" s="226"/>
      <c r="EG120" s="226"/>
      <c r="EH120" s="226"/>
      <c r="EI120" s="226"/>
      <c r="EJ120" s="226"/>
      <c r="EK120" s="226"/>
      <c r="EL120" s="226"/>
      <c r="EM120" s="226"/>
      <c r="EN120" s="226"/>
      <c r="EO120" s="226"/>
      <c r="EP120" s="226"/>
      <c r="EQ120" s="226"/>
      <c r="ER120" s="226"/>
      <c r="ES120" s="226"/>
      <c r="ET120" s="226"/>
      <c r="EU120" s="226"/>
      <c r="EV120" s="226"/>
      <c r="EW120" s="226"/>
      <c r="EX120" s="226"/>
      <c r="EY120" s="226"/>
      <c r="EZ120" s="226"/>
      <c r="FA120" s="226"/>
      <c r="FB120" s="226"/>
      <c r="FC120" s="226"/>
      <c r="FD120" s="226"/>
      <c r="FE120" s="226"/>
      <c r="FF120" s="226"/>
      <c r="FG120" s="226"/>
      <c r="FH120" s="226"/>
      <c r="FI120" s="226"/>
      <c r="FJ120" s="226"/>
      <c r="FK120" s="226"/>
      <c r="FL120" s="226"/>
      <c r="FM120" s="226"/>
      <c r="FN120" s="226"/>
      <c r="FO120" s="226"/>
      <c r="FP120" s="226"/>
      <c r="FQ120" s="226"/>
      <c r="FR120" s="226"/>
      <c r="FS120" s="226"/>
      <c r="FT120" s="226"/>
      <c r="FU120" s="226"/>
      <c r="FV120" s="226"/>
      <c r="FW120" s="226"/>
      <c r="FX120" s="226"/>
      <c r="FY120" s="226"/>
      <c r="FZ120" s="226"/>
      <c r="GA120" s="226"/>
      <c r="GB120" s="226"/>
      <c r="GC120" s="226"/>
      <c r="GD120" s="226"/>
      <c r="GE120" s="226"/>
      <c r="GF120" s="226"/>
    </row>
    <row r="121" spans="1:188" s="225" customFormat="1" ht="15.95" customHeight="1">
      <c r="A121" s="879" t="e">
        <f>+#REF!</f>
        <v>#REF!</v>
      </c>
      <c r="B121" s="868" t="e">
        <f>+#REF!</f>
        <v>#REF!</v>
      </c>
      <c r="C121" s="837"/>
      <c r="D121" s="858"/>
      <c r="E121" s="856"/>
      <c r="F121" s="259"/>
      <c r="G121" s="259"/>
      <c r="H121" s="265"/>
      <c r="I121" s="259"/>
      <c r="J121" s="199"/>
      <c r="K121" s="199"/>
      <c r="L121" s="199"/>
      <c r="M121" s="199"/>
      <c r="N121" s="199"/>
      <c r="O121" s="199"/>
      <c r="P121" s="226"/>
      <c r="Q121" s="226"/>
      <c r="R121" s="226"/>
      <c r="S121" s="226"/>
      <c r="T121" s="226"/>
      <c r="U121" s="226"/>
      <c r="V121" s="226"/>
      <c r="W121" s="226"/>
      <c r="X121" s="226"/>
      <c r="Y121" s="226"/>
      <c r="Z121" s="226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  <c r="AY121" s="226"/>
      <c r="AZ121" s="226"/>
      <c r="BA121" s="226"/>
      <c r="BB121" s="226"/>
      <c r="BC121" s="226"/>
      <c r="BD121" s="226"/>
      <c r="BE121" s="226"/>
      <c r="BF121" s="226"/>
      <c r="BG121" s="226"/>
      <c r="BH121" s="226"/>
      <c r="BI121" s="226"/>
      <c r="BJ121" s="226"/>
      <c r="BK121" s="226"/>
      <c r="BL121" s="226"/>
      <c r="BM121" s="226"/>
      <c r="BN121" s="226"/>
      <c r="BO121" s="226"/>
      <c r="BP121" s="226"/>
      <c r="BQ121" s="226"/>
      <c r="BR121" s="226"/>
      <c r="BS121" s="226"/>
      <c r="BT121" s="226"/>
      <c r="BU121" s="226"/>
      <c r="BV121" s="226"/>
      <c r="BW121" s="226"/>
      <c r="BX121" s="226"/>
      <c r="BY121" s="226"/>
      <c r="BZ121" s="226"/>
      <c r="CA121" s="226"/>
      <c r="CB121" s="226"/>
      <c r="CC121" s="226"/>
      <c r="CD121" s="226"/>
      <c r="CE121" s="226"/>
      <c r="CF121" s="226"/>
      <c r="CG121" s="226"/>
      <c r="CH121" s="226"/>
      <c r="CI121" s="226"/>
      <c r="CJ121" s="226"/>
      <c r="CK121" s="226"/>
      <c r="CL121" s="226"/>
      <c r="CM121" s="226"/>
      <c r="CN121" s="226"/>
      <c r="CO121" s="226"/>
      <c r="CP121" s="226"/>
      <c r="CQ121" s="226"/>
      <c r="CR121" s="226"/>
      <c r="CS121" s="226"/>
      <c r="CT121" s="226"/>
      <c r="CU121" s="226"/>
      <c r="CV121" s="226"/>
      <c r="CW121" s="226"/>
      <c r="CX121" s="226"/>
      <c r="CY121" s="226"/>
      <c r="CZ121" s="226"/>
      <c r="DA121" s="226"/>
      <c r="DB121" s="226"/>
      <c r="DC121" s="226"/>
      <c r="DD121" s="226"/>
      <c r="DE121" s="226"/>
      <c r="DF121" s="226"/>
      <c r="DG121" s="226"/>
      <c r="DH121" s="226"/>
      <c r="DI121" s="226"/>
      <c r="DJ121" s="226"/>
      <c r="DK121" s="226"/>
      <c r="DL121" s="226"/>
      <c r="DM121" s="226"/>
      <c r="DN121" s="226"/>
      <c r="DO121" s="226"/>
      <c r="DP121" s="226"/>
      <c r="DQ121" s="226"/>
      <c r="DR121" s="226"/>
      <c r="DS121" s="226"/>
      <c r="DT121" s="226"/>
      <c r="DU121" s="226"/>
      <c r="DV121" s="226"/>
      <c r="DW121" s="226"/>
      <c r="DX121" s="226"/>
      <c r="DY121" s="226"/>
      <c r="DZ121" s="226"/>
      <c r="EA121" s="226"/>
      <c r="EB121" s="226"/>
      <c r="EC121" s="226"/>
      <c r="ED121" s="226"/>
      <c r="EE121" s="226"/>
      <c r="EF121" s="226"/>
      <c r="EG121" s="226"/>
      <c r="EH121" s="226"/>
      <c r="EI121" s="226"/>
      <c r="EJ121" s="226"/>
      <c r="EK121" s="226"/>
      <c r="EL121" s="226"/>
      <c r="EM121" s="226"/>
      <c r="EN121" s="226"/>
      <c r="EO121" s="226"/>
      <c r="EP121" s="226"/>
      <c r="EQ121" s="226"/>
      <c r="ER121" s="226"/>
      <c r="ES121" s="226"/>
      <c r="ET121" s="226"/>
      <c r="EU121" s="226"/>
      <c r="EV121" s="226"/>
      <c r="EW121" s="226"/>
      <c r="EX121" s="226"/>
      <c r="EY121" s="226"/>
      <c r="EZ121" s="226"/>
      <c r="FA121" s="226"/>
      <c r="FB121" s="226"/>
      <c r="FC121" s="226"/>
      <c r="FD121" s="226"/>
      <c r="FE121" s="226"/>
      <c r="FF121" s="226"/>
      <c r="FG121" s="226"/>
      <c r="FH121" s="226"/>
      <c r="FI121" s="226"/>
      <c r="FJ121" s="226"/>
      <c r="FK121" s="226"/>
      <c r="FL121" s="226"/>
      <c r="FM121" s="226"/>
      <c r="FN121" s="226"/>
      <c r="FO121" s="226"/>
      <c r="FP121" s="226"/>
      <c r="FQ121" s="226"/>
      <c r="FR121" s="226"/>
      <c r="FS121" s="226"/>
      <c r="FT121" s="226"/>
      <c r="FU121" s="226"/>
      <c r="FV121" s="226"/>
      <c r="FW121" s="226"/>
      <c r="FX121" s="226"/>
      <c r="FY121" s="226"/>
      <c r="FZ121" s="226"/>
      <c r="GA121" s="226"/>
      <c r="GB121" s="226"/>
      <c r="GC121" s="226"/>
      <c r="GD121" s="226"/>
      <c r="GE121" s="226"/>
      <c r="GF121" s="226"/>
    </row>
    <row r="122" spans="1:188" s="225" customFormat="1" ht="15.95" customHeight="1">
      <c r="A122" s="899"/>
      <c r="B122" s="886"/>
      <c r="C122" s="390" t="s">
        <v>27</v>
      </c>
      <c r="D122" s="860"/>
      <c r="E122" s="857"/>
      <c r="F122" s="259"/>
      <c r="G122" s="259"/>
      <c r="H122" s="265"/>
      <c r="I122" s="259"/>
      <c r="J122" s="226"/>
      <c r="K122" s="226"/>
      <c r="L122" s="226"/>
      <c r="M122" s="226"/>
      <c r="N122" s="226"/>
      <c r="O122" s="226"/>
      <c r="P122" s="226"/>
      <c r="Q122" s="226"/>
      <c r="R122" s="226"/>
      <c r="S122" s="226"/>
      <c r="T122" s="226"/>
      <c r="U122" s="226"/>
      <c r="V122" s="226"/>
      <c r="W122" s="226"/>
      <c r="X122" s="226"/>
      <c r="Y122" s="226"/>
      <c r="Z122" s="226"/>
      <c r="AA122" s="226"/>
      <c r="AB122" s="226"/>
      <c r="AC122" s="226"/>
      <c r="AD122" s="226"/>
      <c r="AE122" s="226"/>
      <c r="AF122" s="226"/>
      <c r="AG122" s="226"/>
      <c r="AH122" s="226"/>
      <c r="AI122" s="226"/>
      <c r="AJ122" s="226"/>
      <c r="AK122" s="226"/>
      <c r="AL122" s="226"/>
      <c r="AM122" s="226"/>
      <c r="AN122" s="226"/>
      <c r="AO122" s="226"/>
      <c r="AP122" s="226"/>
      <c r="AQ122" s="226"/>
      <c r="AR122" s="226"/>
      <c r="AS122" s="226"/>
      <c r="AT122" s="226"/>
      <c r="AU122" s="226"/>
      <c r="AV122" s="226"/>
      <c r="AW122" s="226"/>
      <c r="AX122" s="226"/>
      <c r="AY122" s="226"/>
      <c r="AZ122" s="226"/>
      <c r="BA122" s="226"/>
      <c r="BB122" s="226"/>
      <c r="BC122" s="226"/>
      <c r="BD122" s="226"/>
      <c r="BE122" s="226"/>
      <c r="BF122" s="226"/>
      <c r="BG122" s="226"/>
      <c r="BH122" s="226"/>
      <c r="BI122" s="226"/>
      <c r="BJ122" s="226"/>
      <c r="BK122" s="226"/>
      <c r="BL122" s="226"/>
      <c r="BM122" s="226"/>
      <c r="BN122" s="226"/>
      <c r="BO122" s="226"/>
      <c r="BP122" s="226"/>
      <c r="BQ122" s="226"/>
      <c r="BR122" s="226"/>
      <c r="BS122" s="226"/>
      <c r="BT122" s="226"/>
      <c r="BU122" s="226"/>
      <c r="BV122" s="226"/>
      <c r="BW122" s="226"/>
      <c r="BX122" s="226"/>
      <c r="BY122" s="226"/>
      <c r="BZ122" s="226"/>
      <c r="CA122" s="226"/>
      <c r="CB122" s="226"/>
      <c r="CC122" s="226"/>
      <c r="CD122" s="226"/>
      <c r="CE122" s="226"/>
      <c r="CF122" s="226"/>
      <c r="CG122" s="226"/>
      <c r="CH122" s="226"/>
      <c r="CI122" s="226"/>
      <c r="CJ122" s="226"/>
      <c r="CK122" s="226"/>
      <c r="CL122" s="226"/>
      <c r="CM122" s="226"/>
      <c r="CN122" s="226"/>
      <c r="CO122" s="226"/>
      <c r="CP122" s="226"/>
      <c r="CQ122" s="226"/>
      <c r="CR122" s="226"/>
      <c r="CS122" s="226"/>
      <c r="CT122" s="226"/>
      <c r="CU122" s="226"/>
      <c r="CV122" s="226"/>
      <c r="CW122" s="226"/>
      <c r="CX122" s="226"/>
      <c r="CY122" s="226"/>
      <c r="CZ122" s="226"/>
      <c r="DA122" s="226"/>
      <c r="DB122" s="226"/>
      <c r="DC122" s="226"/>
      <c r="DD122" s="226"/>
      <c r="DE122" s="226"/>
      <c r="DF122" s="226"/>
      <c r="DG122" s="226"/>
      <c r="DH122" s="226"/>
      <c r="DI122" s="226"/>
      <c r="DJ122" s="226"/>
      <c r="DK122" s="226"/>
      <c r="DL122" s="226"/>
      <c r="DM122" s="226"/>
      <c r="DN122" s="226"/>
      <c r="DO122" s="226"/>
      <c r="DP122" s="226"/>
      <c r="DQ122" s="226"/>
      <c r="DR122" s="226"/>
      <c r="DS122" s="226"/>
      <c r="DT122" s="226"/>
      <c r="DU122" s="226"/>
      <c r="DV122" s="226"/>
      <c r="DW122" s="226"/>
      <c r="DX122" s="226"/>
      <c r="DY122" s="226"/>
      <c r="DZ122" s="226"/>
      <c r="EA122" s="226"/>
      <c r="EB122" s="226"/>
      <c r="EC122" s="226"/>
      <c r="ED122" s="226"/>
      <c r="EE122" s="226"/>
      <c r="EF122" s="226"/>
      <c r="EG122" s="226"/>
      <c r="EH122" s="226"/>
      <c r="EI122" s="226"/>
      <c r="EJ122" s="226"/>
      <c r="EK122" s="226"/>
      <c r="EL122" s="226"/>
      <c r="EM122" s="226"/>
      <c r="EN122" s="226"/>
      <c r="EO122" s="226"/>
      <c r="EP122" s="226"/>
      <c r="EQ122" s="226"/>
      <c r="ER122" s="226"/>
      <c r="ES122" s="226"/>
      <c r="ET122" s="226"/>
      <c r="EU122" s="226"/>
      <c r="EV122" s="226"/>
      <c r="EW122" s="226"/>
      <c r="EX122" s="226"/>
      <c r="EY122" s="226"/>
      <c r="EZ122" s="226"/>
      <c r="FA122" s="226"/>
      <c r="FB122" s="226"/>
      <c r="FC122" s="226"/>
      <c r="FD122" s="226"/>
      <c r="FE122" s="226"/>
      <c r="FF122" s="226"/>
      <c r="FG122" s="226"/>
      <c r="FH122" s="226"/>
      <c r="FI122" s="226"/>
      <c r="FJ122" s="226"/>
      <c r="FK122" s="226"/>
      <c r="FL122" s="226"/>
      <c r="FM122" s="226"/>
      <c r="FN122" s="226"/>
      <c r="FO122" s="226"/>
      <c r="FP122" s="226"/>
      <c r="FQ122" s="226"/>
      <c r="FR122" s="226"/>
      <c r="FS122" s="226"/>
      <c r="FT122" s="226"/>
      <c r="FU122" s="226"/>
      <c r="FV122" s="226"/>
      <c r="FW122" s="226"/>
      <c r="FX122" s="226"/>
      <c r="FY122" s="226"/>
      <c r="FZ122" s="226"/>
      <c r="GA122" s="226"/>
      <c r="GB122" s="226"/>
      <c r="GC122" s="226"/>
      <c r="GD122" s="226"/>
      <c r="GE122" s="226"/>
      <c r="GF122" s="226"/>
    </row>
    <row r="123" spans="1:188" s="225" customFormat="1" ht="15.95" customHeight="1">
      <c r="A123" s="879" t="e">
        <f>+#REF!</f>
        <v>#REF!</v>
      </c>
      <c r="B123" s="868" t="e">
        <f>+#REF!</f>
        <v>#REF!</v>
      </c>
      <c r="C123" s="837"/>
      <c r="D123" s="858"/>
      <c r="E123" s="856"/>
      <c r="F123" s="259"/>
      <c r="J123" s="226"/>
      <c r="K123" s="226"/>
      <c r="L123" s="226"/>
      <c r="M123" s="226"/>
      <c r="N123" s="226"/>
      <c r="O123" s="226"/>
      <c r="P123" s="226"/>
      <c r="Q123" s="226"/>
      <c r="R123" s="226"/>
      <c r="S123" s="226"/>
      <c r="T123" s="226"/>
      <c r="U123" s="226"/>
      <c r="V123" s="226"/>
      <c r="W123" s="226"/>
      <c r="X123" s="226"/>
      <c r="Y123" s="226"/>
      <c r="Z123" s="226"/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  <c r="AY123" s="226"/>
      <c r="AZ123" s="226"/>
      <c r="BA123" s="226"/>
      <c r="BB123" s="226"/>
      <c r="BC123" s="226"/>
      <c r="BD123" s="226"/>
      <c r="BE123" s="226"/>
      <c r="BF123" s="226"/>
      <c r="BG123" s="226"/>
      <c r="BH123" s="226"/>
      <c r="BI123" s="226"/>
      <c r="BJ123" s="226"/>
      <c r="BK123" s="226"/>
      <c r="BL123" s="226"/>
      <c r="BM123" s="226"/>
      <c r="BN123" s="226"/>
      <c r="BO123" s="226"/>
      <c r="BP123" s="226"/>
      <c r="BQ123" s="226"/>
      <c r="BR123" s="226"/>
      <c r="BS123" s="226"/>
      <c r="BT123" s="226"/>
      <c r="BU123" s="226"/>
      <c r="BV123" s="226"/>
      <c r="BW123" s="226"/>
      <c r="BX123" s="226"/>
      <c r="BY123" s="226"/>
      <c r="BZ123" s="226"/>
      <c r="CA123" s="226"/>
      <c r="CB123" s="226"/>
      <c r="CC123" s="226"/>
      <c r="CD123" s="226"/>
      <c r="CE123" s="226"/>
      <c r="CF123" s="226"/>
      <c r="CG123" s="226"/>
      <c r="CH123" s="226"/>
      <c r="CI123" s="226"/>
      <c r="CJ123" s="226"/>
      <c r="CK123" s="226"/>
      <c r="CL123" s="226"/>
      <c r="CM123" s="226"/>
      <c r="CN123" s="226"/>
      <c r="CO123" s="226"/>
      <c r="CP123" s="226"/>
      <c r="CQ123" s="226"/>
      <c r="CR123" s="226"/>
      <c r="CS123" s="226"/>
      <c r="CT123" s="226"/>
      <c r="CU123" s="226"/>
      <c r="CV123" s="226"/>
      <c r="CW123" s="226"/>
      <c r="CX123" s="226"/>
      <c r="CY123" s="226"/>
      <c r="CZ123" s="226"/>
      <c r="DA123" s="226"/>
      <c r="DB123" s="226"/>
      <c r="DC123" s="226"/>
      <c r="DD123" s="226"/>
      <c r="DE123" s="226"/>
      <c r="DF123" s="226"/>
      <c r="DG123" s="226"/>
      <c r="DH123" s="226"/>
      <c r="DI123" s="226"/>
      <c r="DJ123" s="226"/>
      <c r="DK123" s="226"/>
      <c r="DL123" s="226"/>
      <c r="DM123" s="226"/>
      <c r="DN123" s="226"/>
      <c r="DO123" s="226"/>
      <c r="DP123" s="226"/>
      <c r="DQ123" s="226"/>
      <c r="DR123" s="226"/>
      <c r="DS123" s="226"/>
      <c r="DT123" s="226"/>
      <c r="DU123" s="226"/>
      <c r="DV123" s="226"/>
      <c r="DW123" s="226"/>
      <c r="DX123" s="226"/>
      <c r="DY123" s="226"/>
      <c r="DZ123" s="226"/>
      <c r="EA123" s="226"/>
      <c r="EB123" s="226"/>
      <c r="EC123" s="226"/>
      <c r="ED123" s="226"/>
      <c r="EE123" s="226"/>
      <c r="EF123" s="226"/>
      <c r="EG123" s="226"/>
      <c r="EH123" s="226"/>
      <c r="EI123" s="226"/>
      <c r="EJ123" s="226"/>
      <c r="EK123" s="226"/>
      <c r="EL123" s="226"/>
      <c r="EM123" s="226"/>
      <c r="EN123" s="226"/>
      <c r="EO123" s="226"/>
      <c r="EP123" s="226"/>
      <c r="EQ123" s="226"/>
      <c r="ER123" s="226"/>
      <c r="ES123" s="226"/>
      <c r="ET123" s="226"/>
      <c r="EU123" s="226"/>
      <c r="EV123" s="226"/>
      <c r="EW123" s="226"/>
      <c r="EX123" s="226"/>
      <c r="EY123" s="226"/>
      <c r="EZ123" s="226"/>
      <c r="FA123" s="226"/>
      <c r="FB123" s="226"/>
      <c r="FC123" s="226"/>
      <c r="FD123" s="226"/>
      <c r="FE123" s="226"/>
      <c r="FF123" s="226"/>
      <c r="FG123" s="226"/>
      <c r="FH123" s="226"/>
      <c r="FI123" s="226"/>
      <c r="FJ123" s="226"/>
      <c r="FK123" s="226"/>
      <c r="FL123" s="226"/>
      <c r="FM123" s="226"/>
      <c r="FN123" s="226"/>
      <c r="FO123" s="226"/>
      <c r="FP123" s="226"/>
      <c r="FQ123" s="226"/>
      <c r="FR123" s="226"/>
      <c r="FS123" s="226"/>
      <c r="FT123" s="226"/>
      <c r="FU123" s="226"/>
      <c r="FV123" s="226"/>
      <c r="FW123" s="226"/>
      <c r="FX123" s="226"/>
      <c r="FY123" s="226"/>
      <c r="FZ123" s="226"/>
      <c r="GA123" s="226"/>
      <c r="GB123" s="226"/>
      <c r="GC123" s="226"/>
      <c r="GD123" s="226"/>
      <c r="GE123" s="226"/>
      <c r="GF123" s="226"/>
    </row>
    <row r="124" spans="1:188" s="225" customFormat="1" ht="15.95" customHeight="1">
      <c r="A124" s="900" t="e">
        <f>+#REF!</f>
        <v>#REF!</v>
      </c>
      <c r="B124" s="901" t="e">
        <f>+#REF!</f>
        <v>#REF!</v>
      </c>
      <c r="C124" s="389" t="s">
        <v>1</v>
      </c>
      <c r="D124" s="859"/>
      <c r="E124" s="863"/>
      <c r="F124" s="259"/>
      <c r="G124" s="259">
        <f>SUM(G117:G120)/50+10</f>
        <v>44.98</v>
      </c>
      <c r="H124" s="265">
        <v>1.1000000000000001</v>
      </c>
      <c r="I124" s="259">
        <f>G124*H124</f>
        <v>49.478000000000002</v>
      </c>
      <c r="J124" s="226"/>
      <c r="K124" s="226"/>
      <c r="L124" s="226"/>
      <c r="M124" s="226"/>
      <c r="N124" s="226"/>
      <c r="O124" s="226"/>
      <c r="P124" s="226"/>
      <c r="Q124" s="226"/>
      <c r="R124" s="226"/>
      <c r="S124" s="226"/>
      <c r="T124" s="226"/>
      <c r="U124" s="226"/>
      <c r="V124" s="226"/>
      <c r="W124" s="226"/>
      <c r="X124" s="226"/>
      <c r="Y124" s="226"/>
      <c r="Z124" s="226"/>
      <c r="AA124" s="226"/>
      <c r="AB124" s="226"/>
      <c r="AC124" s="226"/>
      <c r="AD124" s="226"/>
      <c r="AE124" s="226"/>
      <c r="AF124" s="226"/>
      <c r="AG124" s="226"/>
      <c r="AH124" s="226"/>
      <c r="AI124" s="226"/>
      <c r="AJ124" s="226"/>
      <c r="AK124" s="226"/>
      <c r="AL124" s="226"/>
      <c r="AM124" s="226"/>
      <c r="AN124" s="226"/>
      <c r="AO124" s="226"/>
      <c r="AP124" s="226"/>
      <c r="AQ124" s="226"/>
      <c r="AR124" s="226"/>
      <c r="AS124" s="226"/>
      <c r="AT124" s="226"/>
      <c r="AU124" s="226"/>
      <c r="AV124" s="226"/>
      <c r="AW124" s="226"/>
      <c r="AX124" s="226"/>
      <c r="AY124" s="226"/>
      <c r="AZ124" s="226"/>
      <c r="BA124" s="226"/>
      <c r="BB124" s="226"/>
      <c r="BC124" s="226"/>
      <c r="BD124" s="226"/>
      <c r="BE124" s="226"/>
      <c r="BF124" s="226"/>
      <c r="BG124" s="226"/>
      <c r="BH124" s="226"/>
      <c r="BI124" s="226"/>
      <c r="BJ124" s="226"/>
      <c r="BK124" s="226"/>
      <c r="BL124" s="226"/>
      <c r="BM124" s="226"/>
      <c r="BN124" s="226"/>
      <c r="BO124" s="226"/>
      <c r="BP124" s="226"/>
      <c r="BQ124" s="226"/>
      <c r="BR124" s="226"/>
      <c r="BS124" s="226"/>
      <c r="BT124" s="226"/>
      <c r="BU124" s="226"/>
      <c r="BV124" s="226"/>
      <c r="BW124" s="226"/>
      <c r="BX124" s="226"/>
      <c r="BY124" s="226"/>
      <c r="BZ124" s="226"/>
      <c r="CA124" s="226"/>
      <c r="CB124" s="226"/>
      <c r="CC124" s="226"/>
      <c r="CD124" s="226"/>
      <c r="CE124" s="226"/>
      <c r="CF124" s="226"/>
      <c r="CG124" s="226"/>
      <c r="CH124" s="226"/>
      <c r="CI124" s="226"/>
      <c r="CJ124" s="226"/>
      <c r="CK124" s="226"/>
      <c r="CL124" s="226"/>
      <c r="CM124" s="226"/>
      <c r="CN124" s="226"/>
      <c r="CO124" s="226"/>
      <c r="CP124" s="226"/>
      <c r="CQ124" s="226"/>
      <c r="CR124" s="226"/>
      <c r="CS124" s="226"/>
      <c r="CT124" s="226"/>
      <c r="CU124" s="226"/>
      <c r="CV124" s="226"/>
      <c r="CW124" s="226"/>
      <c r="CX124" s="226"/>
      <c r="CY124" s="226"/>
      <c r="CZ124" s="226"/>
      <c r="DA124" s="226"/>
      <c r="DB124" s="226"/>
      <c r="DC124" s="226"/>
      <c r="DD124" s="226"/>
      <c r="DE124" s="226"/>
      <c r="DF124" s="226"/>
      <c r="DG124" s="226"/>
      <c r="DH124" s="226"/>
      <c r="DI124" s="226"/>
      <c r="DJ124" s="226"/>
      <c r="DK124" s="226"/>
      <c r="DL124" s="226"/>
      <c r="DM124" s="226"/>
      <c r="DN124" s="226"/>
      <c r="DO124" s="226"/>
      <c r="DP124" s="226"/>
      <c r="DQ124" s="226"/>
      <c r="DR124" s="226"/>
      <c r="DS124" s="226"/>
      <c r="DT124" s="226"/>
      <c r="DU124" s="226"/>
      <c r="DV124" s="226"/>
      <c r="DW124" s="226"/>
      <c r="DX124" s="226"/>
      <c r="DY124" s="226"/>
      <c r="DZ124" s="226"/>
      <c r="EA124" s="226"/>
      <c r="EB124" s="226"/>
      <c r="EC124" s="226"/>
      <c r="ED124" s="226"/>
      <c r="EE124" s="226"/>
      <c r="EF124" s="226"/>
      <c r="EG124" s="226"/>
      <c r="EH124" s="226"/>
      <c r="EI124" s="226"/>
      <c r="EJ124" s="226"/>
      <c r="EK124" s="226"/>
      <c r="EL124" s="226"/>
      <c r="EM124" s="226"/>
      <c r="EN124" s="226"/>
      <c r="EO124" s="226"/>
      <c r="EP124" s="226"/>
      <c r="EQ124" s="226"/>
      <c r="ER124" s="226"/>
      <c r="ES124" s="226"/>
      <c r="ET124" s="226"/>
      <c r="EU124" s="226"/>
      <c r="EV124" s="226"/>
      <c r="EW124" s="226"/>
      <c r="EX124" s="226"/>
      <c r="EY124" s="226"/>
      <c r="EZ124" s="226"/>
      <c r="FA124" s="226"/>
      <c r="FB124" s="226"/>
      <c r="FC124" s="226"/>
      <c r="FD124" s="226"/>
      <c r="FE124" s="226"/>
      <c r="FF124" s="226"/>
      <c r="FG124" s="226"/>
      <c r="FH124" s="226"/>
      <c r="FI124" s="226"/>
      <c r="FJ124" s="226"/>
      <c r="FK124" s="226"/>
      <c r="FL124" s="226"/>
      <c r="FM124" s="226"/>
      <c r="FN124" s="226"/>
      <c r="FO124" s="226"/>
      <c r="FP124" s="226"/>
      <c r="FQ124" s="226"/>
      <c r="FR124" s="226"/>
      <c r="FS124" s="226"/>
      <c r="FT124" s="226"/>
      <c r="FU124" s="226"/>
      <c r="FV124" s="226"/>
      <c r="FW124" s="226"/>
      <c r="FX124" s="226"/>
      <c r="FY124" s="226"/>
      <c r="FZ124" s="226"/>
      <c r="GA124" s="226"/>
      <c r="GB124" s="226"/>
      <c r="GC124" s="226"/>
      <c r="GD124" s="226"/>
      <c r="GE124" s="226"/>
      <c r="GF124" s="226"/>
    </row>
    <row r="125" spans="1:188" s="225" customFormat="1" ht="15.95" customHeight="1">
      <c r="A125" s="902" t="e">
        <f>+#REF!</f>
        <v>#REF!</v>
      </c>
      <c r="B125" s="903" t="e">
        <f>+#REF!</f>
        <v>#REF!</v>
      </c>
      <c r="C125" s="390" t="s">
        <v>27</v>
      </c>
      <c r="D125" s="674"/>
      <c r="E125" s="857"/>
      <c r="F125" s="259"/>
      <c r="G125" s="259">
        <f>SUM(G114:G115)/12</f>
        <v>133.33333333333334</v>
      </c>
      <c r="H125" s="265">
        <v>1.1000000000000001</v>
      </c>
      <c r="I125" s="259">
        <f>G125*H125</f>
        <v>146.66666666666669</v>
      </c>
      <c r="J125" s="226"/>
      <c r="K125" s="226"/>
      <c r="L125" s="226"/>
      <c r="M125" s="226"/>
      <c r="N125" s="226"/>
      <c r="O125" s="226"/>
      <c r="P125" s="226"/>
      <c r="Q125" s="226"/>
      <c r="R125" s="226"/>
      <c r="S125" s="226"/>
      <c r="T125" s="226"/>
      <c r="U125" s="226"/>
      <c r="V125" s="226"/>
      <c r="W125" s="226"/>
      <c r="X125" s="226"/>
      <c r="Y125" s="226"/>
      <c r="Z125" s="226"/>
      <c r="AA125" s="226"/>
      <c r="AB125" s="226"/>
      <c r="AC125" s="226"/>
      <c r="AD125" s="226"/>
      <c r="AE125" s="226"/>
      <c r="AF125" s="226"/>
      <c r="AG125" s="226"/>
      <c r="AH125" s="226"/>
      <c r="AI125" s="226"/>
      <c r="AJ125" s="226"/>
      <c r="AK125" s="226"/>
      <c r="AL125" s="226"/>
      <c r="AM125" s="226"/>
      <c r="AN125" s="226"/>
      <c r="AO125" s="226"/>
      <c r="AP125" s="226"/>
      <c r="AQ125" s="226"/>
      <c r="AR125" s="226"/>
      <c r="AS125" s="226"/>
      <c r="AT125" s="226"/>
      <c r="AU125" s="226"/>
      <c r="AV125" s="226"/>
      <c r="AW125" s="226"/>
      <c r="AX125" s="226"/>
      <c r="AY125" s="226"/>
      <c r="AZ125" s="226"/>
      <c r="BA125" s="226"/>
      <c r="BB125" s="226"/>
      <c r="BC125" s="226"/>
      <c r="BD125" s="226"/>
      <c r="BE125" s="226"/>
      <c r="BF125" s="226"/>
      <c r="BG125" s="226"/>
      <c r="BH125" s="226"/>
      <c r="BI125" s="226"/>
      <c r="BJ125" s="226"/>
      <c r="BK125" s="226"/>
      <c r="BL125" s="226"/>
      <c r="BM125" s="226"/>
      <c r="BN125" s="226"/>
      <c r="BO125" s="226"/>
      <c r="BP125" s="226"/>
      <c r="BQ125" s="226"/>
      <c r="BR125" s="226"/>
      <c r="BS125" s="226"/>
      <c r="BT125" s="226"/>
      <c r="BU125" s="226"/>
      <c r="BV125" s="226"/>
      <c r="BW125" s="226"/>
      <c r="BX125" s="226"/>
      <c r="BY125" s="226"/>
      <c r="BZ125" s="226"/>
      <c r="CA125" s="226"/>
      <c r="CB125" s="226"/>
      <c r="CC125" s="226"/>
      <c r="CD125" s="226"/>
      <c r="CE125" s="226"/>
      <c r="CF125" s="226"/>
      <c r="CG125" s="226"/>
      <c r="CH125" s="226"/>
      <c r="CI125" s="226"/>
      <c r="CJ125" s="226"/>
      <c r="CK125" s="226"/>
      <c r="CL125" s="226"/>
      <c r="CM125" s="226"/>
      <c r="CN125" s="226"/>
      <c r="CO125" s="226"/>
      <c r="CP125" s="226"/>
      <c r="CQ125" s="226"/>
      <c r="CR125" s="226"/>
      <c r="CS125" s="226"/>
      <c r="CT125" s="226"/>
      <c r="CU125" s="226"/>
      <c r="CV125" s="226"/>
      <c r="CW125" s="226"/>
      <c r="CX125" s="226"/>
      <c r="CY125" s="226"/>
      <c r="CZ125" s="226"/>
      <c r="DA125" s="226"/>
      <c r="DB125" s="226"/>
      <c r="DC125" s="226"/>
      <c r="DD125" s="226"/>
      <c r="DE125" s="226"/>
      <c r="DF125" s="226"/>
      <c r="DG125" s="226"/>
      <c r="DH125" s="226"/>
      <c r="DI125" s="226"/>
      <c r="DJ125" s="226"/>
      <c r="DK125" s="226"/>
      <c r="DL125" s="226"/>
      <c r="DM125" s="226"/>
      <c r="DN125" s="226"/>
      <c r="DO125" s="226"/>
      <c r="DP125" s="226"/>
      <c r="DQ125" s="226"/>
      <c r="DR125" s="226"/>
      <c r="DS125" s="226"/>
      <c r="DT125" s="226"/>
      <c r="DU125" s="226"/>
      <c r="DV125" s="226"/>
      <c r="DW125" s="226"/>
      <c r="DX125" s="226"/>
      <c r="DY125" s="226"/>
      <c r="DZ125" s="226"/>
      <c r="EA125" s="226"/>
      <c r="EB125" s="226"/>
      <c r="EC125" s="226"/>
      <c r="ED125" s="226"/>
      <c r="EE125" s="226"/>
      <c r="EF125" s="226"/>
      <c r="EG125" s="226"/>
      <c r="EH125" s="226"/>
      <c r="EI125" s="226"/>
      <c r="EJ125" s="226"/>
      <c r="EK125" s="226"/>
      <c r="EL125" s="226"/>
      <c r="EM125" s="226"/>
      <c r="EN125" s="226"/>
      <c r="EO125" s="226"/>
      <c r="EP125" s="226"/>
      <c r="EQ125" s="226"/>
      <c r="ER125" s="226"/>
      <c r="ES125" s="226"/>
      <c r="ET125" s="226"/>
      <c r="EU125" s="226"/>
      <c r="EV125" s="226"/>
      <c r="EW125" s="226"/>
      <c r="EX125" s="226"/>
      <c r="EY125" s="226"/>
      <c r="EZ125" s="226"/>
      <c r="FA125" s="226"/>
      <c r="FB125" s="226"/>
      <c r="FC125" s="226"/>
      <c r="FD125" s="226"/>
      <c r="FE125" s="226"/>
      <c r="FF125" s="226"/>
      <c r="FG125" s="226"/>
      <c r="FH125" s="226"/>
      <c r="FI125" s="226"/>
      <c r="FJ125" s="226"/>
      <c r="FK125" s="226"/>
      <c r="FL125" s="226"/>
      <c r="FM125" s="226"/>
      <c r="FN125" s="226"/>
      <c r="FO125" s="226"/>
      <c r="FP125" s="226"/>
      <c r="FQ125" s="226"/>
      <c r="FR125" s="226"/>
      <c r="FS125" s="226"/>
      <c r="FT125" s="226"/>
      <c r="FU125" s="226"/>
      <c r="FV125" s="226"/>
      <c r="FW125" s="226"/>
      <c r="FX125" s="226"/>
      <c r="FY125" s="226"/>
      <c r="FZ125" s="226"/>
      <c r="GA125" s="226"/>
      <c r="GB125" s="226"/>
      <c r="GC125" s="226"/>
      <c r="GD125" s="226"/>
      <c r="GE125" s="226"/>
      <c r="GF125" s="226"/>
    </row>
    <row r="126" spans="1:188" s="129" customFormat="1" ht="20.100000000000001" customHeight="1">
      <c r="A126" s="1957" t="e">
        <f>+#REF!</f>
        <v>#REF!</v>
      </c>
      <c r="B126" s="1958"/>
      <c r="C126" s="1958"/>
      <c r="D126" s="1958"/>
      <c r="E126" s="1959"/>
      <c r="F126" s="255"/>
    </row>
    <row r="127" spans="1:188" s="129" customFormat="1" ht="15.95" customHeight="1">
      <c r="A127" s="875" t="e">
        <f>+#REF!</f>
        <v>#REF!</v>
      </c>
      <c r="B127" s="865" t="e">
        <f>+#REF!</f>
        <v>#REF!</v>
      </c>
      <c r="C127" s="845"/>
      <c r="D127" s="858"/>
      <c r="E127" s="856"/>
      <c r="F127" s="255"/>
    </row>
    <row r="128" spans="1:188" s="129" customFormat="1" ht="15.95" customHeight="1">
      <c r="A128" s="892" t="e">
        <f>+#REF!</f>
        <v>#REF!</v>
      </c>
      <c r="B128" s="893" t="e">
        <f>+#REF!</f>
        <v>#REF!</v>
      </c>
      <c r="C128" s="537" t="s">
        <v>27</v>
      </c>
      <c r="D128" s="859"/>
      <c r="E128" s="863"/>
      <c r="F128" s="255"/>
      <c r="G128" s="255">
        <f>2*E13/25</f>
        <v>105.28</v>
      </c>
      <c r="H128" s="262">
        <v>1.05</v>
      </c>
      <c r="I128" s="255">
        <f>ROUND(G128*H128,0)</f>
        <v>111</v>
      </c>
    </row>
    <row r="129" spans="1:47" s="129" customFormat="1" ht="15.95" customHeight="1">
      <c r="A129" s="879" t="e">
        <f>+#REF!</f>
        <v>#REF!</v>
      </c>
      <c r="B129" s="868" t="e">
        <f>+#REF!</f>
        <v>#REF!</v>
      </c>
      <c r="C129" s="846"/>
      <c r="D129" s="858"/>
      <c r="E129" s="858"/>
      <c r="F129" s="255"/>
      <c r="G129" s="255"/>
      <c r="H129" s="262"/>
      <c r="I129" s="255"/>
    </row>
    <row r="130" spans="1:47" s="129" customFormat="1" ht="15.95" customHeight="1">
      <c r="A130" s="888" t="e">
        <f>+#REF!</f>
        <v>#REF!</v>
      </c>
      <c r="B130" s="889" t="e">
        <f>+#REF!</f>
        <v>#REF!</v>
      </c>
      <c r="C130" s="387" t="s">
        <v>27</v>
      </c>
      <c r="D130" s="859"/>
      <c r="E130" s="859"/>
      <c r="F130" s="255"/>
      <c r="G130" s="255"/>
      <c r="H130" s="262"/>
      <c r="I130" s="255"/>
    </row>
    <row r="131" spans="1:47" s="129" customFormat="1" ht="15.95" customHeight="1">
      <c r="A131" s="890" t="e">
        <f>+#REF!</f>
        <v>#REF!</v>
      </c>
      <c r="B131" s="884" t="e">
        <f>+#REF!</f>
        <v>#REF!</v>
      </c>
      <c r="C131" s="489" t="s">
        <v>27</v>
      </c>
      <c r="D131" s="674"/>
      <c r="E131" s="674"/>
      <c r="F131" s="255"/>
      <c r="G131" s="255"/>
      <c r="H131" s="262"/>
      <c r="I131" s="255"/>
    </row>
    <row r="132" spans="1:47" s="129" customFormat="1" ht="15.95" customHeight="1">
      <c r="A132" s="879" t="e">
        <f>+#REF!</f>
        <v>#REF!</v>
      </c>
      <c r="B132" s="868" t="e">
        <f>+#REF!</f>
        <v>#REF!</v>
      </c>
      <c r="C132" s="846"/>
      <c r="D132" s="858"/>
      <c r="E132" s="858"/>
      <c r="F132" s="255"/>
      <c r="G132" s="255"/>
      <c r="H132" s="262"/>
      <c r="I132" s="255"/>
    </row>
    <row r="133" spans="1:47" s="129" customFormat="1" ht="20.100000000000001" customHeight="1">
      <c r="A133" s="906"/>
      <c r="B133" s="884"/>
      <c r="C133" s="840" t="s">
        <v>95</v>
      </c>
      <c r="D133" s="860"/>
      <c r="E133" s="860"/>
      <c r="F133" s="255"/>
      <c r="G133" s="255">
        <f>300</f>
        <v>300</v>
      </c>
      <c r="H133" s="262">
        <v>1.05</v>
      </c>
      <c r="I133" s="255">
        <f>G133*H133</f>
        <v>315</v>
      </c>
    </row>
    <row r="136" spans="1:47" s="129" customFormat="1">
      <c r="A136" s="832"/>
      <c r="B136" s="142"/>
      <c r="C136" s="541"/>
      <c r="D136" s="255"/>
      <c r="E136" s="255"/>
      <c r="F136" s="255">
        <v>6297720903.5422144</v>
      </c>
      <c r="G136" s="255"/>
      <c r="H136" s="262"/>
      <c r="I136" s="255"/>
    </row>
    <row r="137" spans="1:47" s="129" customFormat="1">
      <c r="A137" s="832"/>
      <c r="B137" s="142"/>
      <c r="C137" s="541"/>
      <c r="D137" s="255"/>
      <c r="E137" s="255"/>
      <c r="F137" s="255"/>
      <c r="G137" s="255"/>
      <c r="H137" s="262"/>
      <c r="I137" s="255">
        <f>18500*17</f>
        <v>314500</v>
      </c>
    </row>
    <row r="140" spans="1:47" s="129" customFormat="1">
      <c r="A140" s="832"/>
      <c r="B140" s="142"/>
      <c r="C140" s="541"/>
      <c r="D140" s="255"/>
      <c r="E140" s="255"/>
      <c r="F140" s="255"/>
      <c r="G140" s="255"/>
      <c r="H140" s="262"/>
      <c r="I140" s="255"/>
      <c r="AU140" s="129">
        <v>46200</v>
      </c>
    </row>
    <row r="141" spans="1:47" s="129" customFormat="1">
      <c r="A141" s="832"/>
      <c r="B141" s="142"/>
      <c r="C141" s="541"/>
      <c r="D141" s="255"/>
      <c r="E141" s="255"/>
      <c r="F141" s="255"/>
      <c r="G141" s="255"/>
      <c r="H141" s="262"/>
      <c r="I141" s="255"/>
    </row>
    <row r="142" spans="1:47" s="129" customFormat="1">
      <c r="A142" s="832"/>
      <c r="B142" s="142"/>
      <c r="C142" s="541"/>
      <c r="D142" s="255"/>
      <c r="E142" s="255"/>
      <c r="F142" s="255"/>
      <c r="G142" s="255"/>
      <c r="H142" s="262"/>
      <c r="I142" s="255"/>
    </row>
    <row r="144" spans="1:47" s="129" customFormat="1" ht="15.75">
      <c r="A144" s="468"/>
      <c r="B144" s="142"/>
      <c r="C144" s="541"/>
      <c r="D144" s="609"/>
      <c r="E144" s="853"/>
      <c r="F144" s="255"/>
      <c r="G144" s="255"/>
      <c r="H144" s="262"/>
      <c r="I144" s="255"/>
    </row>
    <row r="145" spans="1:188" s="129" customFormat="1" ht="26.25">
      <c r="A145" s="832"/>
      <c r="B145" s="1859"/>
      <c r="C145" s="1859"/>
      <c r="D145" s="1859"/>
      <c r="E145" s="1859"/>
      <c r="F145" s="255"/>
      <c r="G145" s="255"/>
      <c r="H145" s="262"/>
      <c r="I145" s="255"/>
    </row>
    <row r="158" spans="1:188" s="255" customFormat="1">
      <c r="A158" s="832"/>
      <c r="B158" s="142"/>
      <c r="C158" s="541"/>
      <c r="D158" s="255">
        <f>18500*17</f>
        <v>314500</v>
      </c>
      <c r="H158" s="262"/>
      <c r="J158" s="129"/>
      <c r="K158" s="129"/>
      <c r="L158" s="129"/>
      <c r="M158" s="129"/>
      <c r="N158" s="129"/>
      <c r="O158" s="129"/>
      <c r="P158" s="129"/>
      <c r="Q158" s="129"/>
      <c r="R158" s="129"/>
      <c r="S158" s="129"/>
      <c r="T158" s="129"/>
      <c r="U158" s="129"/>
      <c r="V158" s="129"/>
      <c r="W158" s="129"/>
      <c r="X158" s="129"/>
      <c r="Y158" s="129"/>
      <c r="Z158" s="129"/>
      <c r="AA158" s="129"/>
      <c r="AB158" s="129"/>
      <c r="AC158" s="129"/>
      <c r="AD158" s="129"/>
      <c r="AE158" s="129"/>
      <c r="AF158" s="129"/>
      <c r="AG158" s="129"/>
      <c r="AH158" s="129"/>
      <c r="AI158" s="129"/>
      <c r="AJ158" s="129"/>
      <c r="AK158" s="129"/>
      <c r="AL158" s="129"/>
      <c r="AM158" s="129"/>
      <c r="AN158" s="129"/>
      <c r="AO158" s="129"/>
      <c r="AP158" s="129"/>
      <c r="AQ158" s="129"/>
      <c r="AR158" s="129"/>
      <c r="AS158" s="129"/>
      <c r="AT158" s="129"/>
      <c r="AU158" s="129"/>
      <c r="AV158" s="129"/>
      <c r="AW158" s="129"/>
      <c r="AX158" s="129"/>
      <c r="AY158" s="129"/>
      <c r="AZ158" s="129"/>
      <c r="BA158" s="129"/>
      <c r="BB158" s="129"/>
      <c r="BC158" s="129"/>
      <c r="BD158" s="129"/>
      <c r="BE158" s="129"/>
      <c r="BF158" s="129"/>
      <c r="BG158" s="129"/>
      <c r="BH158" s="129"/>
      <c r="BI158" s="129"/>
      <c r="BJ158" s="129"/>
      <c r="BK158" s="129"/>
      <c r="BL158" s="129"/>
      <c r="BM158" s="129"/>
      <c r="BN158" s="129"/>
      <c r="BO158" s="129"/>
      <c r="BP158" s="129"/>
      <c r="BQ158" s="129"/>
      <c r="BR158" s="129"/>
      <c r="BS158" s="129"/>
      <c r="BT158" s="129"/>
      <c r="BU158" s="129"/>
      <c r="BV158" s="129"/>
      <c r="BW158" s="129"/>
      <c r="BX158" s="129"/>
      <c r="BY158" s="129"/>
      <c r="BZ158" s="129"/>
      <c r="CA158" s="129"/>
      <c r="CB158" s="129"/>
      <c r="CC158" s="129"/>
      <c r="CD158" s="129"/>
      <c r="CE158" s="129"/>
      <c r="CF158" s="129"/>
      <c r="CG158" s="129"/>
      <c r="CH158" s="129"/>
      <c r="CI158" s="129"/>
      <c r="CJ158" s="129"/>
      <c r="CK158" s="129"/>
      <c r="CL158" s="129"/>
      <c r="CM158" s="129"/>
      <c r="CN158" s="129"/>
      <c r="CO158" s="129"/>
      <c r="CP158" s="129"/>
      <c r="CQ158" s="129"/>
      <c r="CR158" s="129"/>
      <c r="CS158" s="129"/>
      <c r="CT158" s="129"/>
      <c r="CU158" s="129"/>
      <c r="CV158" s="129"/>
      <c r="CW158" s="129"/>
      <c r="CX158" s="129"/>
      <c r="CY158" s="129"/>
      <c r="CZ158" s="129"/>
      <c r="DA158" s="129"/>
      <c r="DB158" s="129"/>
      <c r="DC158" s="129"/>
      <c r="DD158" s="129"/>
      <c r="DE158" s="129"/>
      <c r="DF158" s="129"/>
      <c r="DG158" s="129"/>
      <c r="DH158" s="129"/>
      <c r="DI158" s="129"/>
      <c r="DJ158" s="129"/>
      <c r="DK158" s="129"/>
      <c r="DL158" s="129"/>
      <c r="DM158" s="129"/>
      <c r="DN158" s="129"/>
      <c r="DO158" s="129"/>
      <c r="DP158" s="129"/>
      <c r="DQ158" s="129"/>
      <c r="DR158" s="129"/>
      <c r="DS158" s="129"/>
      <c r="DT158" s="129"/>
      <c r="DU158" s="129"/>
      <c r="DV158" s="129"/>
      <c r="DW158" s="129"/>
      <c r="DX158" s="129"/>
      <c r="DY158" s="129"/>
      <c r="DZ158" s="129"/>
      <c r="EA158" s="129"/>
      <c r="EB158" s="129"/>
      <c r="EC158" s="129"/>
      <c r="ED158" s="129"/>
      <c r="EE158" s="129"/>
      <c r="EF158" s="129"/>
      <c r="EG158" s="129"/>
      <c r="EH158" s="129"/>
      <c r="EI158" s="129"/>
      <c r="EJ158" s="129"/>
      <c r="EK158" s="129"/>
      <c r="EL158" s="129"/>
      <c r="EM158" s="129"/>
      <c r="EN158" s="129"/>
      <c r="EO158" s="129"/>
      <c r="EP158" s="129"/>
      <c r="EQ158" s="129"/>
      <c r="ER158" s="129"/>
      <c r="ES158" s="129"/>
      <c r="ET158" s="129"/>
      <c r="EU158" s="129"/>
      <c r="EV158" s="129"/>
      <c r="EW158" s="129"/>
      <c r="EX158" s="129"/>
      <c r="EY158" s="129"/>
      <c r="EZ158" s="129"/>
      <c r="FA158" s="129"/>
      <c r="FB158" s="129"/>
      <c r="FC158" s="129"/>
      <c r="FD158" s="129"/>
      <c r="FE158" s="129"/>
      <c r="FF158" s="129"/>
      <c r="FG158" s="129"/>
      <c r="FH158" s="129"/>
      <c r="FI158" s="129"/>
      <c r="FJ158" s="129"/>
      <c r="FK158" s="129"/>
      <c r="FL158" s="129"/>
      <c r="FM158" s="129"/>
      <c r="FN158" s="129"/>
      <c r="FO158" s="129"/>
      <c r="FP158" s="129"/>
      <c r="FQ158" s="129"/>
      <c r="FR158" s="129"/>
      <c r="FS158" s="129"/>
      <c r="FT158" s="129"/>
      <c r="FU158" s="129"/>
      <c r="FV158" s="129"/>
      <c r="FW158" s="129"/>
      <c r="FX158" s="129"/>
      <c r="FY158" s="129"/>
      <c r="FZ158" s="129"/>
      <c r="GA158" s="129"/>
      <c r="GB158" s="129"/>
      <c r="GC158" s="129"/>
      <c r="GD158" s="129"/>
      <c r="GE158" s="129"/>
      <c r="GF158" s="129"/>
    </row>
  </sheetData>
  <mergeCells count="11">
    <mergeCell ref="A55:E55"/>
    <mergeCell ref="A62:E62"/>
    <mergeCell ref="A92:E92"/>
    <mergeCell ref="A126:E126"/>
    <mergeCell ref="B145:E145"/>
    <mergeCell ref="A34:E34"/>
    <mergeCell ref="A1:E1"/>
    <mergeCell ref="A2:E2"/>
    <mergeCell ref="A14:B14"/>
    <mergeCell ref="C14:E14"/>
    <mergeCell ref="A16:E16"/>
  </mergeCells>
  <pageMargins left="0.70866141732283472" right="0.51181102362204722" top="0.74803149606299213" bottom="0.74803149606299213" header="0.31496062992125984" footer="0.31496062992125984"/>
  <pageSetup paperSize="9" scale="95" orientation="landscape" r:id="rId1"/>
  <headerFooter>
    <oddHeader>Page &amp;P de &amp;N</oddHeader>
    <oddFooter>&amp;A</oddFooter>
  </headerFooter>
  <rowBreaks count="4" manualBreakCount="4">
    <brk id="31" max="5" man="1"/>
    <brk id="57" max="5" man="1"/>
    <brk id="86" max="5" man="1"/>
    <brk id="112" max="5" man="1"/>
  </rowBreaks>
  <colBreaks count="1" manualBreakCount="1">
    <brk id="5" max="1048575" man="1"/>
  </col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rgb="FFFFFF00"/>
  </sheetPr>
  <dimension ref="A1:GG172"/>
  <sheetViews>
    <sheetView topLeftCell="A98" workbookViewId="0">
      <selection activeCell="F3" sqref="F3"/>
    </sheetView>
  </sheetViews>
  <sheetFormatPr baseColWidth="10" defaultColWidth="9.140625" defaultRowHeight="15"/>
  <cols>
    <col min="1" max="1" width="14" style="832" customWidth="1"/>
    <col min="2" max="2" width="72.7109375" style="114" customWidth="1"/>
    <col min="3" max="3" width="10" style="1057" customWidth="1"/>
    <col min="4" max="4" width="10.5703125" style="1058" customWidth="1"/>
    <col min="5" max="5" width="13.7109375" style="257" customWidth="1"/>
    <col min="6" max="6" width="18.85546875" style="257" customWidth="1"/>
    <col min="7" max="7" width="13.42578125" style="255" customWidth="1"/>
    <col min="8" max="8" width="16" style="255" bestFit="1" customWidth="1"/>
    <col min="9" max="9" width="15" style="262" bestFit="1" customWidth="1"/>
    <col min="10" max="10" width="16" style="255" bestFit="1" customWidth="1"/>
    <col min="11" max="11" width="9.140625" style="129"/>
    <col min="12" max="12" width="9.28515625" style="129" bestFit="1" customWidth="1"/>
    <col min="13" max="189" width="9.140625" style="129"/>
    <col min="190" max="16384" width="9.140625" style="142"/>
  </cols>
  <sheetData>
    <row r="1" spans="1:21" ht="20.25" thickBot="1">
      <c r="A1" s="1912" t="e">
        <f>+#REF!</f>
        <v>#REF!</v>
      </c>
      <c r="B1" s="1913"/>
      <c r="C1" s="1913"/>
      <c r="D1" s="1913"/>
      <c r="E1" s="1913"/>
      <c r="F1" s="1914"/>
      <c r="K1" s="255"/>
      <c r="L1" s="262"/>
      <c r="M1" s="255"/>
      <c r="N1" s="255"/>
      <c r="O1" s="262"/>
      <c r="P1" s="255"/>
      <c r="Q1" s="255"/>
      <c r="R1" s="262"/>
      <c r="S1" s="255"/>
      <c r="T1" s="255"/>
      <c r="U1" s="262"/>
    </row>
    <row r="2" spans="1:21" ht="20.100000000000001" customHeight="1">
      <c r="A2" s="1930" t="s">
        <v>668</v>
      </c>
      <c r="B2" s="1955"/>
      <c r="C2" s="1955"/>
      <c r="D2" s="1955"/>
      <c r="E2" s="1955"/>
      <c r="F2" s="1956"/>
      <c r="G2" s="471"/>
      <c r="K2" s="255"/>
      <c r="L2" s="262"/>
      <c r="M2" s="255"/>
      <c r="N2" s="255"/>
      <c r="O2" s="262"/>
      <c r="P2" s="255"/>
      <c r="Q2" s="255"/>
      <c r="R2" s="262"/>
      <c r="S2" s="255"/>
      <c r="T2" s="255"/>
      <c r="U2" s="262"/>
    </row>
    <row r="3" spans="1:21" s="129" customFormat="1" ht="15.95" customHeight="1">
      <c r="A3" s="973"/>
      <c r="B3" s="999"/>
      <c r="C3" s="1000"/>
      <c r="D3" s="1001"/>
      <c r="E3" s="1002" t="s">
        <v>596</v>
      </c>
      <c r="F3" s="1003">
        <f>1200-575</f>
        <v>625</v>
      </c>
      <c r="G3" s="255"/>
      <c r="H3" s="255" t="s">
        <v>599</v>
      </c>
      <c r="I3" s="262">
        <f>+F3+F4+F5+F6+F7</f>
        <v>1749</v>
      </c>
      <c r="J3" s="255"/>
      <c r="K3" s="255"/>
      <c r="L3" s="262"/>
      <c r="M3" s="255"/>
      <c r="N3" s="255"/>
      <c r="O3" s="262"/>
      <c r="P3" s="255"/>
      <c r="Q3" s="255"/>
      <c r="R3" s="262"/>
      <c r="S3" s="255"/>
      <c r="T3" s="255"/>
      <c r="U3" s="262"/>
    </row>
    <row r="4" spans="1:21" s="129" customFormat="1" ht="15.95" customHeight="1">
      <c r="A4" s="978"/>
      <c r="B4" s="1004"/>
      <c r="C4" s="1005"/>
      <c r="D4" s="1006"/>
      <c r="E4" s="1007" t="s">
        <v>597</v>
      </c>
      <c r="F4" s="1008">
        <f>1550-1200</f>
        <v>350</v>
      </c>
      <c r="G4" s="255"/>
      <c r="H4" s="255"/>
      <c r="I4" s="262"/>
      <c r="J4" s="255"/>
      <c r="K4" s="255"/>
      <c r="L4" s="262"/>
      <c r="M4" s="255"/>
      <c r="N4" s="255"/>
      <c r="O4" s="262"/>
      <c r="P4" s="255"/>
      <c r="Q4" s="255"/>
      <c r="R4" s="262"/>
      <c r="S4" s="255"/>
      <c r="T4" s="255"/>
      <c r="U4" s="262"/>
    </row>
    <row r="5" spans="1:21" s="129" customFormat="1" ht="15.95" customHeight="1">
      <c r="A5" s="978"/>
      <c r="B5" s="1004"/>
      <c r="C5" s="1005"/>
      <c r="D5" s="1006"/>
      <c r="E5" s="1007" t="s">
        <v>598</v>
      </c>
      <c r="F5" s="1008">
        <f>2020-1550</f>
        <v>470</v>
      </c>
      <c r="G5" s="255"/>
      <c r="H5" s="255"/>
      <c r="I5" s="262"/>
      <c r="J5" s="255"/>
      <c r="K5" s="255"/>
      <c r="L5" s="262"/>
      <c r="M5" s="255"/>
      <c r="N5" s="255"/>
      <c r="O5" s="262"/>
      <c r="P5" s="255"/>
      <c r="Q5" s="255"/>
      <c r="R5" s="262"/>
      <c r="S5" s="255"/>
      <c r="T5" s="255"/>
      <c r="U5" s="262"/>
    </row>
    <row r="6" spans="1:21" s="129" customFormat="1" ht="15.95" hidden="1" customHeight="1">
      <c r="A6" s="978"/>
      <c r="B6" s="1004"/>
      <c r="C6" s="1005"/>
      <c r="D6" s="1006"/>
      <c r="E6" s="1007" t="s">
        <v>329</v>
      </c>
      <c r="F6" s="1008">
        <f>420*0</f>
        <v>0</v>
      </c>
      <c r="G6" s="255" t="s">
        <v>328</v>
      </c>
      <c r="H6" s="255"/>
      <c r="I6" s="262" t="s">
        <v>496</v>
      </c>
      <c r="J6" s="255"/>
      <c r="K6" s="255">
        <v>650</v>
      </c>
      <c r="L6" s="262"/>
      <c r="M6" s="255"/>
      <c r="N6" s="255"/>
      <c r="O6" s="262"/>
      <c r="P6" s="255"/>
      <c r="Q6" s="255"/>
      <c r="R6" s="262"/>
      <c r="S6" s="255"/>
      <c r="T6" s="255"/>
      <c r="U6" s="262"/>
    </row>
    <row r="7" spans="1:21" s="129" customFormat="1" ht="15.95" customHeight="1">
      <c r="A7" s="978"/>
      <c r="B7" s="1004"/>
      <c r="C7" s="1005"/>
      <c r="D7" s="1006"/>
      <c r="E7" s="1007" t="s">
        <v>333</v>
      </c>
      <c r="F7" s="1008">
        <f>(38*20)*0.4</f>
        <v>304</v>
      </c>
      <c r="G7" s="255" t="s">
        <v>497</v>
      </c>
      <c r="H7" s="255"/>
      <c r="I7" s="262">
        <f>840/30</f>
        <v>28</v>
      </c>
      <c r="J7" s="255"/>
      <c r="K7" s="255"/>
      <c r="L7" s="262"/>
      <c r="M7" s="255"/>
      <c r="N7" s="255"/>
      <c r="O7" s="262"/>
      <c r="P7" s="255"/>
      <c r="Q7" s="255"/>
      <c r="R7" s="262"/>
      <c r="S7" s="255"/>
      <c r="T7" s="255"/>
      <c r="U7" s="262"/>
    </row>
    <row r="8" spans="1:21" s="129" customFormat="1" ht="15.95" hidden="1" customHeight="1">
      <c r="A8" s="978"/>
      <c r="B8" s="1004"/>
      <c r="C8" s="1005"/>
      <c r="D8" s="1006"/>
      <c r="E8" s="1007" t="s">
        <v>517</v>
      </c>
      <c r="F8" s="1008"/>
      <c r="G8" s="255"/>
      <c r="H8" s="255"/>
      <c r="I8" s="262" t="s">
        <v>393</v>
      </c>
      <c r="J8" s="255"/>
      <c r="K8" s="255"/>
      <c r="L8" s="262" t="s">
        <v>665</v>
      </c>
      <c r="M8" s="255" t="s">
        <v>664</v>
      </c>
      <c r="N8" s="255"/>
      <c r="O8" s="262" t="s">
        <v>666</v>
      </c>
      <c r="P8" s="255"/>
      <c r="Q8" s="255"/>
      <c r="R8" s="262"/>
      <c r="S8" s="255"/>
      <c r="T8" s="255"/>
      <c r="U8" s="262"/>
    </row>
    <row r="9" spans="1:21" s="129" customFormat="1" ht="15.95" hidden="1" customHeight="1">
      <c r="A9" s="978"/>
      <c r="B9" s="1004"/>
      <c r="C9" s="1005"/>
      <c r="D9" s="1006"/>
      <c r="E9" s="1007" t="s">
        <v>518</v>
      </c>
      <c r="F9" s="1008">
        <f>670*0</f>
        <v>0</v>
      </c>
      <c r="G9" s="255" t="s">
        <v>328</v>
      </c>
      <c r="H9" s="255"/>
      <c r="I9" s="262">
        <v>20</v>
      </c>
      <c r="J9" s="255"/>
      <c r="K9" s="255"/>
      <c r="L9" s="262">
        <v>11</v>
      </c>
      <c r="M9" s="255">
        <f>+F9*L9</f>
        <v>0</v>
      </c>
      <c r="N9" s="255"/>
      <c r="O9" s="262">
        <v>3</v>
      </c>
      <c r="P9" s="255">
        <f>+F9*O9*2</f>
        <v>0</v>
      </c>
      <c r="Q9" s="255"/>
      <c r="R9" s="262"/>
      <c r="S9" s="255"/>
      <c r="T9" s="255"/>
      <c r="U9" s="262"/>
    </row>
    <row r="10" spans="1:21" s="129" customFormat="1" ht="15.95" hidden="1" customHeight="1">
      <c r="A10" s="978"/>
      <c r="B10" s="1004"/>
      <c r="C10" s="1005"/>
      <c r="D10" s="1006"/>
      <c r="E10" s="1007" t="s">
        <v>519</v>
      </c>
      <c r="F10" s="1008">
        <f>411*0</f>
        <v>0</v>
      </c>
      <c r="G10" s="255"/>
      <c r="H10" s="255"/>
      <c r="I10" s="262">
        <v>20</v>
      </c>
      <c r="J10" s="255"/>
      <c r="K10" s="255"/>
      <c r="L10" s="262">
        <v>11</v>
      </c>
      <c r="M10" s="255">
        <f t="shared" ref="M10" si="0">+F10*L10</f>
        <v>0</v>
      </c>
      <c r="N10" s="255"/>
      <c r="O10" s="262">
        <v>3</v>
      </c>
      <c r="P10" s="255">
        <f t="shared" ref="P10:P12" si="1">+F10*O10*2</f>
        <v>0</v>
      </c>
      <c r="Q10" s="255"/>
      <c r="R10" s="262"/>
      <c r="S10" s="255"/>
      <c r="T10" s="255"/>
      <c r="U10" s="262"/>
    </row>
    <row r="11" spans="1:21" s="129" customFormat="1" ht="15.95" customHeight="1">
      <c r="A11" s="978"/>
      <c r="B11" s="1004"/>
      <c r="C11" s="1005"/>
      <c r="D11" s="1006"/>
      <c r="E11" s="1007" t="s">
        <v>662</v>
      </c>
      <c r="F11" s="1008">
        <v>800</v>
      </c>
      <c r="G11" s="255"/>
      <c r="H11" s="255"/>
      <c r="I11" s="262">
        <v>15</v>
      </c>
      <c r="J11" s="255"/>
      <c r="K11" s="255"/>
      <c r="L11" s="262">
        <v>9</v>
      </c>
      <c r="M11" s="255">
        <f>+F11*L11</f>
        <v>7200</v>
      </c>
      <c r="N11" s="255"/>
      <c r="O11" s="262">
        <v>2</v>
      </c>
      <c r="P11" s="255">
        <f t="shared" si="1"/>
        <v>3200</v>
      </c>
      <c r="Q11" s="255"/>
      <c r="R11" s="262"/>
      <c r="S11" s="255"/>
      <c r="T11" s="255"/>
      <c r="U11" s="262"/>
    </row>
    <row r="12" spans="1:21" s="129" customFormat="1" ht="15.95" customHeight="1">
      <c r="A12" s="978"/>
      <c r="B12" s="1004"/>
      <c r="C12" s="1005"/>
      <c r="D12" s="1006"/>
      <c r="E12" s="1007" t="s">
        <v>663</v>
      </c>
      <c r="F12" s="1008">
        <v>516</v>
      </c>
      <c r="G12" s="255"/>
      <c r="H12" s="255"/>
      <c r="I12" s="262">
        <v>15</v>
      </c>
      <c r="J12" s="255"/>
      <c r="K12" s="255"/>
      <c r="L12" s="262">
        <v>11</v>
      </c>
      <c r="M12" s="255"/>
      <c r="N12" s="255">
        <f>+F12*L12</f>
        <v>5676</v>
      </c>
      <c r="O12" s="262">
        <v>0</v>
      </c>
      <c r="P12" s="255">
        <f t="shared" si="1"/>
        <v>0</v>
      </c>
      <c r="Q12" s="255"/>
      <c r="R12" s="262"/>
      <c r="S12" s="255"/>
      <c r="T12" s="255"/>
      <c r="U12" s="262"/>
    </row>
    <row r="13" spans="1:21" s="129" customFormat="1" ht="15.95" customHeight="1">
      <c r="A13" s="983"/>
      <c r="B13" s="1009"/>
      <c r="C13" s="1010"/>
      <c r="D13" s="1011"/>
      <c r="E13" s="1012" t="s">
        <v>309</v>
      </c>
      <c r="F13" s="1013">
        <f>SUM(F9:F12)</f>
        <v>1316</v>
      </c>
      <c r="G13" s="255"/>
      <c r="H13" s="255"/>
      <c r="I13" s="262"/>
      <c r="J13" s="255"/>
      <c r="K13" s="255">
        <f>877*25/10</f>
        <v>2192.5</v>
      </c>
      <c r="L13" s="262"/>
      <c r="M13" s="255">
        <f>SUM(M9:M12)</f>
        <v>7200</v>
      </c>
      <c r="N13" s="255">
        <f>SUM(N12)</f>
        <v>5676</v>
      </c>
      <c r="O13" s="262"/>
      <c r="P13" s="255">
        <f>SUM(P9:P12)</f>
        <v>3200</v>
      </c>
      <c r="Q13" s="255"/>
      <c r="R13" s="262"/>
      <c r="S13" s="255"/>
      <c r="T13" s="255"/>
      <c r="U13" s="262"/>
    </row>
    <row r="14" spans="1:21" s="129" customFormat="1" ht="20.100000000000001" customHeight="1">
      <c r="A14" s="1957" t="s">
        <v>675</v>
      </c>
      <c r="B14" s="1958"/>
      <c r="C14" s="1966"/>
      <c r="D14" s="1967"/>
      <c r="E14" s="1967"/>
      <c r="F14" s="1968"/>
      <c r="G14" s="255"/>
      <c r="H14" s="255"/>
      <c r="I14" s="262"/>
      <c r="J14" s="255"/>
      <c r="K14" s="255"/>
      <c r="L14" s="262"/>
      <c r="M14" s="255"/>
      <c r="N14" s="255"/>
      <c r="O14" s="262"/>
      <c r="P14" s="255"/>
      <c r="Q14" s="255"/>
      <c r="R14" s="262"/>
      <c r="S14" s="255"/>
      <c r="T14" s="255"/>
      <c r="U14" s="262"/>
    </row>
    <row r="15" spans="1:21" s="129" customFormat="1" ht="20.100000000000001" customHeight="1">
      <c r="A15" s="913" t="s">
        <v>661</v>
      </c>
      <c r="B15" s="1014" t="s">
        <v>584</v>
      </c>
      <c r="C15" s="1015" t="s">
        <v>98</v>
      </c>
      <c r="D15" s="1016" t="s">
        <v>99</v>
      </c>
      <c r="E15" s="1017" t="s">
        <v>100</v>
      </c>
      <c r="F15" s="1017" t="s">
        <v>114</v>
      </c>
      <c r="G15" s="255"/>
      <c r="H15" s="255"/>
      <c r="I15" s="262"/>
      <c r="J15" s="255"/>
      <c r="K15" s="255"/>
      <c r="L15" s="262"/>
      <c r="M15" s="255">
        <f>+M13+10*20*20</f>
        <v>11200</v>
      </c>
      <c r="N15" s="255">
        <f>+N13</f>
        <v>5676</v>
      </c>
      <c r="O15" s="262"/>
      <c r="P15" s="255"/>
      <c r="Q15" s="255"/>
      <c r="R15" s="262"/>
      <c r="S15" s="255"/>
      <c r="T15" s="255"/>
      <c r="U15" s="262"/>
    </row>
    <row r="16" spans="1:21" s="129" customFormat="1" ht="21.95" customHeight="1">
      <c r="A16" s="1963" t="e">
        <f>+#REF!</f>
        <v>#REF!</v>
      </c>
      <c r="B16" s="1964"/>
      <c r="C16" s="1964"/>
      <c r="D16" s="1964"/>
      <c r="E16" s="1964"/>
      <c r="F16" s="1965"/>
      <c r="G16" s="255"/>
      <c r="H16" s="255"/>
      <c r="I16" s="262"/>
      <c r="J16" s="255"/>
      <c r="K16" s="255"/>
      <c r="L16" s="262"/>
      <c r="M16" s="255"/>
      <c r="N16" s="255"/>
      <c r="O16" s="262"/>
      <c r="P16" s="255"/>
      <c r="Q16" s="255"/>
      <c r="R16" s="262"/>
      <c r="S16" s="255"/>
      <c r="T16" s="255"/>
      <c r="U16" s="262"/>
    </row>
    <row r="17" spans="1:38" s="129" customFormat="1" ht="47.25" customHeight="1">
      <c r="A17" s="875" t="e">
        <f>+#REF!</f>
        <v>#REF!</v>
      </c>
      <c r="B17" s="914" t="e">
        <f>+#REF!</f>
        <v>#REF!</v>
      </c>
      <c r="C17" s="833"/>
      <c r="D17" s="994"/>
      <c r="E17" s="854"/>
      <c r="F17" s="861"/>
      <c r="G17" s="255"/>
      <c r="H17" s="328">
        <f>8%*F145</f>
        <v>0</v>
      </c>
      <c r="I17" s="262">
        <v>1</v>
      </c>
      <c r="J17" s="255">
        <f>H17*I17</f>
        <v>0</v>
      </c>
      <c r="K17" s="255"/>
      <c r="L17" s="262"/>
      <c r="M17" s="255"/>
      <c r="N17" s="255"/>
      <c r="O17" s="262"/>
      <c r="P17" s="255"/>
      <c r="Q17" s="255"/>
      <c r="R17" s="262"/>
      <c r="S17" s="255"/>
      <c r="T17" s="255"/>
      <c r="U17" s="262"/>
    </row>
    <row r="18" spans="1:38" s="129" customFormat="1" ht="15.95" customHeight="1">
      <c r="A18" s="876"/>
      <c r="B18" s="1018"/>
      <c r="C18" s="835" t="s">
        <v>618</v>
      </c>
      <c r="D18" s="967">
        <v>1</v>
      </c>
      <c r="E18" s="855"/>
      <c r="F18" s="855"/>
      <c r="G18" s="255"/>
      <c r="H18" s="255"/>
      <c r="I18" s="262"/>
      <c r="J18" s="255"/>
    </row>
    <row r="19" spans="1:38" s="129" customFormat="1" ht="15.95" customHeight="1">
      <c r="A19" s="875" t="e">
        <f>+#REF!</f>
        <v>#REF!</v>
      </c>
      <c r="B19" s="1019" t="e">
        <f>+#REF!</f>
        <v>#REF!</v>
      </c>
      <c r="C19" s="833"/>
      <c r="D19" s="968"/>
      <c r="E19" s="861"/>
      <c r="F19" s="861"/>
      <c r="G19" s="255"/>
      <c r="H19" s="255">
        <f>F13</f>
        <v>1316</v>
      </c>
      <c r="I19" s="262">
        <v>1.1000000000000001</v>
      </c>
      <c r="J19" s="255">
        <f>H19*I19</f>
        <v>1447.6000000000001</v>
      </c>
    </row>
    <row r="20" spans="1:38" s="129" customFormat="1" ht="15.95" customHeight="1">
      <c r="A20" s="876"/>
      <c r="B20" s="1018"/>
      <c r="C20" s="835" t="s">
        <v>618</v>
      </c>
      <c r="D20" s="967">
        <v>1</v>
      </c>
      <c r="E20" s="855"/>
      <c r="F20" s="855"/>
      <c r="G20" s="255">
        <v>0.08</v>
      </c>
      <c r="H20" s="255">
        <f>+H17*G20</f>
        <v>0</v>
      </c>
      <c r="I20" s="262"/>
      <c r="J20" s="255"/>
    </row>
    <row r="21" spans="1:38" s="129" customFormat="1" ht="20.100000000000001" customHeight="1">
      <c r="A21" s="877"/>
      <c r="B21" s="1020"/>
      <c r="C21" s="1021"/>
      <c r="D21" s="1022"/>
      <c r="E21" s="1023" t="s">
        <v>108</v>
      </c>
      <c r="F21" s="1024"/>
      <c r="G21" s="255"/>
      <c r="H21" s="255"/>
      <c r="I21" s="262"/>
      <c r="J21" s="255"/>
    </row>
    <row r="22" spans="1:38" s="129" customFormat="1" ht="21.95" customHeight="1">
      <c r="A22" s="964" t="e">
        <f>+#REF!</f>
        <v>#REF!</v>
      </c>
      <c r="B22" s="1025"/>
      <c r="C22" s="1026"/>
      <c r="D22" s="1027"/>
      <c r="E22" s="1026"/>
      <c r="F22" s="1026"/>
      <c r="G22" s="255"/>
      <c r="H22" s="255"/>
      <c r="I22" s="262"/>
      <c r="J22" s="255"/>
      <c r="N22" s="129">
        <f>1.7*3</f>
        <v>5.0999999999999996</v>
      </c>
      <c r="AL22" s="129">
        <v>250</v>
      </c>
    </row>
    <row r="23" spans="1:38" s="129" customFormat="1" ht="15.95" customHeight="1">
      <c r="A23" s="879" t="e">
        <f>+#REF!</f>
        <v>#REF!</v>
      </c>
      <c r="B23" s="916" t="e">
        <f>+#REF!</f>
        <v>#REF!</v>
      </c>
      <c r="C23" s="1028"/>
      <c r="D23" s="1029"/>
      <c r="E23" s="945"/>
      <c r="F23" s="945"/>
      <c r="G23" s="255"/>
      <c r="H23" s="255"/>
      <c r="I23" s="262"/>
      <c r="J23" s="255"/>
    </row>
    <row r="24" spans="1:38" s="129" customFormat="1" ht="15.95" customHeight="1">
      <c r="A24" s="880"/>
      <c r="B24" s="886"/>
      <c r="C24" s="1030" t="s">
        <v>266</v>
      </c>
      <c r="D24" s="1031">
        <v>1</v>
      </c>
      <c r="E24" s="860"/>
      <c r="F24" s="860"/>
      <c r="G24" s="255" t="e">
        <f>+#REF!</f>
        <v>#REF!</v>
      </c>
      <c r="H24" s="255" t="e">
        <f>+#REF!</f>
        <v>#REF!</v>
      </c>
      <c r="I24" s="262">
        <v>0.02</v>
      </c>
      <c r="J24" s="255"/>
    </row>
    <row r="25" spans="1:38" s="129" customFormat="1" ht="15.95" customHeight="1">
      <c r="A25" s="879" t="e">
        <f>+#REF!</f>
        <v>#REF!</v>
      </c>
      <c r="B25" s="916" t="e">
        <f>+#REF!</f>
        <v>#REF!</v>
      </c>
      <c r="C25" s="1028"/>
      <c r="D25" s="1029"/>
      <c r="E25" s="945"/>
      <c r="F25" s="945"/>
      <c r="G25" s="255"/>
      <c r="H25" s="255"/>
      <c r="I25" s="262"/>
      <c r="J25" s="255"/>
    </row>
    <row r="26" spans="1:38" s="129" customFormat="1" ht="15.95" customHeight="1">
      <c r="A26" s="880"/>
      <c r="B26" s="886"/>
      <c r="C26" s="1030" t="s">
        <v>266</v>
      </c>
      <c r="D26" s="1031">
        <v>1</v>
      </c>
      <c r="E26" s="860"/>
      <c r="F26" s="860"/>
      <c r="G26" s="255" t="e">
        <f>+H26*I26</f>
        <v>#REF!</v>
      </c>
      <c r="H26" s="255" t="e">
        <f>+H24</f>
        <v>#REF!</v>
      </c>
      <c r="I26" s="262">
        <v>0.02</v>
      </c>
      <c r="J26" s="255"/>
    </row>
    <row r="27" spans="1:38" s="129" customFormat="1" ht="15.95" customHeight="1">
      <c r="A27" s="879" t="e">
        <f>+#REF!</f>
        <v>#REF!</v>
      </c>
      <c r="B27" s="916" t="e">
        <f>+#REF!</f>
        <v>#REF!</v>
      </c>
      <c r="C27" s="1028"/>
      <c r="D27" s="1029"/>
      <c r="E27" s="945"/>
      <c r="F27" s="945"/>
      <c r="G27" s="255"/>
      <c r="H27" s="255"/>
      <c r="I27" s="262"/>
      <c r="J27" s="255"/>
    </row>
    <row r="28" spans="1:38" s="129" customFormat="1" ht="15.95" customHeight="1">
      <c r="A28" s="880"/>
      <c r="B28" s="886"/>
      <c r="C28" s="1030" t="s">
        <v>266</v>
      </c>
      <c r="D28" s="1031">
        <v>1</v>
      </c>
      <c r="E28" s="860"/>
      <c r="F28" s="860"/>
      <c r="G28" s="255" t="e">
        <f>+#REF!</f>
        <v>#REF!</v>
      </c>
      <c r="H28" s="255"/>
      <c r="I28" s="262"/>
      <c r="J28" s="255"/>
    </row>
    <row r="29" spans="1:38" s="129" customFormat="1" ht="15.95" customHeight="1">
      <c r="A29" s="879" t="e">
        <f>+#REF!</f>
        <v>#REF!</v>
      </c>
      <c r="B29" s="916" t="e">
        <f>+#REF!</f>
        <v>#REF!</v>
      </c>
      <c r="C29" s="1028"/>
      <c r="D29" s="1029"/>
      <c r="E29" s="945"/>
      <c r="F29" s="945"/>
      <c r="G29" s="255"/>
      <c r="I29" s="262"/>
      <c r="J29" s="255"/>
    </row>
    <row r="30" spans="1:38" s="129" customFormat="1" ht="15.95" customHeight="1">
      <c r="A30" s="880"/>
      <c r="B30" s="886"/>
      <c r="C30" s="1030" t="s">
        <v>266</v>
      </c>
      <c r="D30" s="1031">
        <v>1</v>
      </c>
      <c r="E30" s="860"/>
      <c r="F30" s="860"/>
      <c r="G30" s="255"/>
      <c r="H30" s="255"/>
      <c r="I30" s="262"/>
      <c r="J30" s="255"/>
    </row>
    <row r="31" spans="1:38" s="129" customFormat="1" ht="15.95" customHeight="1">
      <c r="A31" s="879" t="e">
        <f>+#REF!</f>
        <v>#REF!</v>
      </c>
      <c r="B31" s="916" t="e">
        <f>+#REF!</f>
        <v>#REF!</v>
      </c>
      <c r="C31" s="1028"/>
      <c r="D31" s="1029"/>
      <c r="E31" s="945"/>
      <c r="F31" s="945"/>
      <c r="G31" s="255"/>
      <c r="H31" s="255"/>
      <c r="I31" s="262"/>
      <c r="J31" s="255"/>
    </row>
    <row r="32" spans="1:38" s="129" customFormat="1" ht="15.95" customHeight="1">
      <c r="A32" s="880"/>
      <c r="B32" s="886"/>
      <c r="C32" s="1030" t="s">
        <v>266</v>
      </c>
      <c r="D32" s="1031"/>
      <c r="E32" s="860"/>
      <c r="F32" s="860"/>
      <c r="G32" s="255">
        <v>0.2</v>
      </c>
      <c r="H32" s="255"/>
      <c r="I32" s="262"/>
      <c r="J32" s="255"/>
    </row>
    <row r="33" spans="1:189" s="129" customFormat="1" ht="15.95" customHeight="1">
      <c r="A33" s="879" t="e">
        <f>+#REF!</f>
        <v>#REF!</v>
      </c>
      <c r="B33" s="916" t="e">
        <f>+#REF!</f>
        <v>#REF!</v>
      </c>
      <c r="C33" s="1028"/>
      <c r="D33" s="1029"/>
      <c r="E33" s="945"/>
      <c r="F33" s="945"/>
      <c r="G33" s="255"/>
      <c r="H33" s="255"/>
      <c r="I33" s="262"/>
      <c r="J33" s="255"/>
    </row>
    <row r="34" spans="1:189" s="129" customFormat="1" ht="15.95" customHeight="1">
      <c r="A34" s="880"/>
      <c r="B34" s="886"/>
      <c r="C34" s="1030" t="s">
        <v>27</v>
      </c>
      <c r="D34" s="1031">
        <v>46</v>
      </c>
      <c r="E34" s="860"/>
      <c r="F34" s="860"/>
      <c r="G34" s="255"/>
      <c r="H34" s="255"/>
      <c r="I34" s="262"/>
      <c r="J34" s="255"/>
    </row>
    <row r="35" spans="1:189" ht="20.100000000000001" customHeight="1">
      <c r="A35" s="878"/>
      <c r="B35" s="882"/>
      <c r="C35" s="1032"/>
      <c r="D35" s="1033"/>
      <c r="E35" s="1023" t="s">
        <v>106</v>
      </c>
      <c r="F35" s="1024"/>
    </row>
    <row r="36" spans="1:189" s="114" customFormat="1" ht="20.100000000000001" customHeight="1">
      <c r="A36" s="878"/>
      <c r="B36" s="882"/>
      <c r="C36" s="1032"/>
      <c r="D36" s="1033"/>
      <c r="E36" s="1023" t="s">
        <v>107</v>
      </c>
      <c r="F36" s="1024"/>
      <c r="G36" s="255"/>
      <c r="H36" s="255"/>
      <c r="I36" s="262"/>
      <c r="J36" s="255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29"/>
      <c r="W36" s="129"/>
      <c r="X36" s="129"/>
      <c r="Y36" s="129"/>
      <c r="Z36" s="129"/>
      <c r="AA36" s="129"/>
      <c r="AB36" s="129"/>
      <c r="AC36" s="129"/>
      <c r="AD36" s="129"/>
      <c r="AE36" s="129"/>
      <c r="AF36" s="129"/>
      <c r="AG36" s="129"/>
      <c r="AH36" s="129"/>
      <c r="AI36" s="129"/>
      <c r="AJ36" s="129"/>
      <c r="AK36" s="129"/>
      <c r="AL36" s="129"/>
      <c r="AM36" s="129"/>
      <c r="AN36" s="129"/>
      <c r="AO36" s="129"/>
      <c r="AP36" s="129"/>
      <c r="AQ36" s="129"/>
      <c r="AR36" s="129"/>
      <c r="AS36" s="129"/>
      <c r="AT36" s="129"/>
      <c r="AU36" s="129"/>
      <c r="AV36" s="129"/>
      <c r="AW36" s="129"/>
      <c r="AX36" s="129"/>
      <c r="AY36" s="129"/>
      <c r="AZ36" s="129"/>
      <c r="BA36" s="129"/>
      <c r="BB36" s="129"/>
      <c r="BC36" s="129"/>
      <c r="BD36" s="129"/>
      <c r="BE36" s="129"/>
      <c r="BF36" s="129"/>
      <c r="BG36" s="129"/>
      <c r="BH36" s="129"/>
      <c r="BI36" s="129"/>
      <c r="BJ36" s="129"/>
      <c r="BK36" s="129"/>
      <c r="BL36" s="129"/>
      <c r="BM36" s="129"/>
      <c r="BN36" s="129"/>
      <c r="BO36" s="129"/>
      <c r="BP36" s="129"/>
      <c r="BQ36" s="129"/>
      <c r="BR36" s="129"/>
      <c r="BS36" s="129"/>
      <c r="BT36" s="129"/>
      <c r="BU36" s="129"/>
      <c r="BV36" s="129"/>
      <c r="BW36" s="129"/>
      <c r="BX36" s="129"/>
      <c r="BY36" s="129"/>
      <c r="BZ36" s="129"/>
      <c r="CA36" s="129"/>
      <c r="CB36" s="129"/>
      <c r="CC36" s="129"/>
      <c r="CD36" s="129"/>
      <c r="CE36" s="129"/>
      <c r="CF36" s="129"/>
      <c r="CG36" s="129"/>
      <c r="CH36" s="129"/>
      <c r="CI36" s="129"/>
      <c r="CJ36" s="129"/>
      <c r="CK36" s="129"/>
      <c r="CL36" s="129"/>
      <c r="CM36" s="129"/>
      <c r="CN36" s="129"/>
      <c r="CO36" s="129"/>
      <c r="CP36" s="129"/>
      <c r="CQ36" s="129"/>
      <c r="CR36" s="129"/>
      <c r="CS36" s="129"/>
      <c r="CT36" s="129"/>
      <c r="CU36" s="129"/>
      <c r="CV36" s="129"/>
      <c r="CW36" s="129"/>
      <c r="CX36" s="129"/>
      <c r="CY36" s="129"/>
      <c r="CZ36" s="129"/>
      <c r="DA36" s="129"/>
      <c r="DB36" s="129"/>
      <c r="DC36" s="129"/>
      <c r="DD36" s="129"/>
      <c r="DE36" s="129"/>
      <c r="DF36" s="129"/>
      <c r="DG36" s="129"/>
      <c r="DH36" s="129"/>
      <c r="DI36" s="129"/>
      <c r="DJ36" s="129"/>
      <c r="DK36" s="129"/>
      <c r="DL36" s="129"/>
      <c r="DM36" s="129"/>
      <c r="DN36" s="129"/>
      <c r="DO36" s="129"/>
      <c r="DP36" s="129"/>
      <c r="DQ36" s="129"/>
      <c r="DR36" s="129"/>
      <c r="DS36" s="129"/>
      <c r="DT36" s="129"/>
      <c r="DU36" s="129"/>
      <c r="DV36" s="129"/>
      <c r="DW36" s="129"/>
      <c r="DX36" s="129"/>
      <c r="DY36" s="129"/>
      <c r="DZ36" s="129"/>
      <c r="EA36" s="129"/>
      <c r="EB36" s="129"/>
      <c r="EC36" s="129"/>
      <c r="ED36" s="129"/>
      <c r="EE36" s="129"/>
      <c r="EF36" s="129"/>
      <c r="EG36" s="129"/>
      <c r="EH36" s="129"/>
      <c r="EI36" s="129"/>
      <c r="EJ36" s="129"/>
      <c r="EK36" s="129"/>
      <c r="EL36" s="129"/>
      <c r="EM36" s="129"/>
      <c r="EN36" s="129"/>
      <c r="EO36" s="129"/>
      <c r="EP36" s="129"/>
      <c r="EQ36" s="129"/>
      <c r="ER36" s="129"/>
      <c r="ES36" s="129"/>
      <c r="ET36" s="129"/>
      <c r="EU36" s="129"/>
      <c r="EV36" s="129"/>
      <c r="EW36" s="129"/>
      <c r="EX36" s="129"/>
      <c r="EY36" s="129"/>
      <c r="EZ36" s="129"/>
      <c r="FA36" s="129"/>
      <c r="FB36" s="129"/>
      <c r="FC36" s="129"/>
      <c r="FD36" s="129"/>
      <c r="FE36" s="129"/>
      <c r="FF36" s="129"/>
      <c r="FG36" s="129"/>
      <c r="FH36" s="129"/>
      <c r="FI36" s="129"/>
      <c r="FJ36" s="129"/>
      <c r="FK36" s="129"/>
      <c r="FL36" s="129"/>
      <c r="FM36" s="129"/>
      <c r="FN36" s="129"/>
      <c r="FO36" s="129"/>
      <c r="FP36" s="129"/>
      <c r="FQ36" s="129"/>
      <c r="FR36" s="129"/>
      <c r="FS36" s="129"/>
      <c r="FT36" s="129"/>
      <c r="FU36" s="129"/>
      <c r="FV36" s="129"/>
      <c r="FW36" s="129"/>
      <c r="FX36" s="129"/>
      <c r="FY36" s="129"/>
      <c r="FZ36" s="129"/>
      <c r="GA36" s="129"/>
      <c r="GB36" s="129"/>
      <c r="GC36" s="129"/>
      <c r="GD36" s="129"/>
      <c r="GE36" s="129"/>
      <c r="GF36" s="129"/>
      <c r="GG36" s="129"/>
    </row>
    <row r="37" spans="1:189" ht="20.100000000000001" customHeight="1">
      <c r="A37" s="1957" t="e">
        <f>+#REF!</f>
        <v>#REF!</v>
      </c>
      <c r="B37" s="1958"/>
      <c r="C37" s="1958"/>
      <c r="D37" s="1958"/>
      <c r="E37" s="1958"/>
      <c r="F37" s="1959"/>
    </row>
    <row r="38" spans="1:189" ht="15.95" customHeight="1">
      <c r="A38" s="879" t="e">
        <f>+#REF!</f>
        <v>#REF!</v>
      </c>
      <c r="B38" s="916" t="e">
        <f>+#REF!</f>
        <v>#REF!</v>
      </c>
      <c r="C38" s="845"/>
      <c r="D38" s="994"/>
      <c r="E38" s="945"/>
      <c r="F38" s="861"/>
    </row>
    <row r="39" spans="1:189" ht="15.95" customHeight="1">
      <c r="A39" s="880"/>
      <c r="B39" s="924"/>
      <c r="C39" s="840" t="s">
        <v>618</v>
      </c>
      <c r="D39" s="995">
        <v>1</v>
      </c>
      <c r="E39" s="860"/>
      <c r="F39" s="855"/>
    </row>
    <row r="40" spans="1:189" ht="15.95" customHeight="1">
      <c r="A40" s="879" t="e">
        <f>+#REF!</f>
        <v>#REF!</v>
      </c>
      <c r="B40" s="916" t="e">
        <f>+#REF!</f>
        <v>#REF!</v>
      </c>
      <c r="C40" s="849"/>
      <c r="D40" s="996"/>
      <c r="E40" s="945"/>
      <c r="F40" s="861"/>
    </row>
    <row r="41" spans="1:189" ht="15.95" customHeight="1">
      <c r="A41" s="879" t="e">
        <f>+#REF!</f>
        <v>#REF!</v>
      </c>
      <c r="B41" s="916" t="e">
        <f>+#REF!</f>
        <v>#REF!</v>
      </c>
      <c r="C41" s="849"/>
      <c r="D41" s="996"/>
      <c r="E41" s="945"/>
      <c r="F41" s="861"/>
    </row>
    <row r="42" spans="1:189" ht="15.95" customHeight="1">
      <c r="A42" s="885"/>
      <c r="B42" s="886"/>
      <c r="C42" s="840" t="s">
        <v>27</v>
      </c>
      <c r="D42" s="995">
        <f>J42</f>
        <v>31.5</v>
      </c>
      <c r="E42" s="860"/>
      <c r="F42" s="855"/>
      <c r="H42" s="255">
        <v>30</v>
      </c>
      <c r="I42" s="262">
        <v>1.05</v>
      </c>
      <c r="J42" s="255">
        <f>H42*I42</f>
        <v>31.5</v>
      </c>
    </row>
    <row r="43" spans="1:189" ht="15.95" customHeight="1">
      <c r="A43" s="875" t="e">
        <f>+#REF!</f>
        <v>#REF!</v>
      </c>
      <c r="B43" s="914" t="e">
        <f>+#REF!</f>
        <v>#REF!</v>
      </c>
      <c r="C43" s="1034"/>
      <c r="D43" s="1035"/>
      <c r="E43" s="945"/>
      <c r="F43" s="861"/>
    </row>
    <row r="44" spans="1:189" ht="15.95" customHeight="1">
      <c r="A44" s="888" t="e">
        <f>+#REF!</f>
        <v>#REF!</v>
      </c>
      <c r="B44" s="931" t="e">
        <f>+#REF!</f>
        <v>#REF!</v>
      </c>
      <c r="C44" s="839" t="s">
        <v>618</v>
      </c>
      <c r="D44" s="997">
        <v>1</v>
      </c>
      <c r="E44" s="946"/>
      <c r="F44" s="1036"/>
      <c r="H44" s="262">
        <f>F13/1000</f>
        <v>1.3160000000000001</v>
      </c>
      <c r="I44" s="262">
        <f t="shared" ref="I44:I50" si="2">1.05</f>
        <v>1.05</v>
      </c>
      <c r="J44" s="262">
        <f t="shared" ref="J44:J50" si="3">H44*I44</f>
        <v>1.3818000000000001</v>
      </c>
    </row>
    <row r="45" spans="1:189" ht="15.95" customHeight="1">
      <c r="A45" s="888" t="e">
        <f>+#REF!</f>
        <v>#REF!</v>
      </c>
      <c r="B45" s="931" t="e">
        <f>+#REF!</f>
        <v>#REF!</v>
      </c>
      <c r="C45" s="839" t="s">
        <v>618</v>
      </c>
      <c r="D45" s="997">
        <v>1</v>
      </c>
      <c r="E45" s="946"/>
      <c r="F45" s="1036"/>
      <c r="H45" s="262">
        <f>H44</f>
        <v>1.3160000000000001</v>
      </c>
      <c r="I45" s="262">
        <f t="shared" si="2"/>
        <v>1.05</v>
      </c>
      <c r="J45" s="262">
        <f t="shared" si="3"/>
        <v>1.3818000000000001</v>
      </c>
    </row>
    <row r="46" spans="1:189" s="129" customFormat="1" ht="15.95" customHeight="1">
      <c r="A46" s="888" t="e">
        <f>+#REF!</f>
        <v>#REF!</v>
      </c>
      <c r="B46" s="931" t="e">
        <f>+#REF!</f>
        <v>#REF!</v>
      </c>
      <c r="C46" s="839" t="s">
        <v>205</v>
      </c>
      <c r="D46" s="997">
        <f>J46</f>
        <v>2113.86</v>
      </c>
      <c r="E46" s="946"/>
      <c r="F46" s="1036"/>
      <c r="G46" s="255"/>
      <c r="H46" s="262">
        <f>20%*F13 +(1225-530)*2+2*10*18</f>
        <v>2013.2</v>
      </c>
      <c r="I46" s="262">
        <f t="shared" si="2"/>
        <v>1.05</v>
      </c>
      <c r="J46" s="262">
        <f t="shared" si="3"/>
        <v>2113.86</v>
      </c>
    </row>
    <row r="47" spans="1:189" s="129" customFormat="1" ht="15.95" customHeight="1">
      <c r="A47" s="890" t="e">
        <f>+#REF!</f>
        <v>#REF!</v>
      </c>
      <c r="B47" s="924" t="e">
        <f>+#REF!</f>
        <v>#REF!</v>
      </c>
      <c r="C47" s="840" t="s">
        <v>618</v>
      </c>
      <c r="D47" s="995">
        <v>1</v>
      </c>
      <c r="E47" s="860"/>
      <c r="F47" s="855"/>
      <c r="G47" s="255"/>
      <c r="H47" s="262">
        <f>H45</f>
        <v>1.3160000000000001</v>
      </c>
      <c r="I47" s="262">
        <f t="shared" si="2"/>
        <v>1.05</v>
      </c>
      <c r="J47" s="262">
        <f t="shared" si="3"/>
        <v>1.3818000000000001</v>
      </c>
    </row>
    <row r="48" spans="1:189" s="129" customFormat="1" ht="15.95" customHeight="1">
      <c r="A48" s="879" t="e">
        <f>+#REF!</f>
        <v>#REF!</v>
      </c>
      <c r="B48" s="916" t="e">
        <f>+#REF!</f>
        <v>#REF!</v>
      </c>
      <c r="C48" s="1034"/>
      <c r="D48" s="1035"/>
      <c r="E48" s="945"/>
      <c r="F48" s="861"/>
      <c r="G48" s="255"/>
      <c r="H48" s="255"/>
      <c r="I48" s="262">
        <f t="shared" si="2"/>
        <v>1.05</v>
      </c>
      <c r="J48" s="262">
        <f t="shared" si="3"/>
        <v>0</v>
      </c>
    </row>
    <row r="49" spans="1:11" s="129" customFormat="1" ht="15.95" customHeight="1">
      <c r="A49" s="880"/>
      <c r="B49" s="932"/>
      <c r="C49" s="840" t="s">
        <v>94</v>
      </c>
      <c r="D49" s="995">
        <f>+J49</f>
        <v>9749.25</v>
      </c>
      <c r="E49" s="860"/>
      <c r="F49" s="855"/>
      <c r="G49" s="422"/>
      <c r="H49" s="255">
        <f>510+ (1225-530)*9 + 7*20*18</f>
        <v>9285</v>
      </c>
      <c r="I49" s="262">
        <f t="shared" si="2"/>
        <v>1.05</v>
      </c>
      <c r="J49" s="262">
        <f t="shared" si="3"/>
        <v>9749.25</v>
      </c>
    </row>
    <row r="50" spans="1:11" s="129" customFormat="1" ht="15.95" customHeight="1">
      <c r="A50" s="879" t="e">
        <f>+#REF!</f>
        <v>#REF!</v>
      </c>
      <c r="B50" s="916" t="e">
        <f>+#REF!</f>
        <v>#REF!</v>
      </c>
      <c r="C50" s="1034"/>
      <c r="D50" s="1035"/>
      <c r="E50" s="945"/>
      <c r="F50" s="861"/>
      <c r="G50" s="255"/>
      <c r="H50" s="255">
        <f>240+(1225-530)*2+20*2*18+7*18</f>
        <v>2476</v>
      </c>
      <c r="I50" s="262">
        <f t="shared" si="2"/>
        <v>1.05</v>
      </c>
      <c r="J50" s="262">
        <f t="shared" si="3"/>
        <v>2599.8000000000002</v>
      </c>
    </row>
    <row r="51" spans="1:11" s="129" customFormat="1" ht="15.95" customHeight="1">
      <c r="A51" s="880"/>
      <c r="B51" s="932"/>
      <c r="C51" s="840" t="s">
        <v>1</v>
      </c>
      <c r="D51" s="995">
        <f>+J50</f>
        <v>2599.8000000000002</v>
      </c>
      <c r="E51" s="860"/>
      <c r="F51" s="855"/>
      <c r="G51" s="255"/>
      <c r="H51" s="255"/>
      <c r="I51" s="262"/>
      <c r="J51" s="255"/>
    </row>
    <row r="52" spans="1:11" s="129" customFormat="1" ht="15.95" customHeight="1">
      <c r="A52" s="879" t="e">
        <f>+#REF!</f>
        <v>#REF!</v>
      </c>
      <c r="B52" s="916" t="e">
        <f>+#REF!</f>
        <v>#REF!</v>
      </c>
      <c r="C52" s="1034"/>
      <c r="D52" s="1035"/>
      <c r="E52" s="945"/>
      <c r="F52" s="861"/>
      <c r="G52" s="255"/>
      <c r="H52" s="255"/>
      <c r="I52" s="262"/>
      <c r="J52" s="255"/>
    </row>
    <row r="53" spans="1:11" s="129" customFormat="1" ht="15.95" customHeight="1">
      <c r="A53" s="892" t="e">
        <f>+#REF!</f>
        <v>#REF!</v>
      </c>
      <c r="B53" s="929" t="e">
        <f>+#REF!</f>
        <v>#REF!</v>
      </c>
      <c r="C53" s="1037" t="s">
        <v>1</v>
      </c>
      <c r="D53" s="1038">
        <f>J53</f>
        <v>20023</v>
      </c>
      <c r="E53" s="946"/>
      <c r="F53" s="1036"/>
      <c r="G53" s="255"/>
      <c r="H53" s="255">
        <f>210+15+200+1100+150+200+75+228+105+75+90+325+440+220+200+400+150+100+1120+100+390+140+35+90+170+30+130+344+65+385+170+65+45+1600+1600+1100+217+285+230+320+558+190+260+260+570+1100+138+204+365+365+806+728+134+44+140+50+330+427+440</f>
        <v>20023</v>
      </c>
      <c r="I53" s="262">
        <v>1</v>
      </c>
      <c r="J53" s="255">
        <f>H53*I53</f>
        <v>20023</v>
      </c>
    </row>
    <row r="54" spans="1:11" s="129" customFormat="1" ht="15.95" customHeight="1">
      <c r="A54" s="879" t="e">
        <f>+#REF!</f>
        <v>#REF!</v>
      </c>
      <c r="B54" s="910" t="e">
        <f>+#REF!</f>
        <v>#REF!</v>
      </c>
      <c r="C54" s="1034"/>
      <c r="D54" s="1035"/>
      <c r="E54" s="945"/>
      <c r="F54" s="861"/>
      <c r="G54" s="255"/>
      <c r="H54" s="255"/>
      <c r="I54" s="262"/>
      <c r="J54" s="255"/>
    </row>
    <row r="55" spans="1:11" s="129" customFormat="1" ht="15.95" customHeight="1">
      <c r="A55" s="880"/>
      <c r="B55" s="885"/>
      <c r="C55" s="840" t="s">
        <v>94</v>
      </c>
      <c r="D55" s="995">
        <f>+J55</f>
        <v>264</v>
      </c>
      <c r="E55" s="860"/>
      <c r="F55" s="855"/>
      <c r="G55" s="255"/>
      <c r="H55" s="255">
        <f>12*20</f>
        <v>240</v>
      </c>
      <c r="I55" s="262">
        <v>1.1000000000000001</v>
      </c>
      <c r="J55" s="255">
        <f>+H55*I55</f>
        <v>264</v>
      </c>
    </row>
    <row r="56" spans="1:11" s="129" customFormat="1" ht="15.95" customHeight="1">
      <c r="A56" s="879" t="e">
        <f>+#REF!</f>
        <v>#REF!</v>
      </c>
      <c r="B56" s="910" t="e">
        <f>+#REF!</f>
        <v>#REF!</v>
      </c>
      <c r="C56" s="1034"/>
      <c r="D56" s="1035"/>
      <c r="E56" s="945"/>
      <c r="F56" s="861"/>
      <c r="G56" s="255"/>
      <c r="H56" s="255"/>
      <c r="I56" s="262"/>
      <c r="J56" s="255"/>
    </row>
    <row r="57" spans="1:11" s="129" customFormat="1" ht="15.95" customHeight="1">
      <c r="A57" s="880"/>
      <c r="B57" s="885"/>
      <c r="C57" s="840" t="s">
        <v>1</v>
      </c>
      <c r="D57" s="995">
        <f>J57</f>
        <v>930.30000000000007</v>
      </c>
      <c r="E57" s="860"/>
      <c r="F57" s="855"/>
      <c r="G57" s="255"/>
      <c r="H57" s="255">
        <f>(2016-1550)+420</f>
        <v>886</v>
      </c>
      <c r="I57" s="262">
        <v>1.05</v>
      </c>
      <c r="J57" s="255">
        <f>H57*I57</f>
        <v>930.30000000000007</v>
      </c>
      <c r="K57" s="129" t="s">
        <v>511</v>
      </c>
    </row>
    <row r="58" spans="1:11" s="129" customFormat="1" ht="20.100000000000001" customHeight="1">
      <c r="A58" s="894"/>
      <c r="B58" s="1039"/>
      <c r="C58" s="1032"/>
      <c r="D58" s="1022"/>
      <c r="E58" s="1023" t="s">
        <v>111</v>
      </c>
      <c r="F58" s="1024"/>
      <c r="G58" s="255"/>
      <c r="H58" s="255"/>
      <c r="I58" s="262"/>
      <c r="J58" s="255"/>
    </row>
    <row r="59" spans="1:11" s="129" customFormat="1" ht="20.100000000000001" customHeight="1">
      <c r="A59" s="1957" t="e">
        <f>+#REF!</f>
        <v>#REF!</v>
      </c>
      <c r="B59" s="1958"/>
      <c r="C59" s="1958"/>
      <c r="D59" s="1958"/>
      <c r="E59" s="1958"/>
      <c r="F59" s="1959"/>
      <c r="G59" s="255"/>
      <c r="H59" s="255"/>
      <c r="I59" s="262"/>
      <c r="J59" s="255"/>
    </row>
    <row r="60" spans="1:11" s="129" customFormat="1" ht="15.95" customHeight="1">
      <c r="A60" s="879" t="e">
        <f>+#REF!</f>
        <v>#REF!</v>
      </c>
      <c r="B60" s="910" t="e">
        <f>+#REF!</f>
        <v>#REF!</v>
      </c>
      <c r="C60" s="1034"/>
      <c r="D60" s="996"/>
      <c r="E60" s="945"/>
      <c r="F60" s="861"/>
      <c r="G60" s="255"/>
      <c r="H60" s="255"/>
      <c r="I60" s="262"/>
      <c r="J60" s="255"/>
    </row>
    <row r="61" spans="1:11" s="129" customFormat="1" ht="15.95" customHeight="1">
      <c r="A61" s="880" t="e">
        <f>+#REF!</f>
        <v>#REF!</v>
      </c>
      <c r="B61" s="885" t="e">
        <f>+#REF!</f>
        <v>#REF!</v>
      </c>
      <c r="C61" s="840" t="s">
        <v>95</v>
      </c>
      <c r="D61" s="995">
        <f>+J61</f>
        <v>6514.2000000000007</v>
      </c>
      <c r="E61" s="860"/>
      <c r="F61" s="855"/>
      <c r="G61" s="255"/>
      <c r="H61" s="255">
        <f>(F9*I9+F10*I10+F11*I11+F12*I12)*0.3</f>
        <v>5922</v>
      </c>
      <c r="I61" s="262">
        <v>1.1000000000000001</v>
      </c>
      <c r="J61" s="255">
        <f>H61*I61</f>
        <v>6514.2000000000007</v>
      </c>
    </row>
    <row r="62" spans="1:11" s="129" customFormat="1" ht="15.95" customHeight="1">
      <c r="A62" s="879" t="e">
        <f>+#REF!</f>
        <v>#REF!</v>
      </c>
      <c r="B62" s="910" t="e">
        <f>+#REF!</f>
        <v>#REF!</v>
      </c>
      <c r="C62" s="1034"/>
      <c r="D62" s="996"/>
      <c r="E62" s="945"/>
      <c r="F62" s="861"/>
      <c r="G62" s="255"/>
      <c r="H62" s="255"/>
      <c r="I62" s="262">
        <v>1.1000000000000001</v>
      </c>
      <c r="J62" s="255">
        <f t="shared" ref="J62:J63" si="4">H62*I62</f>
        <v>0</v>
      </c>
    </row>
    <row r="63" spans="1:11" s="129" customFormat="1" ht="15.95" customHeight="1">
      <c r="A63" s="880"/>
      <c r="B63" s="885"/>
      <c r="C63" s="840" t="s">
        <v>95</v>
      </c>
      <c r="D63" s="995">
        <f>+J63</f>
        <v>3257.1000000000004</v>
      </c>
      <c r="E63" s="860"/>
      <c r="F63" s="855"/>
      <c r="G63" s="255"/>
      <c r="H63" s="255">
        <f>+H61*0.5</f>
        <v>2961</v>
      </c>
      <c r="I63" s="262">
        <v>1.1000000000000001</v>
      </c>
      <c r="J63" s="255">
        <f t="shared" si="4"/>
        <v>3257.1000000000004</v>
      </c>
    </row>
    <row r="64" spans="1:11" s="129" customFormat="1" ht="15.95" customHeight="1">
      <c r="A64" s="879" t="e">
        <f>+#REF!</f>
        <v>#REF!</v>
      </c>
      <c r="B64" s="910" t="e">
        <f>+#REF!</f>
        <v>#REF!</v>
      </c>
      <c r="C64" s="1034"/>
      <c r="D64" s="996"/>
      <c r="E64" s="945"/>
      <c r="F64" s="861"/>
      <c r="G64" s="255"/>
      <c r="H64" s="255"/>
      <c r="I64" s="262"/>
      <c r="J64" s="255"/>
    </row>
    <row r="65" spans="1:38" s="205" customFormat="1" ht="15.95" customHeight="1">
      <c r="A65" s="880"/>
      <c r="B65" s="885"/>
      <c r="C65" s="840" t="s">
        <v>95</v>
      </c>
      <c r="D65" s="995">
        <f>+J65</f>
        <v>3257.1000000000004</v>
      </c>
      <c r="E65" s="860"/>
      <c r="F65" s="855"/>
      <c r="G65" s="255"/>
      <c r="H65" s="255">
        <f>H61*0.5</f>
        <v>2961</v>
      </c>
      <c r="I65" s="262">
        <v>1.1000000000000001</v>
      </c>
      <c r="J65" s="255">
        <f>H65*I65</f>
        <v>3257.1000000000004</v>
      </c>
      <c r="K65" s="129"/>
      <c r="L65" s="129"/>
      <c r="M65" s="129"/>
      <c r="N65" s="129"/>
      <c r="O65" s="129"/>
      <c r="P65" s="129"/>
      <c r="Q65" s="129"/>
      <c r="R65" s="129"/>
      <c r="S65" s="129"/>
      <c r="T65" s="129"/>
      <c r="U65" s="129"/>
      <c r="V65" s="129"/>
      <c r="W65" s="129"/>
      <c r="X65" s="129"/>
      <c r="Y65" s="129"/>
      <c r="Z65" s="129"/>
      <c r="AA65" s="129"/>
      <c r="AB65" s="129"/>
      <c r="AC65" s="129"/>
      <c r="AD65" s="129"/>
      <c r="AE65" s="129"/>
      <c r="AF65" s="129"/>
      <c r="AG65" s="129"/>
      <c r="AH65" s="129"/>
      <c r="AI65" s="129"/>
      <c r="AJ65" s="129"/>
      <c r="AK65" s="129"/>
      <c r="AL65" s="129"/>
    </row>
    <row r="66" spans="1:38" s="129" customFormat="1" ht="20.100000000000001" customHeight="1">
      <c r="A66" s="878"/>
      <c r="B66" s="1040"/>
      <c r="C66" s="1032"/>
      <c r="D66" s="1022"/>
      <c r="E66" s="1023" t="s">
        <v>110</v>
      </c>
      <c r="F66" s="1024"/>
      <c r="G66" s="255"/>
      <c r="H66" s="255"/>
      <c r="I66" s="262"/>
      <c r="J66" s="255"/>
    </row>
    <row r="67" spans="1:38" s="129" customFormat="1" ht="15.95" customHeight="1">
      <c r="A67" s="878"/>
      <c r="B67" s="1040"/>
      <c r="C67" s="883"/>
      <c r="D67" s="1041"/>
      <c r="E67" s="1042"/>
      <c r="F67" s="862"/>
      <c r="G67" s="255"/>
      <c r="H67" s="255"/>
      <c r="I67" s="262"/>
      <c r="J67" s="255"/>
    </row>
    <row r="68" spans="1:38" s="129" customFormat="1" ht="15.95" customHeight="1">
      <c r="A68" s="1963" t="e">
        <f>+#REF!</f>
        <v>#REF!</v>
      </c>
      <c r="B68" s="1964"/>
      <c r="C68" s="1964"/>
      <c r="D68" s="1964"/>
      <c r="E68" s="1964"/>
      <c r="F68" s="1965"/>
      <c r="G68" s="255"/>
      <c r="H68" s="270">
        <f>+M15*0.15+N15*0.25+20*20*20*0.15</f>
        <v>4299</v>
      </c>
      <c r="I68" s="262">
        <f>1.1</f>
        <v>1.1000000000000001</v>
      </c>
      <c r="J68" s="255">
        <f>+H68*I68</f>
        <v>4728.9000000000005</v>
      </c>
    </row>
    <row r="69" spans="1:38" s="129" customFormat="1" ht="15.95" customHeight="1">
      <c r="A69" s="879" t="e">
        <f>+#REF!</f>
        <v>#REF!</v>
      </c>
      <c r="B69" s="910" t="e">
        <f>+#REF!</f>
        <v>#REF!</v>
      </c>
      <c r="C69" s="1034"/>
      <c r="D69" s="1035"/>
      <c r="E69" s="945"/>
      <c r="F69" s="861"/>
      <c r="G69" s="255"/>
      <c r="H69" s="255"/>
      <c r="I69" s="262"/>
      <c r="J69" s="255"/>
      <c r="K69" s="129" t="s">
        <v>273</v>
      </c>
    </row>
    <row r="70" spans="1:38" s="129" customFormat="1" ht="15.95" customHeight="1">
      <c r="A70" s="880" t="e">
        <f>+#REF!</f>
        <v>#REF!</v>
      </c>
      <c r="B70" s="885" t="e">
        <f>+#REF!</f>
        <v>#REF!</v>
      </c>
      <c r="C70" s="840" t="s">
        <v>95</v>
      </c>
      <c r="D70" s="995">
        <f>J70</f>
        <v>10281.259999999998</v>
      </c>
      <c r="E70" s="860"/>
      <c r="F70" s="855"/>
      <c r="G70" s="255"/>
      <c r="H70" s="270">
        <f>+(M15+N15)*0.35+P13*0.2 +20*20*20*0.35</f>
        <v>9346.5999999999985</v>
      </c>
      <c r="I70" s="262">
        <f>1.1</f>
        <v>1.1000000000000001</v>
      </c>
      <c r="J70" s="255">
        <f>+H70*I70</f>
        <v>10281.259999999998</v>
      </c>
    </row>
    <row r="71" spans="1:38" s="129" customFormat="1" ht="15.95" customHeight="1">
      <c r="A71" s="879" t="e">
        <f>+#REF!</f>
        <v>#REF!</v>
      </c>
      <c r="B71" s="910" t="e">
        <f>+#REF!</f>
        <v>#REF!</v>
      </c>
      <c r="C71" s="1034"/>
      <c r="D71" s="1035"/>
      <c r="E71" s="945"/>
      <c r="F71" s="861"/>
      <c r="G71" s="255"/>
    </row>
    <row r="72" spans="1:38" s="129" customFormat="1" ht="15.95" customHeight="1">
      <c r="A72" s="880"/>
      <c r="B72" s="885"/>
      <c r="C72" s="840" t="s">
        <v>14</v>
      </c>
      <c r="D72" s="995">
        <f>J72</f>
        <v>461067.75000000006</v>
      </c>
      <c r="E72" s="860"/>
      <c r="F72" s="855"/>
      <c r="G72" s="255"/>
      <c r="H72" s="255">
        <f>H68*1950*5%</f>
        <v>419152.5</v>
      </c>
      <c r="I72" s="262">
        <v>1.1000000000000001</v>
      </c>
      <c r="J72" s="255">
        <f>H72*I72</f>
        <v>461067.75000000006</v>
      </c>
      <c r="L72" s="129">
        <f>+(M15+N15)*0.15</f>
        <v>2531.4</v>
      </c>
    </row>
    <row r="73" spans="1:38" s="129" customFormat="1" ht="15.95" customHeight="1">
      <c r="A73" s="875" t="e">
        <f>+#REF!</f>
        <v>#REF!</v>
      </c>
      <c r="B73" s="914" t="e">
        <f>+#REF!</f>
        <v>#REF!</v>
      </c>
      <c r="C73" s="849"/>
      <c r="D73" s="996"/>
      <c r="E73" s="945"/>
      <c r="F73" s="861"/>
      <c r="G73" s="255"/>
      <c r="H73" s="255"/>
      <c r="I73" s="262"/>
      <c r="J73" s="255"/>
    </row>
    <row r="74" spans="1:38" s="129" customFormat="1" ht="15.95" customHeight="1">
      <c r="A74" s="888" t="e">
        <f>+#REF!</f>
        <v>#REF!</v>
      </c>
      <c r="B74" s="931" t="e">
        <f>+#REF!</f>
        <v>#REF!</v>
      </c>
      <c r="C74" s="839"/>
      <c r="D74" s="997"/>
      <c r="E74" s="946"/>
      <c r="F74" s="1036"/>
      <c r="G74" s="255"/>
    </row>
    <row r="75" spans="1:38" s="129" customFormat="1" ht="15.95" customHeight="1">
      <c r="A75" s="888" t="e">
        <f>+#REF!</f>
        <v>#REF!</v>
      </c>
      <c r="B75" s="931" t="e">
        <f>+#REF!</f>
        <v>#REF!</v>
      </c>
      <c r="C75" s="839" t="s">
        <v>94</v>
      </c>
      <c r="D75" s="997">
        <f>+J75</f>
        <v>5959.8</v>
      </c>
      <c r="E75" s="946"/>
      <c r="F75" s="1036"/>
      <c r="G75" s="255"/>
      <c r="H75" s="255">
        <f>+N15</f>
        <v>5676</v>
      </c>
      <c r="I75" s="262">
        <v>1.05</v>
      </c>
      <c r="J75" s="255">
        <f>+H75*I75</f>
        <v>5959.8</v>
      </c>
    </row>
    <row r="76" spans="1:38" s="129" customFormat="1" ht="15.95" customHeight="1">
      <c r="A76" s="888" t="e">
        <f>+#REF!</f>
        <v>#REF!</v>
      </c>
      <c r="B76" s="931" t="e">
        <f>+#REF!</f>
        <v>#REF!</v>
      </c>
      <c r="C76" s="839" t="s">
        <v>94</v>
      </c>
      <c r="D76" s="997">
        <f>+J76*0.91</f>
        <v>10701.6</v>
      </c>
      <c r="E76" s="946"/>
      <c r="F76" s="1036"/>
      <c r="G76" s="255"/>
      <c r="H76" s="255">
        <f>+M15</f>
        <v>11200</v>
      </c>
      <c r="I76" s="262">
        <v>1.05</v>
      </c>
      <c r="J76" s="255">
        <f t="shared" ref="J76:J77" si="5">+H76*I76</f>
        <v>11760</v>
      </c>
    </row>
    <row r="77" spans="1:38" s="129" customFormat="1" ht="15.95" customHeight="1">
      <c r="A77" s="888" t="e">
        <f>+#REF!</f>
        <v>#REF!</v>
      </c>
      <c r="B77" s="931" t="e">
        <f>+#REF!</f>
        <v>#REF!</v>
      </c>
      <c r="C77" s="839" t="s">
        <v>94</v>
      </c>
      <c r="D77" s="997">
        <f>+J77*0.83</f>
        <v>2788.7999999999997</v>
      </c>
      <c r="E77" s="946"/>
      <c r="F77" s="1036"/>
      <c r="G77" s="255"/>
      <c r="H77" s="255">
        <f>+P13</f>
        <v>3200</v>
      </c>
      <c r="I77" s="262">
        <v>1.05</v>
      </c>
      <c r="J77" s="255">
        <f t="shared" si="5"/>
        <v>3360</v>
      </c>
    </row>
    <row r="78" spans="1:38" s="129" customFormat="1" ht="15.95" customHeight="1">
      <c r="A78" s="888" t="e">
        <f>+#REF!</f>
        <v>#REF!</v>
      </c>
      <c r="B78" s="931" t="e">
        <f>+#REF!</f>
        <v>#REF!</v>
      </c>
      <c r="C78" s="839"/>
      <c r="D78" s="997"/>
      <c r="E78" s="946"/>
      <c r="F78" s="1036"/>
      <c r="G78" s="255"/>
      <c r="H78" s="255"/>
      <c r="I78" s="262"/>
      <c r="J78" s="255"/>
    </row>
    <row r="79" spans="1:38" s="129" customFormat="1" ht="15.95" customHeight="1">
      <c r="A79" s="888" t="e">
        <f>+#REF!</f>
        <v>#REF!</v>
      </c>
      <c r="B79" s="931" t="e">
        <f>+#REF!</f>
        <v>#REF!</v>
      </c>
      <c r="C79" s="839" t="s">
        <v>94</v>
      </c>
      <c r="D79" s="997">
        <f>+D75</f>
        <v>5959.8</v>
      </c>
      <c r="E79" s="946"/>
      <c r="F79" s="1036"/>
      <c r="G79" s="255"/>
      <c r="H79" s="255"/>
      <c r="I79" s="262"/>
      <c r="J79" s="255"/>
    </row>
    <row r="80" spans="1:38" s="129" customFormat="1" ht="15.95" customHeight="1">
      <c r="A80" s="888" t="e">
        <f>+#REF!</f>
        <v>#REF!</v>
      </c>
      <c r="B80" s="931" t="e">
        <f>+#REF!</f>
        <v>#REF!</v>
      </c>
      <c r="C80" s="839" t="s">
        <v>94</v>
      </c>
      <c r="D80" s="997">
        <f t="shared" ref="D80:D81" si="6">+D76</f>
        <v>10701.6</v>
      </c>
      <c r="E80" s="946"/>
      <c r="F80" s="1036"/>
      <c r="G80" s="255"/>
      <c r="H80" s="255"/>
      <c r="I80" s="262"/>
      <c r="J80" s="255"/>
    </row>
    <row r="81" spans="1:10" s="129" customFormat="1" ht="15.95" customHeight="1">
      <c r="A81" s="890" t="e">
        <f>+#REF!</f>
        <v>#REF!</v>
      </c>
      <c r="B81" s="924" t="e">
        <f>+#REF!</f>
        <v>#REF!</v>
      </c>
      <c r="C81" s="840" t="s">
        <v>94</v>
      </c>
      <c r="D81" s="995">
        <f t="shared" si="6"/>
        <v>2788.7999999999997</v>
      </c>
      <c r="E81" s="860"/>
      <c r="F81" s="855"/>
      <c r="G81" s="255"/>
      <c r="H81" s="255"/>
      <c r="I81" s="262"/>
      <c r="J81" s="255"/>
    </row>
    <row r="82" spans="1:10" s="129" customFormat="1" ht="15.95" customHeight="1">
      <c r="A82" s="875" t="e">
        <f>+#REF!</f>
        <v>#REF!</v>
      </c>
      <c r="B82" s="914" t="e">
        <f>+#REF!</f>
        <v>#REF!</v>
      </c>
      <c r="C82" s="1043"/>
      <c r="D82" s="996"/>
      <c r="E82" s="945"/>
      <c r="F82" s="861"/>
      <c r="G82" s="255"/>
      <c r="H82" s="255"/>
      <c r="I82" s="262"/>
      <c r="J82" s="255"/>
    </row>
    <row r="83" spans="1:10" s="129" customFormat="1" ht="15.95" customHeight="1">
      <c r="A83" s="888" t="e">
        <f>+#REF!</f>
        <v>#REF!</v>
      </c>
      <c r="B83" s="931" t="e">
        <f>+#REF!</f>
        <v>#REF!</v>
      </c>
      <c r="C83" s="839"/>
      <c r="D83" s="997"/>
      <c r="E83" s="946"/>
      <c r="F83" s="1036"/>
      <c r="G83" s="255"/>
      <c r="H83" s="255">
        <f>20*20</f>
        <v>400</v>
      </c>
      <c r="I83" s="262">
        <v>1.1000000000000001</v>
      </c>
      <c r="J83" s="255">
        <f>+H83*I83</f>
        <v>440.00000000000006</v>
      </c>
    </row>
    <row r="84" spans="1:10" s="129" customFormat="1" ht="15.95" customHeight="1">
      <c r="A84" s="888" t="e">
        <f>+#REF!</f>
        <v>#REF!</v>
      </c>
      <c r="B84" s="931" t="e">
        <f>+#REF!</f>
        <v>#REF!</v>
      </c>
      <c r="C84" s="839" t="s">
        <v>94</v>
      </c>
      <c r="D84" s="997">
        <f>+J83</f>
        <v>440.00000000000006</v>
      </c>
      <c r="E84" s="946"/>
      <c r="F84" s="1036"/>
      <c r="G84" s="255"/>
      <c r="H84" s="255"/>
      <c r="I84" s="262"/>
      <c r="J84" s="255"/>
    </row>
    <row r="85" spans="1:10" s="129" customFormat="1" ht="15.95" customHeight="1">
      <c r="A85" s="888" t="e">
        <f>+#REF!</f>
        <v>#REF!</v>
      </c>
      <c r="B85" s="931" t="e">
        <f>+#REF!</f>
        <v>#REF!</v>
      </c>
      <c r="C85" s="839" t="s">
        <v>94</v>
      </c>
      <c r="D85" s="997">
        <f>+H85</f>
        <v>1600</v>
      </c>
      <c r="E85" s="946"/>
      <c r="F85" s="1036"/>
      <c r="G85" s="255"/>
      <c r="H85" s="255">
        <f>SUM(F9:F11)*2</f>
        <v>1600</v>
      </c>
      <c r="I85" s="262">
        <v>1</v>
      </c>
      <c r="J85" s="255">
        <f>+H85*I85</f>
        <v>1600</v>
      </c>
    </row>
    <row r="86" spans="1:10" s="129" customFormat="1" ht="15.95" customHeight="1">
      <c r="A86" s="888" t="e">
        <f>+#REF!</f>
        <v>#REF!</v>
      </c>
      <c r="B86" s="931" t="e">
        <f>+#REF!</f>
        <v>#REF!</v>
      </c>
      <c r="C86" s="839" t="s">
        <v>94</v>
      </c>
      <c r="D86" s="997">
        <f>+J86</f>
        <v>3360</v>
      </c>
      <c r="E86" s="946"/>
      <c r="F86" s="1036"/>
      <c r="G86" s="255"/>
      <c r="H86" s="255">
        <f>+(F9+F10+F11+20*2*20)*2</f>
        <v>3200</v>
      </c>
      <c r="I86" s="262">
        <v>1.05</v>
      </c>
      <c r="J86" s="255">
        <f>+H86*I86</f>
        <v>3360</v>
      </c>
    </row>
    <row r="87" spans="1:10" s="129" customFormat="1" ht="15.95" customHeight="1">
      <c r="A87" s="888" t="e">
        <f>+#REF!</f>
        <v>#REF!</v>
      </c>
      <c r="B87" s="931" t="e">
        <f>+#REF!</f>
        <v>#REF!</v>
      </c>
      <c r="C87" s="839"/>
      <c r="D87" s="997"/>
      <c r="E87" s="946"/>
      <c r="F87" s="1036"/>
      <c r="G87" s="255"/>
      <c r="H87" s="255"/>
      <c r="I87" s="262"/>
      <c r="J87" s="255"/>
    </row>
    <row r="88" spans="1:10" s="129" customFormat="1" ht="15.95" customHeight="1">
      <c r="A88" s="888" t="e">
        <f>+#REF!</f>
        <v>#REF!</v>
      </c>
      <c r="B88" s="931" t="e">
        <f>+#REF!</f>
        <v>#REF!</v>
      </c>
      <c r="C88" s="839" t="s">
        <v>94</v>
      </c>
      <c r="D88" s="997">
        <f>+D84</f>
        <v>440.00000000000006</v>
      </c>
      <c r="E88" s="946"/>
      <c r="F88" s="1036"/>
      <c r="G88" s="255"/>
      <c r="H88" s="255"/>
      <c r="I88" s="262"/>
      <c r="J88" s="255"/>
    </row>
    <row r="89" spans="1:10" s="129" customFormat="1" ht="15.95" customHeight="1">
      <c r="A89" s="888" t="e">
        <f>+#REF!</f>
        <v>#REF!</v>
      </c>
      <c r="B89" s="931" t="e">
        <f>+#REF!</f>
        <v>#REF!</v>
      </c>
      <c r="C89" s="839" t="s">
        <v>94</v>
      </c>
      <c r="D89" s="997">
        <f>+D85</f>
        <v>1600</v>
      </c>
      <c r="E89" s="946"/>
      <c r="F89" s="1036"/>
      <c r="G89" s="255"/>
      <c r="H89" s="255"/>
      <c r="I89" s="262"/>
      <c r="J89" s="255"/>
    </row>
    <row r="90" spans="1:10" s="129" customFormat="1" ht="15.95" customHeight="1">
      <c r="A90" s="890" t="e">
        <f>+#REF!</f>
        <v>#REF!</v>
      </c>
      <c r="B90" s="924" t="e">
        <f>+#REF!</f>
        <v>#REF!</v>
      </c>
      <c r="C90" s="840" t="s">
        <v>94</v>
      </c>
      <c r="D90" s="995">
        <f>+D86</f>
        <v>3360</v>
      </c>
      <c r="E90" s="860"/>
      <c r="F90" s="855"/>
      <c r="G90" s="255"/>
      <c r="H90" s="255"/>
      <c r="I90" s="262"/>
      <c r="J90" s="255"/>
    </row>
    <row r="91" spans="1:10" s="129" customFormat="1" ht="15.95" customHeight="1">
      <c r="A91" s="895" t="e">
        <f>+#REF!</f>
        <v>#REF!</v>
      </c>
      <c r="B91" s="1044" t="e">
        <f>+#REF!</f>
        <v>#REF!</v>
      </c>
      <c r="C91" s="1043"/>
      <c r="D91" s="998"/>
      <c r="E91" s="1045"/>
      <c r="F91" s="1046"/>
      <c r="G91" s="255"/>
      <c r="H91" s="255"/>
      <c r="I91" s="262"/>
      <c r="J91" s="255"/>
    </row>
    <row r="92" spans="1:10" s="129" customFormat="1" ht="15.95" customHeight="1">
      <c r="A92" s="888" t="e">
        <f>+#REF!</f>
        <v>#REF!</v>
      </c>
      <c r="B92" s="931" t="e">
        <f>+#REF!</f>
        <v>#REF!</v>
      </c>
      <c r="C92" s="839"/>
      <c r="D92" s="997"/>
      <c r="E92" s="946"/>
      <c r="F92" s="1036"/>
      <c r="G92" s="255"/>
      <c r="H92" s="255"/>
      <c r="I92" s="262"/>
      <c r="J92" s="255"/>
    </row>
    <row r="93" spans="1:10" s="129" customFormat="1" ht="15.95" customHeight="1">
      <c r="A93" s="888" t="e">
        <f>+#REF!</f>
        <v>#REF!</v>
      </c>
      <c r="B93" s="931" t="e">
        <f>+#REF!</f>
        <v>#REF!</v>
      </c>
      <c r="C93" s="839" t="s">
        <v>94</v>
      </c>
      <c r="D93" s="997">
        <f>+D76*0.1</f>
        <v>1070.1600000000001</v>
      </c>
      <c r="E93" s="946"/>
      <c r="F93" s="1036"/>
      <c r="G93" s="255"/>
      <c r="H93" s="255"/>
      <c r="I93" s="262"/>
      <c r="J93" s="255"/>
    </row>
    <row r="94" spans="1:10" s="129" customFormat="1" ht="15.95" customHeight="1">
      <c r="A94" s="890" t="e">
        <f>+#REF!</f>
        <v>#REF!</v>
      </c>
      <c r="B94" s="924" t="e">
        <f>+#REF!</f>
        <v>#REF!</v>
      </c>
      <c r="C94" s="840" t="s">
        <v>94</v>
      </c>
      <c r="D94" s="995">
        <f>+D76*0.2</f>
        <v>2140.3200000000002</v>
      </c>
      <c r="E94" s="860"/>
      <c r="F94" s="855"/>
      <c r="G94" s="255"/>
      <c r="H94" s="255"/>
      <c r="I94" s="262"/>
      <c r="J94" s="255"/>
    </row>
    <row r="95" spans="1:10" s="129" customFormat="1" ht="15.95" customHeight="1">
      <c r="A95" s="895" t="e">
        <f>+#REF!</f>
        <v>#REF!</v>
      </c>
      <c r="B95" s="1044" t="e">
        <f>+#REF!</f>
        <v>#REF!</v>
      </c>
      <c r="C95" s="1043"/>
      <c r="D95" s="998"/>
      <c r="E95" s="1045"/>
      <c r="F95" s="1046"/>
      <c r="G95" s="255"/>
      <c r="H95" s="255"/>
      <c r="I95" s="262"/>
      <c r="J95" s="255"/>
    </row>
    <row r="96" spans="1:10" s="129" customFormat="1" ht="15.95" customHeight="1">
      <c r="A96" s="888" t="e">
        <f>+#REF!</f>
        <v>#REF!</v>
      </c>
      <c r="B96" s="931" t="e">
        <f>+#REF!</f>
        <v>#REF!</v>
      </c>
      <c r="C96" s="839" t="s">
        <v>94</v>
      </c>
      <c r="D96" s="997">
        <f>+D93</f>
        <v>1070.1600000000001</v>
      </c>
      <c r="E96" s="946"/>
      <c r="F96" s="1036"/>
      <c r="G96" s="255"/>
      <c r="H96" s="255"/>
      <c r="I96" s="262"/>
      <c r="J96" s="255"/>
    </row>
    <row r="97" spans="1:16" s="129" customFormat="1" ht="15.95" customHeight="1">
      <c r="A97" s="890" t="e">
        <f>+#REF!</f>
        <v>#REF!</v>
      </c>
      <c r="B97" s="924" t="e">
        <f>+#REF!</f>
        <v>#REF!</v>
      </c>
      <c r="C97" s="840" t="s">
        <v>94</v>
      </c>
      <c r="D97" s="995">
        <f>+D94</f>
        <v>2140.3200000000002</v>
      </c>
      <c r="E97" s="860"/>
      <c r="F97" s="855"/>
      <c r="G97" s="255"/>
      <c r="H97" s="255"/>
      <c r="I97" s="262"/>
      <c r="J97" s="255"/>
    </row>
    <row r="98" spans="1:16" s="129" customFormat="1" ht="20.100000000000001" customHeight="1">
      <c r="A98" s="894"/>
      <c r="B98" s="1047"/>
      <c r="C98" s="1032"/>
      <c r="D98" s="1022"/>
      <c r="E98" s="1023" t="s">
        <v>109</v>
      </c>
      <c r="F98" s="1024"/>
      <c r="G98" s="255"/>
      <c r="H98" s="255"/>
      <c r="I98" s="262"/>
      <c r="J98" s="255"/>
      <c r="L98" s="129">
        <f>2.95*2</f>
        <v>5.9</v>
      </c>
    </row>
    <row r="99" spans="1:16" s="129" customFormat="1" ht="15.95" customHeight="1">
      <c r="A99" s="894"/>
      <c r="B99" s="1047"/>
      <c r="C99" s="272"/>
      <c r="D99" s="1048"/>
      <c r="E99" s="1049"/>
      <c r="F99" s="1049"/>
      <c r="G99" s="255"/>
      <c r="H99" s="255"/>
      <c r="I99" s="262"/>
      <c r="J99" s="255"/>
    </row>
    <row r="100" spans="1:16" s="129" customFormat="1" ht="15.95" customHeight="1">
      <c r="A100" s="1963" t="e">
        <f>+#REF!</f>
        <v>#REF!</v>
      </c>
      <c r="B100" s="1964"/>
      <c r="C100" s="1964"/>
      <c r="D100" s="1964"/>
      <c r="E100" s="1964"/>
      <c r="F100" s="1965"/>
      <c r="G100" s="255"/>
      <c r="H100" s="255"/>
      <c r="I100" s="262"/>
      <c r="J100" s="255"/>
    </row>
    <row r="101" spans="1:16" s="129" customFormat="1" ht="15.95" customHeight="1">
      <c r="A101" s="896" t="e">
        <f>+#REF!</f>
        <v>#REF!</v>
      </c>
      <c r="B101" s="914" t="e">
        <f>+#REF!</f>
        <v>#REF!</v>
      </c>
      <c r="C101" s="845"/>
      <c r="D101" s="994"/>
      <c r="E101" s="945"/>
      <c r="F101" s="861"/>
      <c r="G101" s="255"/>
      <c r="H101" s="255"/>
      <c r="I101" s="262"/>
      <c r="J101" s="255"/>
      <c r="L101" s="129">
        <v>6.1</v>
      </c>
    </row>
    <row r="102" spans="1:16" s="129" customFormat="1" ht="15.95" customHeight="1">
      <c r="A102" s="885"/>
      <c r="B102" s="897"/>
      <c r="C102" s="840" t="s">
        <v>95</v>
      </c>
      <c r="D102" s="995">
        <f>J102</f>
        <v>62272.28517857143</v>
      </c>
      <c r="E102" s="860"/>
      <c r="F102" s="855"/>
      <c r="G102" s="255"/>
      <c r="H102" s="336">
        <f>83607*0.9</f>
        <v>75246.3</v>
      </c>
      <c r="I102" s="262">
        <v>1</v>
      </c>
      <c r="J102" s="255">
        <f>H102*I102-J104</f>
        <v>62272.28517857143</v>
      </c>
      <c r="L102" s="129">
        <f>2*9</f>
        <v>18</v>
      </c>
      <c r="M102" s="129" t="s">
        <v>498</v>
      </c>
    </row>
    <row r="103" spans="1:16" s="129" customFormat="1" ht="15.95" customHeight="1">
      <c r="A103" s="875" t="e">
        <f>+#REF!</f>
        <v>#REF!</v>
      </c>
      <c r="B103" s="914" t="e">
        <f>+#REF!</f>
        <v>#REF!</v>
      </c>
      <c r="C103" s="845"/>
      <c r="D103" s="994"/>
      <c r="E103" s="945"/>
      <c r="F103" s="861"/>
      <c r="G103" s="255"/>
      <c r="H103" s="255"/>
      <c r="I103" s="262"/>
      <c r="J103" s="255"/>
      <c r="L103" s="129">
        <f>2*2</f>
        <v>4</v>
      </c>
    </row>
    <row r="104" spans="1:16" s="129" customFormat="1" ht="15.95" customHeight="1">
      <c r="A104" s="880"/>
      <c r="B104" s="924"/>
      <c r="C104" s="840" t="s">
        <v>95</v>
      </c>
      <c r="D104" s="995">
        <f>+J104</f>
        <v>12974.014821428573</v>
      </c>
      <c r="E104" s="860"/>
      <c r="F104" s="855"/>
      <c r="G104" s="255"/>
      <c r="H104" s="328">
        <f>+H102/2016*(2016-1700)</f>
        <v>11794.558928571429</v>
      </c>
      <c r="I104" s="262">
        <v>1.1000000000000001</v>
      </c>
      <c r="J104" s="255">
        <f>H104*I104</f>
        <v>12974.014821428573</v>
      </c>
      <c r="K104" s="328">
        <f>+K102/2016*(2016-1700)</f>
        <v>0</v>
      </c>
      <c r="L104" s="262">
        <v>1.1000000000000001</v>
      </c>
      <c r="M104" s="255">
        <f>K104*L104</f>
        <v>0</v>
      </c>
      <c r="N104" s="328">
        <f>+N102/2016*(2016-1700)</f>
        <v>0</v>
      </c>
      <c r="O104" s="262">
        <v>1.1000000000000001</v>
      </c>
      <c r="P104" s="255">
        <f>N104*O104</f>
        <v>0</v>
      </c>
    </row>
    <row r="105" spans="1:16" s="129" customFormat="1" ht="15.95" customHeight="1">
      <c r="A105" s="875" t="e">
        <f>+#REF!</f>
        <v>#REF!</v>
      </c>
      <c r="B105" s="914" t="e">
        <f>+#REF!</f>
        <v>#REF!</v>
      </c>
      <c r="C105" s="845"/>
      <c r="D105" s="994"/>
      <c r="E105" s="945"/>
      <c r="F105" s="861"/>
      <c r="G105" s="255"/>
      <c r="H105" s="328">
        <f>+H103/2016*(2016-1700)</f>
        <v>0</v>
      </c>
      <c r="I105" s="262">
        <v>1.1000000000000001</v>
      </c>
      <c r="J105" s="255">
        <f>H105*I105</f>
        <v>0</v>
      </c>
      <c r="K105" s="328">
        <f>+K103/2016*(2016-1700)</f>
        <v>0</v>
      </c>
      <c r="L105" s="262">
        <v>1.1000000000000001</v>
      </c>
      <c r="M105" s="255">
        <f>K105*L105</f>
        <v>0</v>
      </c>
      <c r="N105" s="328">
        <f>+N103/2016*(2016-1700)</f>
        <v>0</v>
      </c>
      <c r="O105" s="262">
        <v>1.1000000000000001</v>
      </c>
      <c r="P105" s="255">
        <f>N105*O105</f>
        <v>0</v>
      </c>
    </row>
    <row r="106" spans="1:16" s="129" customFormat="1" ht="15.95" customHeight="1">
      <c r="A106" s="880"/>
      <c r="B106" s="924"/>
      <c r="C106" s="840" t="s">
        <v>95</v>
      </c>
      <c r="D106" s="995">
        <f>J106</f>
        <v>50803.44</v>
      </c>
      <c r="E106" s="860"/>
      <c r="F106" s="855"/>
      <c r="G106" s="255"/>
      <c r="H106" s="256">
        <f>H102-(6.3*2.4*F4)-(4.3*2.4*F3)-(1+0.25*2+0.1*2)*(1.5+0.25*2+0.1)*F6</f>
        <v>63504.3</v>
      </c>
      <c r="I106" s="262">
        <v>0.8</v>
      </c>
      <c r="J106" s="255">
        <f>H106*I106</f>
        <v>50803.44</v>
      </c>
      <c r="L106" s="129">
        <f>2*3</f>
        <v>6</v>
      </c>
    </row>
    <row r="107" spans="1:16" s="129" customFormat="1" ht="15.95" customHeight="1">
      <c r="A107" s="875" t="e">
        <f>+#REF!</f>
        <v>#REF!</v>
      </c>
      <c r="B107" s="914" t="e">
        <f>+#REF!</f>
        <v>#REF!</v>
      </c>
      <c r="C107" s="845"/>
      <c r="D107" s="994"/>
      <c r="E107" s="945"/>
      <c r="F107" s="861"/>
      <c r="G107" s="255"/>
      <c r="H107" s="255"/>
      <c r="I107" s="262"/>
      <c r="J107" s="255"/>
    </row>
    <row r="108" spans="1:16" s="129" customFormat="1" ht="15.95" customHeight="1">
      <c r="A108" s="880"/>
      <c r="B108" s="924"/>
      <c r="C108" s="840" t="s">
        <v>95</v>
      </c>
      <c r="D108" s="995">
        <v>150</v>
      </c>
      <c r="E108" s="860"/>
      <c r="F108" s="855"/>
      <c r="G108" s="255"/>
      <c r="H108" s="255"/>
      <c r="I108" s="262"/>
      <c r="J108" s="255"/>
    </row>
    <row r="109" spans="1:16" s="129" customFormat="1" ht="15.95" customHeight="1">
      <c r="A109" s="875" t="e">
        <f>+#REF!</f>
        <v>#REF!</v>
      </c>
      <c r="B109" s="914" t="e">
        <f>+#REF!</f>
        <v>#REF!</v>
      </c>
      <c r="C109" s="845"/>
      <c r="D109" s="994"/>
      <c r="E109" s="945"/>
      <c r="F109" s="861"/>
      <c r="G109" s="255"/>
      <c r="H109" s="255"/>
      <c r="I109" s="262"/>
      <c r="J109" s="255"/>
    </row>
    <row r="110" spans="1:16" s="129" customFormat="1" ht="15.95" customHeight="1">
      <c r="A110" s="880"/>
      <c r="B110" s="924"/>
      <c r="C110" s="840" t="s">
        <v>94</v>
      </c>
      <c r="D110" s="995">
        <v>275</v>
      </c>
      <c r="E110" s="860"/>
      <c r="F110" s="855"/>
      <c r="G110" s="255"/>
      <c r="H110" s="255"/>
      <c r="I110" s="262"/>
      <c r="J110" s="255">
        <f>6.2+2</f>
        <v>8.1999999999999993</v>
      </c>
      <c r="K110" s="129">
        <f>2</f>
        <v>2</v>
      </c>
    </row>
    <row r="111" spans="1:16" s="129" customFormat="1" ht="15.95" customHeight="1">
      <c r="A111" s="875" t="e">
        <f>+#REF!</f>
        <v>#REF!</v>
      </c>
      <c r="B111" s="914" t="e">
        <f>+#REF!</f>
        <v>#REF!</v>
      </c>
      <c r="C111" s="845"/>
      <c r="D111" s="994"/>
      <c r="E111" s="945"/>
      <c r="F111" s="861"/>
      <c r="G111" s="255"/>
      <c r="H111" s="255"/>
      <c r="I111" s="262"/>
      <c r="J111" s="255"/>
      <c r="K111" s="129">
        <f>J110*K110/2</f>
        <v>8.1999999999999993</v>
      </c>
    </row>
    <row r="112" spans="1:16" s="129" customFormat="1" ht="15.95" customHeight="1">
      <c r="A112" s="880" t="e">
        <f>+#REF!</f>
        <v>#REF!</v>
      </c>
      <c r="B112" s="924" t="e">
        <f>+#REF!</f>
        <v>#REF!</v>
      </c>
      <c r="C112" s="840" t="s">
        <v>14</v>
      </c>
      <c r="D112" s="995">
        <f>(D116)*110</f>
        <v>19250</v>
      </c>
      <c r="E112" s="860"/>
      <c r="F112" s="855"/>
      <c r="G112" s="255"/>
      <c r="H112" s="255"/>
      <c r="I112" s="262"/>
      <c r="J112" s="255"/>
    </row>
    <row r="113" spans="1:189" s="129" customFormat="1" ht="15.95" customHeight="1">
      <c r="A113" s="875" t="e">
        <f>+#REF!</f>
        <v>#REF!</v>
      </c>
      <c r="B113" s="914" t="e">
        <f>+#REF!</f>
        <v>#REF!</v>
      </c>
      <c r="C113" s="845"/>
      <c r="D113" s="994"/>
      <c r="E113" s="945"/>
      <c r="F113" s="861"/>
      <c r="G113" s="255"/>
      <c r="H113" s="255"/>
      <c r="I113" s="262"/>
      <c r="J113" s="255"/>
      <c r="L113" s="129">
        <f>0.1+0.25+0.25+0.25+0.1</f>
        <v>0.95</v>
      </c>
    </row>
    <row r="114" spans="1:189" s="129" customFormat="1" ht="15.95" customHeight="1">
      <c r="A114" s="880"/>
      <c r="B114" s="924"/>
      <c r="C114" s="840" t="s">
        <v>95</v>
      </c>
      <c r="D114" s="995">
        <v>110</v>
      </c>
      <c r="E114" s="860"/>
      <c r="F114" s="855"/>
      <c r="G114" s="255"/>
      <c r="H114" s="255"/>
      <c r="I114" s="262"/>
      <c r="J114" s="255"/>
      <c r="L114" s="129">
        <f>1*2+L113</f>
        <v>2.95</v>
      </c>
      <c r="N114" s="129">
        <f>0.1+0.25+1.8+0.25</f>
        <v>2.4</v>
      </c>
    </row>
    <row r="115" spans="1:189" s="129" customFormat="1" ht="15.95" customHeight="1">
      <c r="A115" s="875" t="e">
        <f>+#REF!</f>
        <v>#REF!</v>
      </c>
      <c r="B115" s="914" t="e">
        <f>+#REF!</f>
        <v>#REF!</v>
      </c>
      <c r="C115" s="845"/>
      <c r="D115" s="994"/>
      <c r="E115" s="945"/>
      <c r="F115" s="861"/>
      <c r="G115" s="255"/>
      <c r="H115" s="255"/>
      <c r="I115" s="262"/>
      <c r="J115" s="255"/>
    </row>
    <row r="116" spans="1:189" s="129" customFormat="1" ht="15.95" customHeight="1">
      <c r="A116" s="880"/>
      <c r="B116" s="924"/>
      <c r="C116" s="840" t="s">
        <v>95</v>
      </c>
      <c r="D116" s="995">
        <v>175</v>
      </c>
      <c r="E116" s="860"/>
      <c r="F116" s="855"/>
      <c r="G116" s="255"/>
      <c r="H116" s="255"/>
      <c r="I116" s="262"/>
      <c r="J116" s="255"/>
    </row>
    <row r="117" spans="1:189" s="129" customFormat="1" ht="30" customHeight="1">
      <c r="A117" s="879" t="e">
        <f>+#REF!</f>
        <v>#REF!</v>
      </c>
      <c r="B117" s="934" t="e">
        <f>+#REF!</f>
        <v>#REF!</v>
      </c>
      <c r="C117" s="1034"/>
      <c r="D117" s="1035"/>
      <c r="E117" s="945"/>
      <c r="F117" s="861"/>
      <c r="G117" s="255"/>
      <c r="H117" s="255"/>
      <c r="I117" s="262"/>
      <c r="J117" s="255"/>
    </row>
    <row r="118" spans="1:189" s="129" customFormat="1" ht="15.95" customHeight="1">
      <c r="A118" s="892" t="e">
        <f>+#REF!</f>
        <v>#REF!</v>
      </c>
      <c r="B118" s="929" t="e">
        <f>+#REF!</f>
        <v>#REF!</v>
      </c>
      <c r="C118" s="839" t="s">
        <v>94</v>
      </c>
      <c r="D118" s="1038">
        <f>J118</f>
        <v>440.50600000000009</v>
      </c>
      <c r="E118" s="946"/>
      <c r="F118" s="1036"/>
      <c r="G118" s="255"/>
      <c r="H118" s="255">
        <f>2%*J53</f>
        <v>400.46000000000004</v>
      </c>
      <c r="I118" s="262">
        <v>1.1000000000000001</v>
      </c>
      <c r="J118" s="255">
        <f>H118*I118</f>
        <v>440.50600000000009</v>
      </c>
    </row>
    <row r="119" spans="1:189" s="129" customFormat="1" ht="15.95" customHeight="1">
      <c r="A119" s="892" t="e">
        <f>+#REF!</f>
        <v>#REF!</v>
      </c>
      <c r="B119" s="929" t="e">
        <f>+#REF!</f>
        <v>#REF!</v>
      </c>
      <c r="C119" s="839" t="s">
        <v>94</v>
      </c>
      <c r="D119" s="1038">
        <f>J119</f>
        <v>220.25300000000004</v>
      </c>
      <c r="E119" s="946"/>
      <c r="F119" s="1036"/>
      <c r="G119" s="255"/>
      <c r="H119" s="255">
        <f>1%*H53</f>
        <v>200.23000000000002</v>
      </c>
      <c r="I119" s="262">
        <v>1.1000000000000001</v>
      </c>
      <c r="J119" s="255">
        <f>H119*I119</f>
        <v>220.25300000000004</v>
      </c>
    </row>
    <row r="120" spans="1:189" ht="15.95" customHeight="1">
      <c r="A120" s="880" t="e">
        <f>+#REF!</f>
        <v>#REF!</v>
      </c>
      <c r="B120" s="886" t="e">
        <f>+#REF!</f>
        <v>#REF!</v>
      </c>
      <c r="C120" s="840" t="s">
        <v>94</v>
      </c>
      <c r="D120" s="1050">
        <f>H120</f>
        <v>30</v>
      </c>
      <c r="E120" s="860"/>
      <c r="F120" s="855"/>
      <c r="H120" s="255">
        <v>30</v>
      </c>
    </row>
    <row r="121" spans="1:189" s="225" customFormat="1" ht="15.95" customHeight="1">
      <c r="A121" s="879" t="e">
        <f>+#REF!</f>
        <v>#REF!</v>
      </c>
      <c r="B121" s="916" t="e">
        <f>+#REF!</f>
        <v>#REF!</v>
      </c>
      <c r="C121" s="849"/>
      <c r="D121" s="996"/>
      <c r="E121" s="945"/>
      <c r="F121" s="861"/>
      <c r="G121" s="259"/>
      <c r="H121" s="259"/>
      <c r="I121" s="265"/>
      <c r="J121" s="255">
        <f>H121*I121</f>
        <v>0</v>
      </c>
      <c r="K121" s="226"/>
      <c r="L121" s="226"/>
      <c r="M121" s="226"/>
      <c r="N121" s="226"/>
      <c r="O121" s="226"/>
      <c r="P121" s="226"/>
      <c r="Q121" s="226"/>
      <c r="R121" s="226"/>
      <c r="S121" s="226"/>
      <c r="T121" s="226"/>
      <c r="U121" s="226"/>
      <c r="V121" s="226"/>
      <c r="W121" s="226"/>
      <c r="X121" s="226"/>
      <c r="Y121" s="226"/>
      <c r="Z121" s="226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  <c r="AY121" s="226"/>
      <c r="AZ121" s="226"/>
      <c r="BA121" s="226"/>
      <c r="BB121" s="226"/>
      <c r="BC121" s="226"/>
      <c r="BD121" s="226"/>
      <c r="BE121" s="226"/>
      <c r="BF121" s="226"/>
      <c r="BG121" s="226"/>
      <c r="BH121" s="226"/>
      <c r="BI121" s="226"/>
      <c r="BJ121" s="226"/>
      <c r="BK121" s="226"/>
      <c r="BL121" s="226"/>
      <c r="BM121" s="226"/>
      <c r="BN121" s="226"/>
      <c r="BO121" s="226"/>
      <c r="BP121" s="226"/>
      <c r="BQ121" s="226"/>
      <c r="BR121" s="226"/>
      <c r="BS121" s="226"/>
      <c r="BT121" s="226"/>
      <c r="BU121" s="226"/>
      <c r="BV121" s="226"/>
      <c r="BW121" s="226"/>
      <c r="BX121" s="226"/>
      <c r="BY121" s="226"/>
      <c r="BZ121" s="226"/>
      <c r="CA121" s="226"/>
      <c r="CB121" s="226"/>
      <c r="CC121" s="226"/>
      <c r="CD121" s="226"/>
      <c r="CE121" s="226"/>
      <c r="CF121" s="226"/>
      <c r="CG121" s="226"/>
      <c r="CH121" s="226"/>
      <c r="CI121" s="226"/>
      <c r="CJ121" s="226"/>
      <c r="CK121" s="226"/>
      <c r="CL121" s="226"/>
      <c r="CM121" s="226"/>
      <c r="CN121" s="226"/>
      <c r="CO121" s="226"/>
      <c r="CP121" s="226"/>
      <c r="CQ121" s="226"/>
      <c r="CR121" s="226"/>
      <c r="CS121" s="226"/>
      <c r="CT121" s="226"/>
      <c r="CU121" s="226"/>
      <c r="CV121" s="226"/>
      <c r="CW121" s="226"/>
      <c r="CX121" s="226"/>
      <c r="CY121" s="226"/>
      <c r="CZ121" s="226"/>
      <c r="DA121" s="226"/>
      <c r="DB121" s="226"/>
      <c r="DC121" s="226"/>
      <c r="DD121" s="226"/>
      <c r="DE121" s="226"/>
      <c r="DF121" s="226"/>
      <c r="DG121" s="226"/>
      <c r="DH121" s="226"/>
      <c r="DI121" s="226"/>
      <c r="DJ121" s="226"/>
      <c r="DK121" s="226"/>
      <c r="DL121" s="226"/>
      <c r="DM121" s="226"/>
      <c r="DN121" s="226"/>
      <c r="DO121" s="226"/>
      <c r="DP121" s="226"/>
      <c r="DQ121" s="226"/>
      <c r="DR121" s="226"/>
      <c r="DS121" s="226"/>
      <c r="DT121" s="226"/>
      <c r="DU121" s="226"/>
      <c r="DV121" s="226"/>
      <c r="DW121" s="226"/>
      <c r="DX121" s="226"/>
      <c r="DY121" s="226"/>
      <c r="DZ121" s="226"/>
      <c r="EA121" s="226"/>
      <c r="EB121" s="226"/>
      <c r="EC121" s="226"/>
      <c r="ED121" s="226"/>
      <c r="EE121" s="226"/>
      <c r="EF121" s="226"/>
      <c r="EG121" s="226"/>
      <c r="EH121" s="226"/>
      <c r="EI121" s="226"/>
      <c r="EJ121" s="226"/>
      <c r="EK121" s="226"/>
      <c r="EL121" s="226"/>
      <c r="EM121" s="226"/>
      <c r="EN121" s="226"/>
      <c r="EO121" s="226"/>
      <c r="EP121" s="226"/>
      <c r="EQ121" s="226"/>
      <c r="ER121" s="226"/>
      <c r="ES121" s="226"/>
      <c r="ET121" s="226"/>
      <c r="EU121" s="226"/>
      <c r="EV121" s="226"/>
      <c r="EW121" s="226"/>
      <c r="EX121" s="226"/>
      <c r="EY121" s="226"/>
      <c r="EZ121" s="226"/>
      <c r="FA121" s="226"/>
      <c r="FB121" s="226"/>
      <c r="FC121" s="226"/>
      <c r="FD121" s="226"/>
      <c r="FE121" s="226"/>
      <c r="FF121" s="226"/>
      <c r="FG121" s="226"/>
      <c r="FH121" s="226"/>
      <c r="FI121" s="226"/>
      <c r="FJ121" s="226"/>
      <c r="FK121" s="226"/>
      <c r="FL121" s="226"/>
      <c r="FM121" s="226"/>
      <c r="FN121" s="226"/>
      <c r="FO121" s="226"/>
      <c r="FP121" s="226"/>
      <c r="FQ121" s="226"/>
      <c r="FR121" s="226"/>
      <c r="FS121" s="226"/>
      <c r="FT121" s="226"/>
      <c r="FU121" s="226"/>
      <c r="FV121" s="226"/>
      <c r="FW121" s="226"/>
      <c r="FX121" s="226"/>
      <c r="FY121" s="226"/>
      <c r="FZ121" s="226"/>
      <c r="GA121" s="226"/>
      <c r="GB121" s="226"/>
      <c r="GC121" s="226"/>
      <c r="GD121" s="226"/>
      <c r="GE121" s="226"/>
      <c r="GF121" s="226"/>
      <c r="GG121" s="226"/>
    </row>
    <row r="122" spans="1:189" s="225" customFormat="1" ht="15.95" customHeight="1">
      <c r="A122" s="892" t="e">
        <f>+#REF!</f>
        <v>#REF!</v>
      </c>
      <c r="B122" s="929" t="e">
        <f>+#REF!</f>
        <v>#REF!</v>
      </c>
      <c r="C122" s="839" t="s">
        <v>1</v>
      </c>
      <c r="D122" s="997">
        <f>+J122</f>
        <v>1152</v>
      </c>
      <c r="E122" s="946"/>
      <c r="F122" s="1036"/>
      <c r="G122" s="259"/>
      <c r="H122" s="225">
        <f>+(F9+F10+F11)*2*0.6</f>
        <v>960</v>
      </c>
      <c r="I122" s="265">
        <v>1.2</v>
      </c>
      <c r="J122" s="255">
        <f>H122*I122</f>
        <v>1152</v>
      </c>
      <c r="K122" s="226" t="s">
        <v>595</v>
      </c>
      <c r="L122" s="226"/>
      <c r="M122" s="226">
        <f>+(F9+F10+F11)*2</f>
        <v>1600</v>
      </c>
      <c r="N122" s="226"/>
      <c r="O122" s="226"/>
      <c r="P122" s="226"/>
      <c r="Q122" s="226"/>
      <c r="R122" s="226"/>
      <c r="S122" s="226"/>
      <c r="T122" s="226"/>
      <c r="U122" s="226"/>
      <c r="V122" s="226"/>
      <c r="W122" s="226"/>
      <c r="X122" s="226"/>
      <c r="Y122" s="226"/>
      <c r="Z122" s="226"/>
      <c r="AA122" s="226"/>
      <c r="AB122" s="226"/>
      <c r="AC122" s="226"/>
      <c r="AD122" s="226"/>
      <c r="AE122" s="226"/>
      <c r="AF122" s="226"/>
      <c r="AG122" s="226"/>
      <c r="AH122" s="226"/>
      <c r="AI122" s="226"/>
      <c r="AJ122" s="226"/>
      <c r="AK122" s="226"/>
      <c r="AL122" s="226"/>
      <c r="AM122" s="226"/>
      <c r="AN122" s="226"/>
      <c r="AO122" s="226"/>
      <c r="AP122" s="226"/>
      <c r="AQ122" s="226"/>
      <c r="AR122" s="226"/>
      <c r="AS122" s="226"/>
      <c r="AT122" s="226"/>
      <c r="AU122" s="226"/>
      <c r="AV122" s="226"/>
      <c r="AW122" s="226"/>
      <c r="AX122" s="226"/>
      <c r="AY122" s="226"/>
      <c r="AZ122" s="226"/>
      <c r="BA122" s="226"/>
      <c r="BB122" s="226"/>
      <c r="BC122" s="226"/>
      <c r="BD122" s="226"/>
      <c r="BE122" s="226"/>
      <c r="BF122" s="226"/>
      <c r="BG122" s="226"/>
      <c r="BH122" s="226"/>
      <c r="BI122" s="226"/>
      <c r="BJ122" s="226"/>
      <c r="BK122" s="226"/>
      <c r="BL122" s="226"/>
      <c r="BM122" s="226"/>
      <c r="BN122" s="226"/>
      <c r="BO122" s="226"/>
      <c r="BP122" s="226"/>
      <c r="BQ122" s="226"/>
      <c r="BR122" s="226"/>
      <c r="BS122" s="226"/>
      <c r="BT122" s="226"/>
      <c r="BU122" s="226"/>
      <c r="BV122" s="226"/>
      <c r="BW122" s="226"/>
      <c r="BX122" s="226"/>
      <c r="BY122" s="226"/>
      <c r="BZ122" s="226"/>
      <c r="CA122" s="226"/>
      <c r="CB122" s="226"/>
      <c r="CC122" s="226"/>
      <c r="CD122" s="226"/>
      <c r="CE122" s="226"/>
      <c r="CF122" s="226"/>
      <c r="CG122" s="226"/>
      <c r="CH122" s="226"/>
      <c r="CI122" s="226"/>
      <c r="CJ122" s="226"/>
      <c r="CK122" s="226"/>
      <c r="CL122" s="226"/>
      <c r="CM122" s="226"/>
      <c r="CN122" s="226"/>
      <c r="CO122" s="226"/>
      <c r="CP122" s="226"/>
      <c r="CQ122" s="226"/>
      <c r="CR122" s="226"/>
      <c r="CS122" s="226"/>
      <c r="CT122" s="226"/>
      <c r="CU122" s="226"/>
      <c r="CV122" s="226"/>
      <c r="CW122" s="226"/>
      <c r="CX122" s="226"/>
      <c r="CY122" s="226"/>
      <c r="CZ122" s="226"/>
      <c r="DA122" s="226"/>
      <c r="DB122" s="226"/>
      <c r="DC122" s="226"/>
      <c r="DD122" s="226"/>
      <c r="DE122" s="226"/>
      <c r="DF122" s="226"/>
      <c r="DG122" s="226"/>
      <c r="DH122" s="226"/>
      <c r="DI122" s="226"/>
      <c r="DJ122" s="226"/>
      <c r="DK122" s="226"/>
      <c r="DL122" s="226"/>
      <c r="DM122" s="226"/>
      <c r="DN122" s="226"/>
      <c r="DO122" s="226"/>
      <c r="DP122" s="226"/>
      <c r="DQ122" s="226"/>
      <c r="DR122" s="226"/>
      <c r="DS122" s="226"/>
      <c r="DT122" s="226"/>
      <c r="DU122" s="226"/>
      <c r="DV122" s="226"/>
      <c r="DW122" s="226"/>
      <c r="DX122" s="226"/>
      <c r="DY122" s="226"/>
      <c r="DZ122" s="226"/>
      <c r="EA122" s="226"/>
      <c r="EB122" s="226"/>
      <c r="EC122" s="226"/>
      <c r="ED122" s="226"/>
      <c r="EE122" s="226"/>
      <c r="EF122" s="226"/>
      <c r="EG122" s="226"/>
      <c r="EH122" s="226"/>
      <c r="EI122" s="226"/>
      <c r="EJ122" s="226"/>
      <c r="EK122" s="226"/>
      <c r="EL122" s="226"/>
      <c r="EM122" s="226"/>
      <c r="EN122" s="226"/>
      <c r="EO122" s="226"/>
      <c r="EP122" s="226"/>
      <c r="EQ122" s="226"/>
      <c r="ER122" s="226"/>
      <c r="ES122" s="226"/>
      <c r="ET122" s="226"/>
      <c r="EU122" s="226"/>
      <c r="EV122" s="226"/>
      <c r="EW122" s="226"/>
      <c r="EX122" s="226"/>
      <c r="EY122" s="226"/>
      <c r="EZ122" s="226"/>
      <c r="FA122" s="226"/>
      <c r="FB122" s="226"/>
      <c r="FC122" s="226"/>
      <c r="FD122" s="226"/>
      <c r="FE122" s="226"/>
      <c r="FF122" s="226"/>
      <c r="FG122" s="226"/>
      <c r="FH122" s="226"/>
      <c r="FI122" s="226"/>
      <c r="FJ122" s="226"/>
      <c r="FK122" s="226"/>
      <c r="FL122" s="226"/>
      <c r="FM122" s="226"/>
      <c r="FN122" s="226"/>
      <c r="FO122" s="226"/>
      <c r="FP122" s="226"/>
      <c r="FQ122" s="226"/>
      <c r="FR122" s="226"/>
      <c r="FS122" s="226"/>
      <c r="FT122" s="226"/>
      <c r="FU122" s="226"/>
      <c r="FV122" s="226"/>
      <c r="FW122" s="226"/>
      <c r="FX122" s="226"/>
      <c r="FY122" s="226"/>
      <c r="FZ122" s="226"/>
      <c r="GA122" s="226"/>
      <c r="GB122" s="226"/>
      <c r="GC122" s="226"/>
      <c r="GD122" s="226"/>
      <c r="GE122" s="226"/>
      <c r="GF122" s="226"/>
      <c r="GG122" s="226"/>
    </row>
    <row r="123" spans="1:189" s="225" customFormat="1" ht="15.95" customHeight="1">
      <c r="A123" s="880" t="e">
        <f>+#REF!</f>
        <v>#REF!</v>
      </c>
      <c r="B123" s="886" t="e">
        <f>+#REF!</f>
        <v>#REF!</v>
      </c>
      <c r="C123" s="840" t="s">
        <v>1</v>
      </c>
      <c r="D123" s="995">
        <f>+J123</f>
        <v>704</v>
      </c>
      <c r="E123" s="860"/>
      <c r="F123" s="855"/>
      <c r="G123" s="259"/>
      <c r="H123" s="225">
        <f>+(F9+F10+F11)*2*0.4</f>
        <v>640</v>
      </c>
      <c r="I123" s="265">
        <v>1.1000000000000001</v>
      </c>
      <c r="J123" s="255">
        <f>H123*I123</f>
        <v>704</v>
      </c>
      <c r="K123" s="226"/>
      <c r="L123" s="226"/>
      <c r="M123" s="226"/>
      <c r="N123" s="226"/>
      <c r="O123" s="226"/>
      <c r="P123" s="226"/>
      <c r="Q123" s="226"/>
      <c r="R123" s="226"/>
      <c r="S123" s="226"/>
      <c r="T123" s="226"/>
      <c r="U123" s="226"/>
      <c r="V123" s="226"/>
      <c r="W123" s="226"/>
      <c r="X123" s="226"/>
      <c r="Y123" s="226"/>
      <c r="Z123" s="226"/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  <c r="AY123" s="226"/>
      <c r="AZ123" s="226"/>
      <c r="BA123" s="226"/>
      <c r="BB123" s="226"/>
      <c r="BC123" s="226"/>
      <c r="BD123" s="226"/>
      <c r="BE123" s="226"/>
      <c r="BF123" s="226"/>
      <c r="BG123" s="226"/>
      <c r="BH123" s="226"/>
      <c r="BI123" s="226"/>
      <c r="BJ123" s="226"/>
      <c r="BK123" s="226"/>
      <c r="BL123" s="226"/>
      <c r="BM123" s="226"/>
      <c r="BN123" s="226"/>
      <c r="BO123" s="226"/>
      <c r="BP123" s="226"/>
      <c r="BQ123" s="226"/>
      <c r="BR123" s="226"/>
      <c r="BS123" s="226"/>
      <c r="BT123" s="226"/>
      <c r="BU123" s="226"/>
      <c r="BV123" s="226"/>
      <c r="BW123" s="226"/>
      <c r="BX123" s="226"/>
      <c r="BY123" s="226"/>
      <c r="BZ123" s="226"/>
      <c r="CA123" s="226"/>
      <c r="CB123" s="226"/>
      <c r="CC123" s="226"/>
      <c r="CD123" s="226"/>
      <c r="CE123" s="226"/>
      <c r="CF123" s="226"/>
      <c r="CG123" s="226"/>
      <c r="CH123" s="226"/>
      <c r="CI123" s="226"/>
      <c r="CJ123" s="226"/>
      <c r="CK123" s="226"/>
      <c r="CL123" s="226"/>
      <c r="CM123" s="226"/>
      <c r="CN123" s="226"/>
      <c r="CO123" s="226"/>
      <c r="CP123" s="226"/>
      <c r="CQ123" s="226"/>
      <c r="CR123" s="226"/>
      <c r="CS123" s="226"/>
      <c r="CT123" s="226"/>
      <c r="CU123" s="226"/>
      <c r="CV123" s="226"/>
      <c r="CW123" s="226"/>
      <c r="CX123" s="226"/>
      <c r="CY123" s="226"/>
      <c r="CZ123" s="226"/>
      <c r="DA123" s="226"/>
      <c r="DB123" s="226"/>
      <c r="DC123" s="226"/>
      <c r="DD123" s="226"/>
      <c r="DE123" s="226"/>
      <c r="DF123" s="226"/>
      <c r="DG123" s="226"/>
      <c r="DH123" s="226"/>
      <c r="DI123" s="226"/>
      <c r="DJ123" s="226"/>
      <c r="DK123" s="226"/>
      <c r="DL123" s="226"/>
      <c r="DM123" s="226"/>
      <c r="DN123" s="226"/>
      <c r="DO123" s="226"/>
      <c r="DP123" s="226"/>
      <c r="DQ123" s="226"/>
      <c r="DR123" s="226"/>
      <c r="DS123" s="226"/>
      <c r="DT123" s="226"/>
      <c r="DU123" s="226"/>
      <c r="DV123" s="226"/>
      <c r="DW123" s="226"/>
      <c r="DX123" s="226"/>
      <c r="DY123" s="226"/>
      <c r="DZ123" s="226"/>
      <c r="EA123" s="226"/>
      <c r="EB123" s="226"/>
      <c r="EC123" s="226"/>
      <c r="ED123" s="226"/>
      <c r="EE123" s="226"/>
      <c r="EF123" s="226"/>
      <c r="EG123" s="226"/>
      <c r="EH123" s="226"/>
      <c r="EI123" s="226"/>
      <c r="EJ123" s="226"/>
      <c r="EK123" s="226"/>
      <c r="EL123" s="226"/>
      <c r="EM123" s="226"/>
      <c r="EN123" s="226"/>
      <c r="EO123" s="226"/>
      <c r="EP123" s="226"/>
      <c r="EQ123" s="226"/>
      <c r="ER123" s="226"/>
      <c r="ES123" s="226"/>
      <c r="ET123" s="226"/>
      <c r="EU123" s="226"/>
      <c r="EV123" s="226"/>
      <c r="EW123" s="226"/>
      <c r="EX123" s="226"/>
      <c r="EY123" s="226"/>
      <c r="EZ123" s="226"/>
      <c r="FA123" s="226"/>
      <c r="FB123" s="226"/>
      <c r="FC123" s="226"/>
      <c r="FD123" s="226"/>
      <c r="FE123" s="226"/>
      <c r="FF123" s="226"/>
      <c r="FG123" s="226"/>
      <c r="FH123" s="226"/>
      <c r="FI123" s="226"/>
      <c r="FJ123" s="226"/>
      <c r="FK123" s="226"/>
      <c r="FL123" s="226"/>
      <c r="FM123" s="226"/>
      <c r="FN123" s="226"/>
      <c r="FO123" s="226"/>
      <c r="FP123" s="226"/>
      <c r="FQ123" s="226"/>
      <c r="FR123" s="226"/>
      <c r="FS123" s="226"/>
      <c r="FT123" s="226"/>
      <c r="FU123" s="226"/>
      <c r="FV123" s="226"/>
      <c r="FW123" s="226"/>
      <c r="FX123" s="226"/>
      <c r="FY123" s="226"/>
      <c r="FZ123" s="226"/>
      <c r="GA123" s="226"/>
      <c r="GB123" s="226"/>
      <c r="GC123" s="226"/>
      <c r="GD123" s="226"/>
      <c r="GE123" s="226"/>
      <c r="GF123" s="226"/>
      <c r="GG123" s="226"/>
    </row>
    <row r="124" spans="1:189" s="225" customFormat="1" ht="15.95" customHeight="1">
      <c r="A124" s="898" t="e">
        <f>+#REF!</f>
        <v>#REF!</v>
      </c>
      <c r="B124" s="1051" t="e">
        <f>+#REF!</f>
        <v>#REF!</v>
      </c>
      <c r="C124" s="1043"/>
      <c r="D124" s="998"/>
      <c r="E124" s="1045"/>
      <c r="F124" s="1046"/>
      <c r="G124" s="259"/>
      <c r="I124" s="265"/>
      <c r="J124" s="255"/>
      <c r="K124" s="226"/>
      <c r="L124" s="226"/>
      <c r="M124" s="226"/>
      <c r="N124" s="226"/>
      <c r="O124" s="226"/>
      <c r="P124" s="226"/>
      <c r="Q124" s="226"/>
      <c r="R124" s="226"/>
      <c r="S124" s="226"/>
      <c r="T124" s="226"/>
      <c r="U124" s="226"/>
      <c r="V124" s="226"/>
      <c r="W124" s="226"/>
      <c r="X124" s="226"/>
      <c r="Y124" s="226"/>
      <c r="Z124" s="226"/>
      <c r="AA124" s="226"/>
      <c r="AB124" s="226"/>
      <c r="AC124" s="226"/>
      <c r="AD124" s="226"/>
      <c r="AE124" s="226"/>
      <c r="AF124" s="226"/>
      <c r="AG124" s="226"/>
      <c r="AH124" s="226"/>
      <c r="AI124" s="226"/>
      <c r="AJ124" s="226"/>
      <c r="AK124" s="226"/>
      <c r="AL124" s="226"/>
      <c r="AM124" s="226"/>
      <c r="AN124" s="226"/>
      <c r="AO124" s="226"/>
      <c r="AP124" s="226"/>
      <c r="AQ124" s="226"/>
      <c r="AR124" s="226"/>
      <c r="AS124" s="226"/>
      <c r="AT124" s="226"/>
      <c r="AU124" s="226"/>
      <c r="AV124" s="226"/>
      <c r="AW124" s="226"/>
      <c r="AX124" s="226"/>
      <c r="AY124" s="226"/>
      <c r="AZ124" s="226"/>
      <c r="BA124" s="226"/>
      <c r="BB124" s="226"/>
      <c r="BC124" s="226"/>
      <c r="BD124" s="226"/>
      <c r="BE124" s="226"/>
      <c r="BF124" s="226"/>
      <c r="BG124" s="226"/>
      <c r="BH124" s="226"/>
      <c r="BI124" s="226"/>
      <c r="BJ124" s="226"/>
      <c r="BK124" s="226"/>
      <c r="BL124" s="226"/>
      <c r="BM124" s="226"/>
      <c r="BN124" s="226"/>
      <c r="BO124" s="226"/>
      <c r="BP124" s="226"/>
      <c r="BQ124" s="226"/>
      <c r="BR124" s="226"/>
      <c r="BS124" s="226"/>
      <c r="BT124" s="226"/>
      <c r="BU124" s="226"/>
      <c r="BV124" s="226"/>
      <c r="BW124" s="226"/>
      <c r="BX124" s="226"/>
      <c r="BY124" s="226"/>
      <c r="BZ124" s="226"/>
      <c r="CA124" s="226"/>
      <c r="CB124" s="226"/>
      <c r="CC124" s="226"/>
      <c r="CD124" s="226"/>
      <c r="CE124" s="226"/>
      <c r="CF124" s="226"/>
      <c r="CG124" s="226"/>
      <c r="CH124" s="226"/>
      <c r="CI124" s="226"/>
      <c r="CJ124" s="226"/>
      <c r="CK124" s="226"/>
      <c r="CL124" s="226"/>
      <c r="CM124" s="226"/>
      <c r="CN124" s="226"/>
      <c r="CO124" s="226"/>
      <c r="CP124" s="226"/>
      <c r="CQ124" s="226"/>
      <c r="CR124" s="226"/>
      <c r="CS124" s="226"/>
      <c r="CT124" s="226"/>
      <c r="CU124" s="226"/>
      <c r="CV124" s="226"/>
      <c r="CW124" s="226"/>
      <c r="CX124" s="226"/>
      <c r="CY124" s="226"/>
      <c r="CZ124" s="226"/>
      <c r="DA124" s="226"/>
      <c r="DB124" s="226"/>
      <c r="DC124" s="226"/>
      <c r="DD124" s="226"/>
      <c r="DE124" s="226"/>
      <c r="DF124" s="226"/>
      <c r="DG124" s="226"/>
      <c r="DH124" s="226"/>
      <c r="DI124" s="226"/>
      <c r="DJ124" s="226"/>
      <c r="DK124" s="226"/>
      <c r="DL124" s="226"/>
      <c r="DM124" s="226"/>
      <c r="DN124" s="226"/>
      <c r="DO124" s="226"/>
      <c r="DP124" s="226"/>
      <c r="DQ124" s="226"/>
      <c r="DR124" s="226"/>
      <c r="DS124" s="226"/>
      <c r="DT124" s="226"/>
      <c r="DU124" s="226"/>
      <c r="DV124" s="226"/>
      <c r="DW124" s="226"/>
      <c r="DX124" s="226"/>
      <c r="DY124" s="226"/>
      <c r="DZ124" s="226"/>
      <c r="EA124" s="226"/>
      <c r="EB124" s="226"/>
      <c r="EC124" s="226"/>
      <c r="ED124" s="226"/>
      <c r="EE124" s="226"/>
      <c r="EF124" s="226"/>
      <c r="EG124" s="226"/>
      <c r="EH124" s="226"/>
      <c r="EI124" s="226"/>
      <c r="EJ124" s="226"/>
      <c r="EK124" s="226"/>
      <c r="EL124" s="226"/>
      <c r="EM124" s="226"/>
      <c r="EN124" s="226"/>
      <c r="EO124" s="226"/>
      <c r="EP124" s="226"/>
      <c r="EQ124" s="226"/>
      <c r="ER124" s="226"/>
      <c r="ES124" s="226"/>
      <c r="ET124" s="226"/>
      <c r="EU124" s="226"/>
      <c r="EV124" s="226"/>
      <c r="EW124" s="226"/>
      <c r="EX124" s="226"/>
      <c r="EY124" s="226"/>
      <c r="EZ124" s="226"/>
      <c r="FA124" s="226"/>
      <c r="FB124" s="226"/>
      <c r="FC124" s="226"/>
      <c r="FD124" s="226"/>
      <c r="FE124" s="226"/>
      <c r="FF124" s="226"/>
      <c r="FG124" s="226"/>
      <c r="FH124" s="226"/>
      <c r="FI124" s="226"/>
      <c r="FJ124" s="226"/>
      <c r="FK124" s="226"/>
      <c r="FL124" s="226"/>
      <c r="FM124" s="226"/>
      <c r="FN124" s="226"/>
      <c r="FO124" s="226"/>
      <c r="FP124" s="226"/>
      <c r="FQ124" s="226"/>
      <c r="FR124" s="226"/>
      <c r="FS124" s="226"/>
      <c r="FT124" s="226"/>
      <c r="FU124" s="226"/>
      <c r="FV124" s="226"/>
      <c r="FW124" s="226"/>
      <c r="FX124" s="226"/>
      <c r="FY124" s="226"/>
      <c r="FZ124" s="226"/>
      <c r="GA124" s="226"/>
      <c r="GB124" s="226"/>
      <c r="GC124" s="226"/>
      <c r="GD124" s="226"/>
      <c r="GE124" s="226"/>
      <c r="GF124" s="226"/>
      <c r="GG124" s="226"/>
    </row>
    <row r="125" spans="1:189" s="225" customFormat="1" ht="15.95" customHeight="1">
      <c r="A125" s="892" t="e">
        <f>+#REF!</f>
        <v>#REF!</v>
      </c>
      <c r="B125" s="929" t="e">
        <f>+#REF!</f>
        <v>#REF!</v>
      </c>
      <c r="C125" s="839" t="s">
        <v>1</v>
      </c>
      <c r="D125" s="997">
        <f>J125</f>
        <v>310.08</v>
      </c>
      <c r="E125" s="946"/>
      <c r="F125" s="1036"/>
      <c r="G125" s="259"/>
      <c r="H125" s="259">
        <f>F7</f>
        <v>304</v>
      </c>
      <c r="I125" s="265">
        <v>1.02</v>
      </c>
      <c r="J125" s="259">
        <f>H125*I125</f>
        <v>310.08</v>
      </c>
      <c r="K125" s="226"/>
      <c r="L125" s="226"/>
      <c r="M125" s="226"/>
      <c r="N125" s="226"/>
      <c r="O125" s="226"/>
      <c r="P125" s="226"/>
      <c r="Q125" s="226"/>
      <c r="R125" s="226"/>
      <c r="S125" s="226"/>
      <c r="T125" s="226"/>
      <c r="U125" s="226"/>
      <c r="V125" s="226"/>
      <c r="W125" s="226"/>
      <c r="X125" s="226"/>
      <c r="Y125" s="226"/>
      <c r="Z125" s="226"/>
      <c r="AA125" s="226"/>
      <c r="AB125" s="226"/>
      <c r="AC125" s="226"/>
      <c r="AD125" s="226"/>
      <c r="AE125" s="226"/>
      <c r="AF125" s="226"/>
      <c r="AG125" s="226"/>
      <c r="AH125" s="226"/>
      <c r="AI125" s="226"/>
      <c r="AJ125" s="226"/>
      <c r="AK125" s="226"/>
      <c r="AL125" s="226"/>
      <c r="AM125" s="226"/>
      <c r="AN125" s="226"/>
      <c r="AO125" s="226"/>
      <c r="AP125" s="226"/>
      <c r="AQ125" s="226"/>
      <c r="AR125" s="226"/>
      <c r="AS125" s="226"/>
      <c r="AT125" s="226"/>
      <c r="AU125" s="226"/>
      <c r="AV125" s="226"/>
      <c r="AW125" s="226"/>
      <c r="AX125" s="226"/>
      <c r="AY125" s="226"/>
      <c r="AZ125" s="226"/>
      <c r="BA125" s="226"/>
      <c r="BB125" s="226"/>
      <c r="BC125" s="226"/>
      <c r="BD125" s="226"/>
      <c r="BE125" s="226"/>
      <c r="BF125" s="226"/>
      <c r="BG125" s="226"/>
      <c r="BH125" s="226"/>
      <c r="BI125" s="226"/>
      <c r="BJ125" s="226"/>
      <c r="BK125" s="226"/>
      <c r="BL125" s="226"/>
      <c r="BM125" s="226"/>
      <c r="BN125" s="226"/>
      <c r="BO125" s="226"/>
      <c r="BP125" s="226"/>
      <c r="BQ125" s="226"/>
      <c r="BR125" s="226"/>
      <c r="BS125" s="226"/>
      <c r="BT125" s="226"/>
      <c r="BU125" s="226"/>
      <c r="BV125" s="226"/>
      <c r="BW125" s="226"/>
      <c r="BX125" s="226"/>
      <c r="BY125" s="226"/>
      <c r="BZ125" s="226"/>
      <c r="CA125" s="226"/>
      <c r="CB125" s="226"/>
      <c r="CC125" s="226"/>
      <c r="CD125" s="226"/>
      <c r="CE125" s="226"/>
      <c r="CF125" s="226"/>
      <c r="CG125" s="226"/>
      <c r="CH125" s="226"/>
      <c r="CI125" s="226"/>
      <c r="CJ125" s="226"/>
      <c r="CK125" s="226"/>
      <c r="CL125" s="226"/>
      <c r="CM125" s="226"/>
      <c r="CN125" s="226"/>
      <c r="CO125" s="226"/>
      <c r="CP125" s="226"/>
      <c r="CQ125" s="226"/>
      <c r="CR125" s="226"/>
      <c r="CS125" s="226"/>
      <c r="CT125" s="226"/>
      <c r="CU125" s="226"/>
      <c r="CV125" s="226"/>
      <c r="CW125" s="226"/>
      <c r="CX125" s="226"/>
      <c r="CY125" s="226"/>
      <c r="CZ125" s="226"/>
      <c r="DA125" s="226"/>
      <c r="DB125" s="226"/>
      <c r="DC125" s="226"/>
      <c r="DD125" s="226"/>
      <c r="DE125" s="226"/>
      <c r="DF125" s="226"/>
      <c r="DG125" s="226"/>
      <c r="DH125" s="226"/>
      <c r="DI125" s="226"/>
      <c r="DJ125" s="226"/>
      <c r="DK125" s="226"/>
      <c r="DL125" s="226"/>
      <c r="DM125" s="226"/>
      <c r="DN125" s="226"/>
      <c r="DO125" s="226"/>
      <c r="DP125" s="226"/>
      <c r="DQ125" s="226"/>
      <c r="DR125" s="226"/>
      <c r="DS125" s="226"/>
      <c r="DT125" s="226"/>
      <c r="DU125" s="226"/>
      <c r="DV125" s="226"/>
      <c r="DW125" s="226"/>
      <c r="DX125" s="226"/>
      <c r="DY125" s="226"/>
      <c r="DZ125" s="226"/>
      <c r="EA125" s="226"/>
      <c r="EB125" s="226"/>
      <c r="EC125" s="226"/>
      <c r="ED125" s="226"/>
      <c r="EE125" s="226"/>
      <c r="EF125" s="226"/>
      <c r="EG125" s="226"/>
      <c r="EH125" s="226"/>
      <c r="EI125" s="226"/>
      <c r="EJ125" s="226"/>
      <c r="EK125" s="226"/>
      <c r="EL125" s="226"/>
      <c r="EM125" s="226"/>
      <c r="EN125" s="226"/>
      <c r="EO125" s="226"/>
      <c r="EP125" s="226"/>
      <c r="EQ125" s="226"/>
      <c r="ER125" s="226"/>
      <c r="ES125" s="226"/>
      <c r="ET125" s="226"/>
      <c r="EU125" s="226"/>
      <c r="EV125" s="226"/>
      <c r="EW125" s="226"/>
      <c r="EX125" s="226"/>
      <c r="EY125" s="226"/>
      <c r="EZ125" s="226"/>
      <c r="FA125" s="226"/>
      <c r="FB125" s="226"/>
      <c r="FC125" s="226"/>
      <c r="FD125" s="226"/>
      <c r="FE125" s="226"/>
      <c r="FF125" s="226"/>
      <c r="FG125" s="226"/>
      <c r="FH125" s="226"/>
      <c r="FI125" s="226"/>
      <c r="FJ125" s="226"/>
      <c r="FK125" s="226"/>
      <c r="FL125" s="226"/>
      <c r="FM125" s="226"/>
      <c r="FN125" s="226"/>
      <c r="FO125" s="226"/>
      <c r="FP125" s="226"/>
      <c r="FQ125" s="226"/>
      <c r="FR125" s="226"/>
      <c r="FS125" s="226"/>
      <c r="FT125" s="226"/>
      <c r="FU125" s="226"/>
      <c r="FV125" s="226"/>
      <c r="FW125" s="226"/>
      <c r="FX125" s="226"/>
      <c r="FY125" s="226"/>
      <c r="FZ125" s="226"/>
      <c r="GA125" s="226"/>
      <c r="GB125" s="226"/>
      <c r="GC125" s="226"/>
      <c r="GD125" s="226"/>
      <c r="GE125" s="226"/>
      <c r="GF125" s="226"/>
      <c r="GG125" s="226"/>
    </row>
    <row r="126" spans="1:189" s="225" customFormat="1" ht="15.95" customHeight="1">
      <c r="A126" s="892" t="e">
        <f>+#REF!</f>
        <v>#REF!</v>
      </c>
      <c r="B126" s="929" t="e">
        <f>+#REF!</f>
        <v>#REF!</v>
      </c>
      <c r="C126" s="839" t="s">
        <v>1</v>
      </c>
      <c r="D126" s="997">
        <f>J126</f>
        <v>637.5</v>
      </c>
      <c r="E126" s="946"/>
      <c r="F126" s="1036"/>
      <c r="G126" s="259"/>
      <c r="H126" s="259">
        <f>F3</f>
        <v>625</v>
      </c>
      <c r="I126" s="265">
        <v>1.02</v>
      </c>
      <c r="J126" s="259">
        <f>H126*I126</f>
        <v>637.5</v>
      </c>
      <c r="K126" s="226"/>
      <c r="L126" s="226">
        <f>+H123</f>
        <v>640</v>
      </c>
      <c r="M126" s="226"/>
      <c r="N126" s="226"/>
      <c r="O126" s="226"/>
      <c r="P126" s="226"/>
      <c r="Q126" s="226"/>
      <c r="R126" s="226"/>
      <c r="S126" s="226"/>
      <c r="T126" s="226"/>
      <c r="U126" s="226"/>
      <c r="V126" s="226"/>
      <c r="W126" s="226"/>
      <c r="X126" s="226"/>
      <c r="Y126" s="226"/>
      <c r="Z126" s="226"/>
      <c r="AA126" s="226"/>
      <c r="AB126" s="226"/>
      <c r="AC126" s="226"/>
      <c r="AD126" s="226"/>
      <c r="AE126" s="226"/>
      <c r="AF126" s="226"/>
      <c r="AG126" s="226"/>
      <c r="AH126" s="226"/>
      <c r="AI126" s="226"/>
      <c r="AJ126" s="226"/>
      <c r="AK126" s="226"/>
      <c r="AL126" s="226"/>
      <c r="AM126" s="199"/>
      <c r="AN126" s="199"/>
      <c r="AO126" s="199"/>
      <c r="AP126" s="199"/>
      <c r="AQ126" s="226"/>
      <c r="AR126" s="226"/>
      <c r="AS126" s="226"/>
      <c r="AT126" s="226"/>
      <c r="AU126" s="226"/>
      <c r="AV126" s="226"/>
      <c r="AW126" s="226"/>
      <c r="AX126" s="226"/>
      <c r="AY126" s="226"/>
      <c r="AZ126" s="226"/>
      <c r="BA126" s="226"/>
      <c r="BB126" s="226"/>
      <c r="BC126" s="226"/>
      <c r="BD126" s="226"/>
      <c r="BE126" s="226"/>
      <c r="BF126" s="226"/>
      <c r="BG126" s="226"/>
      <c r="BH126" s="226"/>
      <c r="BI126" s="226"/>
      <c r="BJ126" s="226"/>
      <c r="BK126" s="226"/>
      <c r="BL126" s="226"/>
      <c r="BM126" s="226"/>
      <c r="BN126" s="226"/>
      <c r="BO126" s="226"/>
      <c r="BP126" s="226"/>
      <c r="BQ126" s="226"/>
      <c r="BR126" s="226"/>
      <c r="BS126" s="226"/>
      <c r="BT126" s="226"/>
      <c r="BU126" s="226"/>
      <c r="BV126" s="226"/>
      <c r="BW126" s="226"/>
      <c r="BX126" s="226"/>
      <c r="BY126" s="226"/>
      <c r="BZ126" s="226"/>
      <c r="CA126" s="226"/>
      <c r="CB126" s="226"/>
      <c r="CC126" s="226"/>
      <c r="CD126" s="226"/>
      <c r="CE126" s="226"/>
      <c r="CF126" s="226"/>
      <c r="CG126" s="226"/>
      <c r="CH126" s="226"/>
      <c r="CI126" s="226"/>
      <c r="CJ126" s="226"/>
      <c r="CK126" s="226"/>
      <c r="CL126" s="226"/>
      <c r="CM126" s="226"/>
      <c r="CN126" s="226"/>
      <c r="CO126" s="226"/>
      <c r="CP126" s="226"/>
      <c r="CQ126" s="226"/>
      <c r="CR126" s="226"/>
      <c r="CS126" s="226"/>
      <c r="CT126" s="226"/>
      <c r="CU126" s="226"/>
      <c r="CV126" s="226"/>
      <c r="CW126" s="226"/>
      <c r="CX126" s="226"/>
      <c r="CY126" s="226"/>
      <c r="CZ126" s="226"/>
      <c r="DA126" s="226"/>
      <c r="DB126" s="226"/>
      <c r="DC126" s="226"/>
      <c r="DD126" s="226"/>
      <c r="DE126" s="226"/>
      <c r="DF126" s="226"/>
      <c r="DG126" s="226"/>
      <c r="DH126" s="226"/>
      <c r="DI126" s="226"/>
      <c r="DJ126" s="226"/>
      <c r="DK126" s="226"/>
      <c r="DL126" s="226"/>
      <c r="DM126" s="226"/>
      <c r="DN126" s="226"/>
      <c r="DO126" s="226"/>
      <c r="DP126" s="226"/>
      <c r="DQ126" s="226"/>
      <c r="DR126" s="226"/>
      <c r="DS126" s="226"/>
      <c r="DT126" s="226"/>
      <c r="DU126" s="226"/>
      <c r="DV126" s="226"/>
      <c r="DW126" s="226"/>
      <c r="DX126" s="226"/>
      <c r="DY126" s="226"/>
      <c r="DZ126" s="226"/>
      <c r="EA126" s="226"/>
      <c r="EB126" s="226"/>
      <c r="EC126" s="226"/>
      <c r="ED126" s="226"/>
      <c r="EE126" s="226"/>
      <c r="EF126" s="226"/>
      <c r="EG126" s="226"/>
      <c r="EH126" s="226"/>
      <c r="EI126" s="226"/>
      <c r="EJ126" s="226"/>
      <c r="EK126" s="226"/>
      <c r="EL126" s="226"/>
      <c r="EM126" s="226"/>
      <c r="EN126" s="226"/>
      <c r="EO126" s="226"/>
      <c r="EP126" s="226"/>
      <c r="EQ126" s="226"/>
      <c r="ER126" s="226"/>
      <c r="ES126" s="226"/>
      <c r="ET126" s="226"/>
      <c r="EU126" s="226"/>
      <c r="EV126" s="226"/>
      <c r="EW126" s="226"/>
      <c r="EX126" s="226"/>
      <c r="EY126" s="226"/>
      <c r="EZ126" s="226"/>
      <c r="FA126" s="226"/>
      <c r="FB126" s="226"/>
      <c r="FC126" s="226"/>
      <c r="FD126" s="226"/>
      <c r="FE126" s="226"/>
      <c r="FF126" s="226"/>
      <c r="FG126" s="226"/>
      <c r="FH126" s="226"/>
      <c r="FI126" s="226"/>
      <c r="FJ126" s="226"/>
      <c r="FK126" s="226"/>
      <c r="FL126" s="226"/>
      <c r="FM126" s="226"/>
      <c r="FN126" s="226"/>
      <c r="FO126" s="226"/>
      <c r="FP126" s="226"/>
      <c r="FQ126" s="226"/>
      <c r="FR126" s="226"/>
      <c r="FS126" s="226"/>
      <c r="FT126" s="226"/>
      <c r="FU126" s="226"/>
      <c r="FV126" s="226"/>
      <c r="FW126" s="226"/>
      <c r="FX126" s="226"/>
      <c r="FY126" s="226"/>
      <c r="FZ126" s="226"/>
      <c r="GA126" s="226"/>
      <c r="GB126" s="226"/>
      <c r="GC126" s="226"/>
      <c r="GD126" s="226"/>
      <c r="GE126" s="226"/>
      <c r="GF126" s="226"/>
      <c r="GG126" s="226"/>
    </row>
    <row r="127" spans="1:189" s="198" customFormat="1" ht="15.95" customHeight="1">
      <c r="A127" s="880" t="e">
        <f>+#REF!</f>
        <v>#REF!</v>
      </c>
      <c r="B127" s="886" t="e">
        <f>+#REF!</f>
        <v>#REF!</v>
      </c>
      <c r="C127" s="840" t="s">
        <v>1</v>
      </c>
      <c r="D127" s="995">
        <f>J127</f>
        <v>357</v>
      </c>
      <c r="E127" s="860"/>
      <c r="F127" s="855"/>
      <c r="G127" s="259"/>
      <c r="H127" s="259">
        <f>F4</f>
        <v>350</v>
      </c>
      <c r="I127" s="265">
        <f t="shared" ref="I127:I128" si="7">+I126</f>
        <v>1.02</v>
      </c>
      <c r="J127" s="259">
        <f>H127*I127</f>
        <v>357</v>
      </c>
      <c r="K127" s="226"/>
      <c r="L127" s="226">
        <f>+H124</f>
        <v>0</v>
      </c>
      <c r="M127" s="226"/>
      <c r="N127" s="226"/>
      <c r="O127" s="226"/>
      <c r="P127" s="226"/>
      <c r="Q127" s="226"/>
      <c r="R127" s="226"/>
      <c r="S127" s="226"/>
      <c r="T127" s="226"/>
      <c r="U127" s="226"/>
      <c r="V127" s="226"/>
      <c r="W127" s="226"/>
      <c r="X127" s="226"/>
      <c r="Y127" s="226"/>
      <c r="Z127" s="226"/>
      <c r="AA127" s="226"/>
      <c r="AB127" s="226"/>
      <c r="AC127" s="226"/>
      <c r="AD127" s="226"/>
      <c r="AE127" s="226"/>
      <c r="AF127" s="226"/>
      <c r="AG127" s="226"/>
      <c r="AH127" s="226"/>
      <c r="AI127" s="226"/>
      <c r="AJ127" s="226"/>
      <c r="AK127" s="226"/>
      <c r="AL127" s="199"/>
      <c r="AM127" s="226"/>
      <c r="AN127" s="226"/>
      <c r="AO127" s="226"/>
      <c r="AP127" s="226"/>
      <c r="AQ127" s="199"/>
      <c r="AR127" s="199"/>
      <c r="AS127" s="199"/>
      <c r="AT127" s="199"/>
      <c r="AU127" s="199"/>
      <c r="AV127" s="199"/>
      <c r="AW127" s="199"/>
      <c r="AX127" s="199"/>
      <c r="AY127" s="199"/>
      <c r="AZ127" s="199"/>
      <c r="BA127" s="199"/>
      <c r="BB127" s="199"/>
      <c r="BC127" s="199"/>
      <c r="BD127" s="199"/>
      <c r="BE127" s="199"/>
      <c r="BF127" s="199"/>
      <c r="BG127" s="199"/>
      <c r="BH127" s="199"/>
      <c r="BI127" s="199"/>
      <c r="BJ127" s="199"/>
      <c r="BK127" s="199"/>
      <c r="BL127" s="199"/>
      <c r="BM127" s="199"/>
      <c r="BN127" s="199"/>
      <c r="BO127" s="199"/>
      <c r="BP127" s="199"/>
      <c r="BQ127" s="199"/>
      <c r="BR127" s="199"/>
      <c r="BS127" s="199"/>
      <c r="BT127" s="199"/>
      <c r="BU127" s="199"/>
      <c r="BV127" s="199"/>
      <c r="BW127" s="199"/>
      <c r="BX127" s="199"/>
      <c r="BY127" s="199"/>
      <c r="BZ127" s="199"/>
      <c r="CA127" s="199"/>
      <c r="CB127" s="199"/>
      <c r="CC127" s="199"/>
      <c r="CD127" s="199"/>
      <c r="CE127" s="199"/>
      <c r="CF127" s="199"/>
      <c r="CG127" s="199"/>
      <c r="CH127" s="199"/>
      <c r="CI127" s="199"/>
      <c r="CJ127" s="199"/>
      <c r="CK127" s="199"/>
      <c r="CL127" s="199"/>
      <c r="CM127" s="199"/>
      <c r="CN127" s="199"/>
      <c r="CO127" s="199"/>
      <c r="CP127" s="199"/>
      <c r="CQ127" s="199"/>
      <c r="CR127" s="199"/>
      <c r="CS127" s="199"/>
      <c r="CT127" s="199"/>
      <c r="CU127" s="199"/>
      <c r="CV127" s="199"/>
      <c r="CW127" s="199"/>
      <c r="CX127" s="199"/>
      <c r="CY127" s="199"/>
      <c r="CZ127" s="199"/>
      <c r="DA127" s="199"/>
      <c r="DB127" s="199"/>
      <c r="DC127" s="199"/>
      <c r="DD127" s="199"/>
      <c r="DE127" s="199"/>
      <c r="DF127" s="199"/>
      <c r="DG127" s="199"/>
      <c r="DH127" s="199"/>
      <c r="DI127" s="199"/>
      <c r="DJ127" s="199"/>
      <c r="DK127" s="199"/>
      <c r="DL127" s="199"/>
      <c r="DM127" s="199"/>
      <c r="DN127" s="199"/>
      <c r="DO127" s="199"/>
      <c r="DP127" s="199"/>
      <c r="DQ127" s="199"/>
      <c r="DR127" s="199"/>
      <c r="DS127" s="199"/>
      <c r="DT127" s="199"/>
      <c r="DU127" s="199"/>
      <c r="DV127" s="199"/>
      <c r="DW127" s="199"/>
      <c r="DX127" s="199"/>
      <c r="DY127" s="199"/>
      <c r="DZ127" s="199"/>
      <c r="EA127" s="199"/>
      <c r="EB127" s="199"/>
      <c r="EC127" s="199"/>
      <c r="ED127" s="199"/>
      <c r="EE127" s="199"/>
      <c r="EF127" s="199"/>
      <c r="EG127" s="199"/>
      <c r="EH127" s="199"/>
      <c r="EI127" s="199"/>
      <c r="EJ127" s="199"/>
      <c r="EK127" s="199"/>
      <c r="EL127" s="199"/>
      <c r="EM127" s="199"/>
      <c r="EN127" s="199"/>
      <c r="EO127" s="199"/>
      <c r="EP127" s="199"/>
      <c r="EQ127" s="199"/>
      <c r="ER127" s="199"/>
      <c r="ES127" s="199"/>
      <c r="ET127" s="199"/>
      <c r="EU127" s="199"/>
      <c r="EV127" s="199"/>
      <c r="EW127" s="199"/>
      <c r="EX127" s="199"/>
      <c r="EY127" s="199"/>
      <c r="EZ127" s="199"/>
      <c r="FA127" s="199"/>
      <c r="FB127" s="199"/>
      <c r="FC127" s="199"/>
      <c r="FD127" s="199"/>
      <c r="FE127" s="199"/>
      <c r="FF127" s="199"/>
      <c r="FG127" s="199"/>
      <c r="FH127" s="199"/>
      <c r="FI127" s="199"/>
      <c r="FJ127" s="199"/>
      <c r="FK127" s="199"/>
      <c r="FL127" s="199"/>
      <c r="FM127" s="199"/>
      <c r="FN127" s="199"/>
      <c r="FO127" s="199"/>
      <c r="FP127" s="199"/>
      <c r="FQ127" s="199"/>
      <c r="FR127" s="199"/>
      <c r="FS127" s="199"/>
      <c r="FT127" s="199"/>
      <c r="FU127" s="199"/>
      <c r="FV127" s="199"/>
      <c r="FW127" s="199"/>
      <c r="FX127" s="199"/>
      <c r="FY127" s="199"/>
      <c r="FZ127" s="199"/>
      <c r="GA127" s="199"/>
      <c r="GB127" s="199"/>
      <c r="GC127" s="199"/>
      <c r="GD127" s="199"/>
      <c r="GE127" s="199"/>
      <c r="GF127" s="199"/>
      <c r="GG127" s="199"/>
    </row>
    <row r="128" spans="1:189" s="225" customFormat="1" ht="15.95" customHeight="1">
      <c r="A128" s="969" t="e">
        <f>+#REF!</f>
        <v>#REF!</v>
      </c>
      <c r="B128" s="970" t="e">
        <f>+#REF!</f>
        <v>#REF!</v>
      </c>
      <c r="C128" s="168" t="s">
        <v>1</v>
      </c>
      <c r="D128" s="1052">
        <f>J128</f>
        <v>479.40000000000003</v>
      </c>
      <c r="E128" s="167"/>
      <c r="F128" s="951"/>
      <c r="G128" s="259"/>
      <c r="H128" s="259">
        <f>+F5</f>
        <v>470</v>
      </c>
      <c r="I128" s="265">
        <f t="shared" si="7"/>
        <v>1.02</v>
      </c>
      <c r="J128" s="259">
        <f>H128*I128</f>
        <v>479.40000000000003</v>
      </c>
      <c r="K128" s="226"/>
      <c r="L128" s="226"/>
      <c r="M128" s="226"/>
      <c r="N128" s="226"/>
      <c r="O128" s="226"/>
      <c r="P128" s="226"/>
      <c r="Q128" s="199"/>
      <c r="R128" s="199"/>
      <c r="S128" s="199"/>
      <c r="T128" s="199"/>
      <c r="U128" s="199"/>
      <c r="V128" s="199"/>
      <c r="W128" s="199"/>
      <c r="X128" s="199"/>
      <c r="Y128" s="199"/>
      <c r="Z128" s="199"/>
      <c r="AA128" s="199"/>
      <c r="AB128" s="199"/>
      <c r="AC128" s="199"/>
      <c r="AD128" s="199"/>
      <c r="AE128" s="199"/>
      <c r="AF128" s="199"/>
      <c r="AG128" s="199"/>
      <c r="AH128" s="199"/>
      <c r="AI128" s="199"/>
      <c r="AJ128" s="226"/>
      <c r="AK128" s="226"/>
      <c r="AL128" s="226"/>
      <c r="AM128" s="226"/>
      <c r="AN128" s="226"/>
      <c r="AO128" s="226"/>
      <c r="AP128" s="226"/>
      <c r="AQ128" s="226"/>
      <c r="AR128" s="226"/>
      <c r="AS128" s="226"/>
      <c r="AT128" s="226"/>
      <c r="AU128" s="226"/>
      <c r="AV128" s="226"/>
      <c r="AW128" s="226"/>
      <c r="AX128" s="226"/>
      <c r="AY128" s="226"/>
      <c r="AZ128" s="226"/>
      <c r="BA128" s="226"/>
      <c r="BB128" s="226"/>
      <c r="BC128" s="226"/>
      <c r="BD128" s="226"/>
      <c r="BE128" s="226"/>
      <c r="BF128" s="226"/>
      <c r="BG128" s="226"/>
      <c r="BH128" s="226"/>
      <c r="BI128" s="226"/>
      <c r="BJ128" s="226"/>
      <c r="BK128" s="226"/>
      <c r="BL128" s="226"/>
      <c r="BM128" s="226"/>
      <c r="BN128" s="226"/>
      <c r="BO128" s="226"/>
      <c r="BP128" s="226"/>
      <c r="BQ128" s="226"/>
      <c r="BR128" s="226"/>
      <c r="BS128" s="226"/>
      <c r="BT128" s="226"/>
      <c r="BU128" s="226"/>
      <c r="BV128" s="226"/>
      <c r="BW128" s="226"/>
      <c r="BX128" s="226"/>
      <c r="BY128" s="226"/>
      <c r="BZ128" s="226"/>
      <c r="CA128" s="226"/>
      <c r="CB128" s="226"/>
      <c r="CC128" s="226"/>
      <c r="CD128" s="226"/>
      <c r="CE128" s="226"/>
      <c r="CF128" s="226"/>
      <c r="CG128" s="226"/>
      <c r="CH128" s="226"/>
      <c r="CI128" s="226"/>
      <c r="CJ128" s="226"/>
      <c r="CK128" s="226"/>
      <c r="CL128" s="226"/>
      <c r="CM128" s="226"/>
      <c r="CN128" s="226"/>
      <c r="CO128" s="226"/>
      <c r="CP128" s="226"/>
      <c r="CQ128" s="226"/>
      <c r="CR128" s="226"/>
      <c r="CS128" s="226"/>
      <c r="CT128" s="226"/>
      <c r="CU128" s="226"/>
      <c r="CV128" s="226"/>
      <c r="CW128" s="226"/>
      <c r="CX128" s="226"/>
      <c r="CY128" s="226"/>
      <c r="CZ128" s="226"/>
      <c r="DA128" s="226"/>
      <c r="DB128" s="226"/>
      <c r="DC128" s="226"/>
      <c r="DD128" s="226"/>
      <c r="DE128" s="226"/>
      <c r="DF128" s="226"/>
      <c r="DG128" s="226"/>
      <c r="DH128" s="226"/>
      <c r="DI128" s="226"/>
      <c r="DJ128" s="226"/>
      <c r="DK128" s="226"/>
      <c r="DL128" s="226"/>
      <c r="DM128" s="226"/>
      <c r="DN128" s="226"/>
      <c r="DO128" s="226"/>
      <c r="DP128" s="226"/>
      <c r="DQ128" s="226"/>
      <c r="DR128" s="226"/>
      <c r="DS128" s="226"/>
      <c r="DT128" s="226"/>
      <c r="DU128" s="226"/>
      <c r="DV128" s="226"/>
      <c r="DW128" s="226"/>
      <c r="DX128" s="226"/>
      <c r="DY128" s="226"/>
      <c r="DZ128" s="226"/>
      <c r="EA128" s="226"/>
      <c r="EB128" s="226"/>
      <c r="EC128" s="226"/>
      <c r="ED128" s="226"/>
      <c r="EE128" s="226"/>
      <c r="EF128" s="226"/>
      <c r="EG128" s="226"/>
      <c r="EH128" s="226"/>
      <c r="EI128" s="226"/>
      <c r="EJ128" s="226"/>
      <c r="EK128" s="226"/>
      <c r="EL128" s="226"/>
      <c r="EM128" s="226"/>
      <c r="EN128" s="226"/>
      <c r="EO128" s="226"/>
      <c r="EP128" s="226"/>
      <c r="EQ128" s="226"/>
      <c r="ER128" s="226"/>
      <c r="ES128" s="226"/>
      <c r="ET128" s="226"/>
      <c r="EU128" s="226"/>
      <c r="EV128" s="226"/>
      <c r="EW128" s="226"/>
      <c r="EX128" s="226"/>
      <c r="EY128" s="226"/>
      <c r="EZ128" s="226"/>
      <c r="FA128" s="226"/>
      <c r="FB128" s="226"/>
      <c r="FC128" s="226"/>
      <c r="FD128" s="226"/>
      <c r="FE128" s="226"/>
      <c r="FF128" s="226"/>
      <c r="FG128" s="226"/>
      <c r="FH128" s="226"/>
      <c r="FI128" s="226"/>
      <c r="FJ128" s="226"/>
      <c r="FK128" s="226"/>
      <c r="FL128" s="226"/>
      <c r="FM128" s="226"/>
      <c r="FN128" s="226"/>
      <c r="FO128" s="226"/>
      <c r="FP128" s="226"/>
      <c r="FQ128" s="226"/>
      <c r="FR128" s="226"/>
      <c r="FS128" s="226"/>
      <c r="FT128" s="226"/>
      <c r="FU128" s="226"/>
      <c r="FV128" s="226"/>
      <c r="FW128" s="226"/>
      <c r="FX128" s="226"/>
      <c r="FY128" s="226"/>
      <c r="FZ128" s="226"/>
      <c r="GA128" s="226"/>
      <c r="GB128" s="226"/>
      <c r="GC128" s="226"/>
      <c r="GD128" s="226"/>
      <c r="GE128" s="226"/>
      <c r="GF128" s="226"/>
      <c r="GG128" s="226"/>
    </row>
    <row r="129" spans="1:189" s="225" customFormat="1" ht="15.95" customHeight="1">
      <c r="A129" s="879" t="e">
        <f>+#REF!</f>
        <v>#REF!</v>
      </c>
      <c r="B129" s="916" t="e">
        <f>+#REF!</f>
        <v>#REF!</v>
      </c>
      <c r="C129" s="849"/>
      <c r="D129" s="996"/>
      <c r="E129" s="945"/>
      <c r="F129" s="861"/>
      <c r="G129" s="259"/>
      <c r="H129" s="259"/>
      <c r="I129" s="265"/>
      <c r="J129" s="259"/>
      <c r="K129" s="199"/>
      <c r="L129" s="199"/>
      <c r="M129" s="199"/>
      <c r="N129" s="199"/>
      <c r="O129" s="199"/>
      <c r="P129" s="199"/>
      <c r="Q129" s="226"/>
      <c r="R129" s="226"/>
      <c r="S129" s="226"/>
      <c r="T129" s="226"/>
      <c r="U129" s="226"/>
      <c r="V129" s="226"/>
      <c r="W129" s="226"/>
      <c r="X129" s="226"/>
      <c r="Y129" s="226"/>
      <c r="Z129" s="226"/>
      <c r="AA129" s="226"/>
      <c r="AB129" s="226"/>
      <c r="AC129" s="226"/>
      <c r="AD129" s="226"/>
      <c r="AE129" s="226"/>
      <c r="AF129" s="226"/>
      <c r="AG129" s="226"/>
      <c r="AH129" s="226"/>
      <c r="AI129" s="226"/>
      <c r="AJ129" s="226"/>
      <c r="AK129" s="226"/>
      <c r="AL129" s="226"/>
      <c r="AM129" s="226"/>
      <c r="AN129" s="226"/>
      <c r="AO129" s="226"/>
      <c r="AP129" s="226"/>
      <c r="AQ129" s="226"/>
      <c r="AR129" s="226"/>
      <c r="AS129" s="226"/>
      <c r="AT129" s="226"/>
      <c r="AU129" s="226"/>
      <c r="AV129" s="226"/>
      <c r="AW129" s="226"/>
      <c r="AX129" s="226"/>
      <c r="AY129" s="226"/>
      <c r="AZ129" s="226"/>
      <c r="BA129" s="226"/>
      <c r="BB129" s="226"/>
      <c r="BC129" s="226"/>
      <c r="BD129" s="226"/>
      <c r="BE129" s="226"/>
      <c r="BF129" s="226"/>
      <c r="BG129" s="226"/>
      <c r="BH129" s="226"/>
      <c r="BI129" s="226"/>
      <c r="BJ129" s="226"/>
      <c r="BK129" s="226"/>
      <c r="BL129" s="226"/>
      <c r="BM129" s="226"/>
      <c r="BN129" s="226"/>
      <c r="BO129" s="226"/>
      <c r="BP129" s="226"/>
      <c r="BQ129" s="226"/>
      <c r="BR129" s="226"/>
      <c r="BS129" s="226"/>
      <c r="BT129" s="226"/>
      <c r="BU129" s="226"/>
      <c r="BV129" s="226"/>
      <c r="BW129" s="226"/>
      <c r="BX129" s="226"/>
      <c r="BY129" s="226"/>
      <c r="BZ129" s="226"/>
      <c r="CA129" s="226"/>
      <c r="CB129" s="226"/>
      <c r="CC129" s="226"/>
      <c r="CD129" s="226"/>
      <c r="CE129" s="226"/>
      <c r="CF129" s="226"/>
      <c r="CG129" s="226"/>
      <c r="CH129" s="226"/>
      <c r="CI129" s="226"/>
      <c r="CJ129" s="226"/>
      <c r="CK129" s="226"/>
      <c r="CL129" s="226"/>
      <c r="CM129" s="226"/>
      <c r="CN129" s="226"/>
      <c r="CO129" s="226"/>
      <c r="CP129" s="226"/>
      <c r="CQ129" s="226"/>
      <c r="CR129" s="226"/>
      <c r="CS129" s="226"/>
      <c r="CT129" s="226"/>
      <c r="CU129" s="226"/>
      <c r="CV129" s="226"/>
      <c r="CW129" s="226"/>
      <c r="CX129" s="226"/>
      <c r="CY129" s="226"/>
      <c r="CZ129" s="226"/>
      <c r="DA129" s="226"/>
      <c r="DB129" s="226"/>
      <c r="DC129" s="226"/>
      <c r="DD129" s="226"/>
      <c r="DE129" s="226"/>
      <c r="DF129" s="226"/>
      <c r="DG129" s="226"/>
      <c r="DH129" s="226"/>
      <c r="DI129" s="226"/>
      <c r="DJ129" s="226"/>
      <c r="DK129" s="226"/>
      <c r="DL129" s="226"/>
      <c r="DM129" s="226"/>
      <c r="DN129" s="226"/>
      <c r="DO129" s="226"/>
      <c r="DP129" s="226"/>
      <c r="DQ129" s="226"/>
      <c r="DR129" s="226"/>
      <c r="DS129" s="226"/>
      <c r="DT129" s="226"/>
      <c r="DU129" s="226"/>
      <c r="DV129" s="226"/>
      <c r="DW129" s="226"/>
      <c r="DX129" s="226"/>
      <c r="DY129" s="226"/>
      <c r="DZ129" s="226"/>
      <c r="EA129" s="226"/>
      <c r="EB129" s="226"/>
      <c r="EC129" s="226"/>
      <c r="ED129" s="226"/>
      <c r="EE129" s="226"/>
      <c r="EF129" s="226"/>
      <c r="EG129" s="226"/>
      <c r="EH129" s="226"/>
      <c r="EI129" s="226"/>
      <c r="EJ129" s="226"/>
      <c r="EK129" s="226"/>
      <c r="EL129" s="226"/>
      <c r="EM129" s="226"/>
      <c r="EN129" s="226"/>
      <c r="EO129" s="226"/>
      <c r="EP129" s="226"/>
      <c r="EQ129" s="226"/>
      <c r="ER129" s="226"/>
      <c r="ES129" s="226"/>
      <c r="ET129" s="226"/>
      <c r="EU129" s="226"/>
      <c r="EV129" s="226"/>
      <c r="EW129" s="226"/>
      <c r="EX129" s="226"/>
      <c r="EY129" s="226"/>
      <c r="EZ129" s="226"/>
      <c r="FA129" s="226"/>
      <c r="FB129" s="226"/>
      <c r="FC129" s="226"/>
      <c r="FD129" s="226"/>
      <c r="FE129" s="226"/>
      <c r="FF129" s="226"/>
      <c r="FG129" s="226"/>
      <c r="FH129" s="226"/>
      <c r="FI129" s="226"/>
      <c r="FJ129" s="226"/>
      <c r="FK129" s="226"/>
      <c r="FL129" s="226"/>
      <c r="FM129" s="226"/>
      <c r="FN129" s="226"/>
      <c r="FO129" s="226"/>
      <c r="FP129" s="226"/>
      <c r="FQ129" s="226"/>
      <c r="FR129" s="226"/>
      <c r="FS129" s="226"/>
      <c r="FT129" s="226"/>
      <c r="FU129" s="226"/>
      <c r="FV129" s="226"/>
      <c r="FW129" s="226"/>
      <c r="FX129" s="226"/>
      <c r="FY129" s="226"/>
      <c r="FZ129" s="226"/>
      <c r="GA129" s="226"/>
      <c r="GB129" s="226"/>
      <c r="GC129" s="226"/>
      <c r="GD129" s="226"/>
      <c r="GE129" s="226"/>
      <c r="GF129" s="226"/>
      <c r="GG129" s="226"/>
    </row>
    <row r="130" spans="1:189" s="225" customFormat="1" ht="15.95" customHeight="1">
      <c r="A130" s="899"/>
      <c r="B130" s="886"/>
      <c r="C130" s="840" t="s">
        <v>27</v>
      </c>
      <c r="D130" s="995">
        <v>1</v>
      </c>
      <c r="E130" s="860"/>
      <c r="F130" s="855"/>
      <c r="G130" s="259"/>
      <c r="H130" s="259"/>
      <c r="I130" s="265"/>
      <c r="J130" s="259"/>
      <c r="K130" s="226"/>
      <c r="L130" s="226"/>
      <c r="M130" s="226"/>
      <c r="N130" s="226"/>
      <c r="O130" s="226"/>
      <c r="P130" s="226"/>
      <c r="Q130" s="226"/>
      <c r="R130" s="226"/>
      <c r="S130" s="226"/>
      <c r="T130" s="226"/>
      <c r="U130" s="226"/>
      <c r="V130" s="226"/>
      <c r="W130" s="226"/>
      <c r="X130" s="226"/>
      <c r="Y130" s="226"/>
      <c r="Z130" s="226"/>
      <c r="AA130" s="226"/>
      <c r="AB130" s="226"/>
      <c r="AC130" s="226"/>
      <c r="AD130" s="226"/>
      <c r="AE130" s="226"/>
      <c r="AF130" s="226"/>
      <c r="AG130" s="226"/>
      <c r="AH130" s="226"/>
      <c r="AI130" s="226"/>
      <c r="AJ130" s="226"/>
      <c r="AK130" s="226"/>
      <c r="AL130" s="226"/>
      <c r="AM130" s="226"/>
      <c r="AN130" s="226"/>
      <c r="AO130" s="226"/>
      <c r="AP130" s="226"/>
      <c r="AQ130" s="226"/>
      <c r="AR130" s="226"/>
      <c r="AS130" s="226"/>
      <c r="AT130" s="226"/>
      <c r="AU130" s="226"/>
      <c r="AV130" s="226"/>
      <c r="AW130" s="226"/>
      <c r="AX130" s="226"/>
      <c r="AY130" s="226"/>
      <c r="AZ130" s="226"/>
      <c r="BA130" s="226"/>
      <c r="BB130" s="226"/>
      <c r="BC130" s="226"/>
      <c r="BD130" s="226"/>
      <c r="BE130" s="226"/>
      <c r="BF130" s="226"/>
      <c r="BG130" s="226"/>
      <c r="BH130" s="226"/>
      <c r="BI130" s="226"/>
      <c r="BJ130" s="226"/>
      <c r="BK130" s="226"/>
      <c r="BL130" s="226"/>
      <c r="BM130" s="226"/>
      <c r="BN130" s="226"/>
      <c r="BO130" s="226"/>
      <c r="BP130" s="226"/>
      <c r="BQ130" s="226"/>
      <c r="BR130" s="226"/>
      <c r="BS130" s="226"/>
      <c r="BT130" s="226"/>
      <c r="BU130" s="226"/>
      <c r="BV130" s="226"/>
      <c r="BW130" s="226"/>
      <c r="BX130" s="226"/>
      <c r="BY130" s="226"/>
      <c r="BZ130" s="226"/>
      <c r="CA130" s="226"/>
      <c r="CB130" s="226"/>
      <c r="CC130" s="226"/>
      <c r="CD130" s="226"/>
      <c r="CE130" s="226"/>
      <c r="CF130" s="226"/>
      <c r="CG130" s="226"/>
      <c r="CH130" s="226"/>
      <c r="CI130" s="226"/>
      <c r="CJ130" s="226"/>
      <c r="CK130" s="226"/>
      <c r="CL130" s="226"/>
      <c r="CM130" s="226"/>
      <c r="CN130" s="226"/>
      <c r="CO130" s="226"/>
      <c r="CP130" s="226"/>
      <c r="CQ130" s="226"/>
      <c r="CR130" s="226"/>
      <c r="CS130" s="226"/>
      <c r="CT130" s="226"/>
      <c r="CU130" s="226"/>
      <c r="CV130" s="226"/>
      <c r="CW130" s="226"/>
      <c r="CX130" s="226"/>
      <c r="CY130" s="226"/>
      <c r="CZ130" s="226"/>
      <c r="DA130" s="226"/>
      <c r="DB130" s="226"/>
      <c r="DC130" s="226"/>
      <c r="DD130" s="226"/>
      <c r="DE130" s="226"/>
      <c r="DF130" s="226"/>
      <c r="DG130" s="226"/>
      <c r="DH130" s="226"/>
      <c r="DI130" s="226"/>
      <c r="DJ130" s="226"/>
      <c r="DK130" s="226"/>
      <c r="DL130" s="226"/>
      <c r="DM130" s="226"/>
      <c r="DN130" s="226"/>
      <c r="DO130" s="226"/>
      <c r="DP130" s="226"/>
      <c r="DQ130" s="226"/>
      <c r="DR130" s="226"/>
      <c r="DS130" s="226"/>
      <c r="DT130" s="226"/>
      <c r="DU130" s="226"/>
      <c r="DV130" s="226"/>
      <c r="DW130" s="226"/>
      <c r="DX130" s="226"/>
      <c r="DY130" s="226"/>
      <c r="DZ130" s="226"/>
      <c r="EA130" s="226"/>
      <c r="EB130" s="226"/>
      <c r="EC130" s="226"/>
      <c r="ED130" s="226"/>
      <c r="EE130" s="226"/>
      <c r="EF130" s="226"/>
      <c r="EG130" s="226"/>
      <c r="EH130" s="226"/>
      <c r="EI130" s="226"/>
      <c r="EJ130" s="226"/>
      <c r="EK130" s="226"/>
      <c r="EL130" s="226"/>
      <c r="EM130" s="226"/>
      <c r="EN130" s="226"/>
      <c r="EO130" s="226"/>
      <c r="EP130" s="226"/>
      <c r="EQ130" s="226"/>
      <c r="ER130" s="226"/>
      <c r="ES130" s="226"/>
      <c r="ET130" s="226"/>
      <c r="EU130" s="226"/>
      <c r="EV130" s="226"/>
      <c r="EW130" s="226"/>
      <c r="EX130" s="226"/>
      <c r="EY130" s="226"/>
      <c r="EZ130" s="226"/>
      <c r="FA130" s="226"/>
      <c r="FB130" s="226"/>
      <c r="FC130" s="226"/>
      <c r="FD130" s="226"/>
      <c r="FE130" s="226"/>
      <c r="FF130" s="226"/>
      <c r="FG130" s="226"/>
      <c r="FH130" s="226"/>
      <c r="FI130" s="226"/>
      <c r="FJ130" s="226"/>
      <c r="FK130" s="226"/>
      <c r="FL130" s="226"/>
      <c r="FM130" s="226"/>
      <c r="FN130" s="226"/>
      <c r="FO130" s="226"/>
      <c r="FP130" s="226"/>
      <c r="FQ130" s="226"/>
      <c r="FR130" s="226"/>
      <c r="FS130" s="226"/>
      <c r="FT130" s="226"/>
      <c r="FU130" s="226"/>
      <c r="FV130" s="226"/>
      <c r="FW130" s="226"/>
      <c r="FX130" s="226"/>
      <c r="FY130" s="226"/>
      <c r="FZ130" s="226"/>
      <c r="GA130" s="226"/>
      <c r="GB130" s="226"/>
      <c r="GC130" s="226"/>
      <c r="GD130" s="226"/>
      <c r="GE130" s="226"/>
      <c r="GF130" s="226"/>
      <c r="GG130" s="226"/>
    </row>
    <row r="131" spans="1:189" s="225" customFormat="1" ht="15.95" customHeight="1">
      <c r="A131" s="879" t="e">
        <f>+#REF!</f>
        <v>#REF!</v>
      </c>
      <c r="B131" s="916" t="e">
        <f>+#REF!</f>
        <v>#REF!</v>
      </c>
      <c r="C131" s="849"/>
      <c r="D131" s="996"/>
      <c r="E131" s="945"/>
      <c r="F131" s="861"/>
      <c r="G131" s="259"/>
      <c r="K131" s="226"/>
      <c r="L131" s="226"/>
      <c r="M131" s="226"/>
      <c r="N131" s="226"/>
      <c r="O131" s="226"/>
      <c r="P131" s="226"/>
      <c r="Q131" s="226"/>
      <c r="R131" s="226"/>
      <c r="S131" s="226"/>
      <c r="T131" s="226"/>
      <c r="U131" s="226"/>
      <c r="V131" s="226"/>
      <c r="W131" s="226"/>
      <c r="X131" s="226"/>
      <c r="Y131" s="226"/>
      <c r="Z131" s="226"/>
      <c r="AA131" s="226"/>
      <c r="AB131" s="226"/>
      <c r="AC131" s="226"/>
      <c r="AD131" s="226"/>
      <c r="AE131" s="226"/>
      <c r="AF131" s="226"/>
      <c r="AG131" s="226"/>
      <c r="AH131" s="226"/>
      <c r="AI131" s="226"/>
      <c r="AJ131" s="226"/>
      <c r="AK131" s="226"/>
      <c r="AL131" s="226"/>
      <c r="AM131" s="226"/>
      <c r="AN131" s="226"/>
      <c r="AO131" s="226"/>
      <c r="AP131" s="226"/>
      <c r="AQ131" s="226"/>
      <c r="AR131" s="226"/>
      <c r="AS131" s="226"/>
      <c r="AT131" s="226"/>
      <c r="AU131" s="226"/>
      <c r="AV131" s="226"/>
      <c r="AW131" s="226"/>
      <c r="AX131" s="226"/>
      <c r="AY131" s="226"/>
      <c r="AZ131" s="226"/>
      <c r="BA131" s="226"/>
      <c r="BB131" s="226"/>
      <c r="BC131" s="226"/>
      <c r="BD131" s="226"/>
      <c r="BE131" s="226"/>
      <c r="BF131" s="226"/>
      <c r="BG131" s="226"/>
      <c r="BH131" s="226"/>
      <c r="BI131" s="226"/>
      <c r="BJ131" s="226"/>
      <c r="BK131" s="226"/>
      <c r="BL131" s="226"/>
      <c r="BM131" s="226"/>
      <c r="BN131" s="226"/>
      <c r="BO131" s="226"/>
      <c r="BP131" s="226"/>
      <c r="BQ131" s="226"/>
      <c r="BR131" s="226"/>
      <c r="BS131" s="226"/>
      <c r="BT131" s="226"/>
      <c r="BU131" s="226"/>
      <c r="BV131" s="226"/>
      <c r="BW131" s="226"/>
      <c r="BX131" s="226"/>
      <c r="BY131" s="226"/>
      <c r="BZ131" s="226"/>
      <c r="CA131" s="226"/>
      <c r="CB131" s="226"/>
      <c r="CC131" s="226"/>
      <c r="CD131" s="226"/>
      <c r="CE131" s="226"/>
      <c r="CF131" s="226"/>
      <c r="CG131" s="226"/>
      <c r="CH131" s="226"/>
      <c r="CI131" s="226"/>
      <c r="CJ131" s="226"/>
      <c r="CK131" s="226"/>
      <c r="CL131" s="226"/>
      <c r="CM131" s="226"/>
      <c r="CN131" s="226"/>
      <c r="CO131" s="226"/>
      <c r="CP131" s="226"/>
      <c r="CQ131" s="226"/>
      <c r="CR131" s="226"/>
      <c r="CS131" s="226"/>
      <c r="CT131" s="226"/>
      <c r="CU131" s="226"/>
      <c r="CV131" s="226"/>
      <c r="CW131" s="226"/>
      <c r="CX131" s="226"/>
      <c r="CY131" s="226"/>
      <c r="CZ131" s="226"/>
      <c r="DA131" s="226"/>
      <c r="DB131" s="226"/>
      <c r="DC131" s="226"/>
      <c r="DD131" s="226"/>
      <c r="DE131" s="226"/>
      <c r="DF131" s="226"/>
      <c r="DG131" s="226"/>
      <c r="DH131" s="226"/>
      <c r="DI131" s="226"/>
      <c r="DJ131" s="226"/>
      <c r="DK131" s="226"/>
      <c r="DL131" s="226"/>
      <c r="DM131" s="226"/>
      <c r="DN131" s="226"/>
      <c r="DO131" s="226"/>
      <c r="DP131" s="226"/>
      <c r="DQ131" s="226"/>
      <c r="DR131" s="226"/>
      <c r="DS131" s="226"/>
      <c r="DT131" s="226"/>
      <c r="DU131" s="226"/>
      <c r="DV131" s="226"/>
      <c r="DW131" s="226"/>
      <c r="DX131" s="226"/>
      <c r="DY131" s="226"/>
      <c r="DZ131" s="226"/>
      <c r="EA131" s="226"/>
      <c r="EB131" s="226"/>
      <c r="EC131" s="226"/>
      <c r="ED131" s="226"/>
      <c r="EE131" s="226"/>
      <c r="EF131" s="226"/>
      <c r="EG131" s="226"/>
      <c r="EH131" s="226"/>
      <c r="EI131" s="226"/>
      <c r="EJ131" s="226"/>
      <c r="EK131" s="226"/>
      <c r="EL131" s="226"/>
      <c r="EM131" s="226"/>
      <c r="EN131" s="226"/>
      <c r="EO131" s="226"/>
      <c r="EP131" s="226"/>
      <c r="EQ131" s="226"/>
      <c r="ER131" s="226"/>
      <c r="ES131" s="226"/>
      <c r="ET131" s="226"/>
      <c r="EU131" s="226"/>
      <c r="EV131" s="226"/>
      <c r="EW131" s="226"/>
      <c r="EX131" s="226"/>
      <c r="EY131" s="226"/>
      <c r="EZ131" s="226"/>
      <c r="FA131" s="226"/>
      <c r="FB131" s="226"/>
      <c r="FC131" s="226"/>
      <c r="FD131" s="226"/>
      <c r="FE131" s="226"/>
      <c r="FF131" s="226"/>
      <c r="FG131" s="226"/>
      <c r="FH131" s="226"/>
      <c r="FI131" s="226"/>
      <c r="FJ131" s="226"/>
      <c r="FK131" s="226"/>
      <c r="FL131" s="226"/>
      <c r="FM131" s="226"/>
      <c r="FN131" s="226"/>
      <c r="FO131" s="226"/>
      <c r="FP131" s="226"/>
      <c r="FQ131" s="226"/>
      <c r="FR131" s="226"/>
      <c r="FS131" s="226"/>
      <c r="FT131" s="226"/>
      <c r="FU131" s="226"/>
      <c r="FV131" s="226"/>
      <c r="FW131" s="226"/>
      <c r="FX131" s="226"/>
      <c r="FY131" s="226"/>
      <c r="FZ131" s="226"/>
      <c r="GA131" s="226"/>
      <c r="GB131" s="226"/>
      <c r="GC131" s="226"/>
      <c r="GD131" s="226"/>
      <c r="GE131" s="226"/>
      <c r="GF131" s="226"/>
      <c r="GG131" s="226"/>
    </row>
    <row r="132" spans="1:189" s="225" customFormat="1" ht="15.95" customHeight="1">
      <c r="A132" s="900" t="e">
        <f>+#REF!</f>
        <v>#REF!</v>
      </c>
      <c r="B132" s="901" t="e">
        <f>+#REF!</f>
        <v>#REF!</v>
      </c>
      <c r="C132" s="839" t="s">
        <v>1</v>
      </c>
      <c r="D132" s="997">
        <f>J132</f>
        <v>49.478000000000002</v>
      </c>
      <c r="E132" s="946"/>
      <c r="F132" s="1036"/>
      <c r="G132" s="259"/>
      <c r="H132" s="259">
        <f>SUM(H125:H128)/50+10</f>
        <v>44.98</v>
      </c>
      <c r="I132" s="265">
        <v>1.1000000000000001</v>
      </c>
      <c r="J132" s="259">
        <f>H132*I132</f>
        <v>49.478000000000002</v>
      </c>
      <c r="K132" s="226"/>
      <c r="L132" s="226"/>
      <c r="M132" s="226"/>
      <c r="N132" s="226"/>
      <c r="O132" s="226"/>
      <c r="P132" s="226"/>
      <c r="Q132" s="226"/>
      <c r="R132" s="226"/>
      <c r="S132" s="226"/>
      <c r="T132" s="226"/>
      <c r="U132" s="226"/>
      <c r="V132" s="226"/>
      <c r="W132" s="226"/>
      <c r="X132" s="226"/>
      <c r="Y132" s="226"/>
      <c r="Z132" s="226"/>
      <c r="AA132" s="226"/>
      <c r="AB132" s="226"/>
      <c r="AC132" s="226"/>
      <c r="AD132" s="226"/>
      <c r="AE132" s="226"/>
      <c r="AF132" s="226"/>
      <c r="AG132" s="226"/>
      <c r="AH132" s="226"/>
      <c r="AI132" s="226"/>
      <c r="AJ132" s="226"/>
      <c r="AK132" s="226"/>
      <c r="AL132" s="226"/>
      <c r="AM132" s="226"/>
      <c r="AN132" s="226"/>
      <c r="AO132" s="226"/>
      <c r="AP132" s="226"/>
      <c r="AQ132" s="226"/>
      <c r="AR132" s="226"/>
      <c r="AS132" s="226"/>
      <c r="AT132" s="226"/>
      <c r="AU132" s="226"/>
      <c r="AV132" s="226"/>
      <c r="AW132" s="226"/>
      <c r="AX132" s="226"/>
      <c r="AY132" s="226"/>
      <c r="AZ132" s="226"/>
      <c r="BA132" s="226"/>
      <c r="BB132" s="226"/>
      <c r="BC132" s="226"/>
      <c r="BD132" s="226"/>
      <c r="BE132" s="226"/>
      <c r="BF132" s="226"/>
      <c r="BG132" s="226"/>
      <c r="BH132" s="226"/>
      <c r="BI132" s="226"/>
      <c r="BJ132" s="226"/>
      <c r="BK132" s="226"/>
      <c r="BL132" s="226"/>
      <c r="BM132" s="226"/>
      <c r="BN132" s="226"/>
      <c r="BO132" s="226"/>
      <c r="BP132" s="226"/>
      <c r="BQ132" s="226"/>
      <c r="BR132" s="226"/>
      <c r="BS132" s="226"/>
      <c r="BT132" s="226"/>
      <c r="BU132" s="226"/>
      <c r="BV132" s="226"/>
      <c r="BW132" s="226"/>
      <c r="BX132" s="226"/>
      <c r="BY132" s="226"/>
      <c r="BZ132" s="226"/>
      <c r="CA132" s="226"/>
      <c r="CB132" s="226"/>
      <c r="CC132" s="226"/>
      <c r="CD132" s="226"/>
      <c r="CE132" s="226"/>
      <c r="CF132" s="226"/>
      <c r="CG132" s="226"/>
      <c r="CH132" s="226"/>
      <c r="CI132" s="226"/>
      <c r="CJ132" s="226"/>
      <c r="CK132" s="226"/>
      <c r="CL132" s="226"/>
      <c r="CM132" s="226"/>
      <c r="CN132" s="226"/>
      <c r="CO132" s="226"/>
      <c r="CP132" s="226"/>
      <c r="CQ132" s="226"/>
      <c r="CR132" s="226"/>
      <c r="CS132" s="226"/>
      <c r="CT132" s="226"/>
      <c r="CU132" s="226"/>
      <c r="CV132" s="226"/>
      <c r="CW132" s="226"/>
      <c r="CX132" s="226"/>
      <c r="CY132" s="226"/>
      <c r="CZ132" s="226"/>
      <c r="DA132" s="226"/>
      <c r="DB132" s="226"/>
      <c r="DC132" s="226"/>
      <c r="DD132" s="226"/>
      <c r="DE132" s="226"/>
      <c r="DF132" s="226"/>
      <c r="DG132" s="226"/>
      <c r="DH132" s="226"/>
      <c r="DI132" s="226"/>
      <c r="DJ132" s="226"/>
      <c r="DK132" s="226"/>
      <c r="DL132" s="226"/>
      <c r="DM132" s="226"/>
      <c r="DN132" s="226"/>
      <c r="DO132" s="226"/>
      <c r="DP132" s="226"/>
      <c r="DQ132" s="226"/>
      <c r="DR132" s="226"/>
      <c r="DS132" s="226"/>
      <c r="DT132" s="226"/>
      <c r="DU132" s="226"/>
      <c r="DV132" s="226"/>
      <c r="DW132" s="226"/>
      <c r="DX132" s="226"/>
      <c r="DY132" s="226"/>
      <c r="DZ132" s="226"/>
      <c r="EA132" s="226"/>
      <c r="EB132" s="226"/>
      <c r="EC132" s="226"/>
      <c r="ED132" s="226"/>
      <c r="EE132" s="226"/>
      <c r="EF132" s="226"/>
      <c r="EG132" s="226"/>
      <c r="EH132" s="226"/>
      <c r="EI132" s="226"/>
      <c r="EJ132" s="226"/>
      <c r="EK132" s="226"/>
      <c r="EL132" s="226"/>
      <c r="EM132" s="226"/>
      <c r="EN132" s="226"/>
      <c r="EO132" s="226"/>
      <c r="EP132" s="226"/>
      <c r="EQ132" s="226"/>
      <c r="ER132" s="226"/>
      <c r="ES132" s="226"/>
      <c r="ET132" s="226"/>
      <c r="EU132" s="226"/>
      <c r="EV132" s="226"/>
      <c r="EW132" s="226"/>
      <c r="EX132" s="226"/>
      <c r="EY132" s="226"/>
      <c r="EZ132" s="226"/>
      <c r="FA132" s="226"/>
      <c r="FB132" s="226"/>
      <c r="FC132" s="226"/>
      <c r="FD132" s="226"/>
      <c r="FE132" s="226"/>
      <c r="FF132" s="226"/>
      <c r="FG132" s="226"/>
      <c r="FH132" s="226"/>
      <c r="FI132" s="226"/>
      <c r="FJ132" s="226"/>
      <c r="FK132" s="226"/>
      <c r="FL132" s="226"/>
      <c r="FM132" s="226"/>
      <c r="FN132" s="226"/>
      <c r="FO132" s="226"/>
      <c r="FP132" s="226"/>
      <c r="FQ132" s="226"/>
      <c r="FR132" s="226"/>
      <c r="FS132" s="226"/>
      <c r="FT132" s="226"/>
      <c r="FU132" s="226"/>
      <c r="FV132" s="226"/>
      <c r="FW132" s="226"/>
      <c r="FX132" s="226"/>
      <c r="FY132" s="226"/>
      <c r="FZ132" s="226"/>
      <c r="GA132" s="226"/>
      <c r="GB132" s="226"/>
      <c r="GC132" s="226"/>
      <c r="GD132" s="226"/>
      <c r="GE132" s="226"/>
      <c r="GF132" s="226"/>
      <c r="GG132" s="226"/>
    </row>
    <row r="133" spans="1:189" s="225" customFormat="1" ht="15.95" customHeight="1">
      <c r="A133" s="902" t="e">
        <f>+#REF!</f>
        <v>#REF!</v>
      </c>
      <c r="B133" s="903" t="e">
        <f>+#REF!</f>
        <v>#REF!</v>
      </c>
      <c r="C133" s="840" t="s">
        <v>27</v>
      </c>
      <c r="D133" s="995">
        <f>J133</f>
        <v>146.66666666666669</v>
      </c>
      <c r="E133" s="860"/>
      <c r="F133" s="855"/>
      <c r="G133" s="259"/>
      <c r="H133" s="259">
        <f>SUM(H122:H123)/12</f>
        <v>133.33333333333334</v>
      </c>
      <c r="I133" s="265">
        <v>1.1000000000000001</v>
      </c>
      <c r="J133" s="259">
        <f>H133*I133</f>
        <v>146.66666666666669</v>
      </c>
      <c r="K133" s="226"/>
      <c r="L133" s="226"/>
      <c r="M133" s="226"/>
      <c r="N133" s="226"/>
      <c r="O133" s="226"/>
      <c r="P133" s="226"/>
      <c r="Q133" s="226"/>
      <c r="R133" s="226"/>
      <c r="S133" s="226"/>
      <c r="T133" s="226"/>
      <c r="U133" s="226"/>
      <c r="V133" s="226"/>
      <c r="W133" s="226"/>
      <c r="X133" s="226"/>
      <c r="Y133" s="226"/>
      <c r="Z133" s="226"/>
      <c r="AA133" s="226"/>
      <c r="AB133" s="226"/>
      <c r="AC133" s="226"/>
      <c r="AD133" s="226"/>
      <c r="AE133" s="226"/>
      <c r="AF133" s="226"/>
      <c r="AG133" s="226"/>
      <c r="AH133" s="226"/>
      <c r="AI133" s="226"/>
      <c r="AJ133" s="226"/>
      <c r="AK133" s="226"/>
      <c r="AL133" s="226"/>
      <c r="AM133" s="226"/>
      <c r="AN133" s="226"/>
      <c r="AO133" s="226"/>
      <c r="AP133" s="226"/>
      <c r="AQ133" s="226"/>
      <c r="AR133" s="226"/>
      <c r="AS133" s="226"/>
      <c r="AT133" s="226"/>
      <c r="AU133" s="226"/>
      <c r="AV133" s="226"/>
      <c r="AW133" s="226"/>
      <c r="AX133" s="226"/>
      <c r="AY133" s="226"/>
      <c r="AZ133" s="226"/>
      <c r="BA133" s="226"/>
      <c r="BB133" s="226"/>
      <c r="BC133" s="226"/>
      <c r="BD133" s="226"/>
      <c r="BE133" s="226"/>
      <c r="BF133" s="226"/>
      <c r="BG133" s="226"/>
      <c r="BH133" s="226"/>
      <c r="BI133" s="226"/>
      <c r="BJ133" s="226"/>
      <c r="BK133" s="226"/>
      <c r="BL133" s="226"/>
      <c r="BM133" s="226"/>
      <c r="BN133" s="226"/>
      <c r="BO133" s="226"/>
      <c r="BP133" s="226"/>
      <c r="BQ133" s="226"/>
      <c r="BR133" s="226"/>
      <c r="BS133" s="226"/>
      <c r="BT133" s="226"/>
      <c r="BU133" s="226"/>
      <c r="BV133" s="226"/>
      <c r="BW133" s="226"/>
      <c r="BX133" s="226"/>
      <c r="BY133" s="226"/>
      <c r="BZ133" s="226"/>
      <c r="CA133" s="226"/>
      <c r="CB133" s="226"/>
      <c r="CC133" s="226"/>
      <c r="CD133" s="226"/>
      <c r="CE133" s="226"/>
      <c r="CF133" s="226"/>
      <c r="CG133" s="226"/>
      <c r="CH133" s="226"/>
      <c r="CI133" s="226"/>
      <c r="CJ133" s="226"/>
      <c r="CK133" s="226"/>
      <c r="CL133" s="226"/>
      <c r="CM133" s="226"/>
      <c r="CN133" s="226"/>
      <c r="CO133" s="226"/>
      <c r="CP133" s="226"/>
      <c r="CQ133" s="226"/>
      <c r="CR133" s="226"/>
      <c r="CS133" s="226"/>
      <c r="CT133" s="226"/>
      <c r="CU133" s="226"/>
      <c r="CV133" s="226"/>
      <c r="CW133" s="226"/>
      <c r="CX133" s="226"/>
      <c r="CY133" s="226"/>
      <c r="CZ133" s="226"/>
      <c r="DA133" s="226"/>
      <c r="DB133" s="226"/>
      <c r="DC133" s="226"/>
      <c r="DD133" s="226"/>
      <c r="DE133" s="226"/>
      <c r="DF133" s="226"/>
      <c r="DG133" s="226"/>
      <c r="DH133" s="226"/>
      <c r="DI133" s="226"/>
      <c r="DJ133" s="226"/>
      <c r="DK133" s="226"/>
      <c r="DL133" s="226"/>
      <c r="DM133" s="226"/>
      <c r="DN133" s="226"/>
      <c r="DO133" s="226"/>
      <c r="DP133" s="226"/>
      <c r="DQ133" s="226"/>
      <c r="DR133" s="226"/>
      <c r="DS133" s="226"/>
      <c r="DT133" s="226"/>
      <c r="DU133" s="226"/>
      <c r="DV133" s="226"/>
      <c r="DW133" s="226"/>
      <c r="DX133" s="226"/>
      <c r="DY133" s="226"/>
      <c r="DZ133" s="226"/>
      <c r="EA133" s="226"/>
      <c r="EB133" s="226"/>
      <c r="EC133" s="226"/>
      <c r="ED133" s="226"/>
      <c r="EE133" s="226"/>
      <c r="EF133" s="226"/>
      <c r="EG133" s="226"/>
      <c r="EH133" s="226"/>
      <c r="EI133" s="226"/>
      <c r="EJ133" s="226"/>
      <c r="EK133" s="226"/>
      <c r="EL133" s="226"/>
      <c r="EM133" s="226"/>
      <c r="EN133" s="226"/>
      <c r="EO133" s="226"/>
      <c r="EP133" s="226"/>
      <c r="EQ133" s="226"/>
      <c r="ER133" s="226"/>
      <c r="ES133" s="226"/>
      <c r="ET133" s="226"/>
      <c r="EU133" s="226"/>
      <c r="EV133" s="226"/>
      <c r="EW133" s="226"/>
      <c r="EX133" s="226"/>
      <c r="EY133" s="226"/>
      <c r="EZ133" s="226"/>
      <c r="FA133" s="226"/>
      <c r="FB133" s="226"/>
      <c r="FC133" s="226"/>
      <c r="FD133" s="226"/>
      <c r="FE133" s="226"/>
      <c r="FF133" s="226"/>
      <c r="FG133" s="226"/>
      <c r="FH133" s="226"/>
      <c r="FI133" s="226"/>
      <c r="FJ133" s="226"/>
      <c r="FK133" s="226"/>
      <c r="FL133" s="226"/>
      <c r="FM133" s="226"/>
      <c r="FN133" s="226"/>
      <c r="FO133" s="226"/>
      <c r="FP133" s="226"/>
      <c r="FQ133" s="226"/>
      <c r="FR133" s="226"/>
      <c r="FS133" s="226"/>
      <c r="FT133" s="226"/>
      <c r="FU133" s="226"/>
      <c r="FV133" s="226"/>
      <c r="FW133" s="226"/>
      <c r="FX133" s="226"/>
      <c r="FY133" s="226"/>
      <c r="FZ133" s="226"/>
      <c r="GA133" s="226"/>
      <c r="GB133" s="226"/>
      <c r="GC133" s="226"/>
      <c r="GD133" s="226"/>
      <c r="GE133" s="226"/>
      <c r="GF133" s="226"/>
      <c r="GG133" s="226"/>
    </row>
    <row r="134" spans="1:189" s="129" customFormat="1" ht="20.100000000000001" customHeight="1">
      <c r="A134" s="904"/>
      <c r="B134" s="905"/>
      <c r="C134" s="1032"/>
      <c r="D134" s="1022"/>
      <c r="E134" s="1023" t="s">
        <v>113</v>
      </c>
      <c r="F134" s="1024"/>
      <c r="G134" s="255"/>
      <c r="H134" s="255"/>
      <c r="I134" s="262"/>
      <c r="J134" s="255"/>
    </row>
    <row r="135" spans="1:189" s="129" customFormat="1" ht="20.100000000000001" customHeight="1">
      <c r="A135" s="1957" t="e">
        <f>+#REF!</f>
        <v>#REF!</v>
      </c>
      <c r="B135" s="1958"/>
      <c r="C135" s="1958"/>
      <c r="D135" s="1958"/>
      <c r="E135" s="1958"/>
      <c r="F135" s="1959"/>
      <c r="G135" s="255"/>
    </row>
    <row r="136" spans="1:189" s="129" customFormat="1" ht="15.95" customHeight="1">
      <c r="A136" s="875" t="e">
        <f>+#REF!</f>
        <v>#REF!</v>
      </c>
      <c r="B136" s="914" t="e">
        <f>+#REF!</f>
        <v>#REF!</v>
      </c>
      <c r="C136" s="845"/>
      <c r="D136" s="994"/>
      <c r="E136" s="945"/>
      <c r="F136" s="861"/>
      <c r="G136" s="255"/>
    </row>
    <row r="137" spans="1:189" s="129" customFormat="1" ht="15.95" customHeight="1">
      <c r="A137" s="892" t="e">
        <f>+#REF!</f>
        <v>#REF!</v>
      </c>
      <c r="B137" s="929" t="e">
        <f>+#REF!</f>
        <v>#REF!</v>
      </c>
      <c r="C137" s="537" t="s">
        <v>27</v>
      </c>
      <c r="D137" s="997">
        <f>J137</f>
        <v>111</v>
      </c>
      <c r="E137" s="946"/>
      <c r="F137" s="1036"/>
      <c r="G137" s="255"/>
      <c r="H137" s="255">
        <f>2*F13/25</f>
        <v>105.28</v>
      </c>
      <c r="I137" s="262">
        <v>1.05</v>
      </c>
      <c r="J137" s="255">
        <f>ROUND(H137*I137,0)</f>
        <v>111</v>
      </c>
    </row>
    <row r="138" spans="1:189" s="129" customFormat="1" ht="15.95" customHeight="1">
      <c r="A138" s="879" t="e">
        <f>+#REF!</f>
        <v>#REF!</v>
      </c>
      <c r="B138" s="916" t="e">
        <f>+#REF!</f>
        <v>#REF!</v>
      </c>
      <c r="C138" s="928"/>
      <c r="D138" s="996"/>
      <c r="E138" s="945"/>
      <c r="F138" s="945"/>
      <c r="G138" s="255"/>
      <c r="H138" s="255"/>
      <c r="I138" s="262"/>
      <c r="J138" s="255"/>
    </row>
    <row r="139" spans="1:189" s="129" customFormat="1" ht="15.95" customHeight="1">
      <c r="A139" s="888" t="e">
        <f>+#REF!</f>
        <v>#REF!</v>
      </c>
      <c r="B139" s="931" t="e">
        <f>+#REF!</f>
        <v>#REF!</v>
      </c>
      <c r="C139" s="537" t="s">
        <v>27</v>
      </c>
      <c r="D139" s="997">
        <v>20</v>
      </c>
      <c r="E139" s="946"/>
      <c r="F139" s="946"/>
      <c r="G139" s="255"/>
      <c r="H139" s="255"/>
      <c r="I139" s="262"/>
      <c r="J139" s="255"/>
    </row>
    <row r="140" spans="1:189" s="129" customFormat="1" ht="15.95" customHeight="1">
      <c r="A140" s="890" t="e">
        <f>+#REF!</f>
        <v>#REF!</v>
      </c>
      <c r="B140" s="924" t="e">
        <f>+#REF!</f>
        <v>#REF!</v>
      </c>
      <c r="C140" s="852" t="s">
        <v>27</v>
      </c>
      <c r="D140" s="995">
        <v>4</v>
      </c>
      <c r="E140" s="860"/>
      <c r="F140" s="860"/>
      <c r="G140" s="255"/>
      <c r="H140" s="255"/>
      <c r="I140" s="262"/>
      <c r="J140" s="255"/>
    </row>
    <row r="141" spans="1:189" s="129" customFormat="1" ht="15.95" customHeight="1">
      <c r="A141" s="879" t="e">
        <f>+#REF!</f>
        <v>#REF!</v>
      </c>
      <c r="B141" s="916" t="e">
        <f>+#REF!</f>
        <v>#REF!</v>
      </c>
      <c r="C141" s="928"/>
      <c r="D141" s="996"/>
      <c r="E141" s="945"/>
      <c r="F141" s="945"/>
      <c r="G141" s="255"/>
      <c r="H141" s="255"/>
      <c r="I141" s="262"/>
      <c r="J141" s="255"/>
    </row>
    <row r="142" spans="1:189" s="129" customFormat="1" ht="20.100000000000001" customHeight="1">
      <c r="A142" s="906"/>
      <c r="B142" s="924"/>
      <c r="C142" s="840" t="s">
        <v>95</v>
      </c>
      <c r="D142" s="995">
        <f>J142</f>
        <v>315</v>
      </c>
      <c r="E142" s="860"/>
      <c r="F142" s="860"/>
      <c r="G142" s="255"/>
      <c r="H142" s="255">
        <f>300</f>
        <v>300</v>
      </c>
      <c r="I142" s="262">
        <v>1.05</v>
      </c>
      <c r="J142" s="255">
        <f>H142*I142</f>
        <v>315</v>
      </c>
    </row>
    <row r="143" spans="1:189" s="129" customFormat="1" ht="20.100000000000001" customHeight="1">
      <c r="A143" s="878"/>
      <c r="B143" s="882"/>
      <c r="C143" s="1032"/>
      <c r="D143" s="1022"/>
      <c r="E143" s="1023" t="s">
        <v>112</v>
      </c>
      <c r="F143" s="1024"/>
      <c r="G143" s="255"/>
      <c r="H143" s="255"/>
      <c r="I143" s="262"/>
      <c r="J143" s="255"/>
    </row>
    <row r="144" spans="1:189" s="129" customFormat="1" ht="8.25" customHeight="1">
      <c r="A144" s="878"/>
      <c r="B144" s="882"/>
      <c r="C144" s="883"/>
      <c r="D144" s="1041"/>
      <c r="E144" s="1053"/>
      <c r="F144" s="1053"/>
      <c r="G144" s="255"/>
      <c r="H144" s="255"/>
      <c r="I144" s="262"/>
      <c r="J144" s="255"/>
    </row>
    <row r="145" spans="1:48" s="129" customFormat="1" ht="20.100000000000001" customHeight="1">
      <c r="A145" s="878"/>
      <c r="B145" s="882"/>
      <c r="C145" s="1032"/>
      <c r="D145" s="1022"/>
      <c r="E145" s="1023" t="s">
        <v>330</v>
      </c>
      <c r="F145" s="1054"/>
      <c r="G145" s="255"/>
      <c r="H145" s="255"/>
      <c r="I145" s="262"/>
      <c r="J145" s="255"/>
    </row>
    <row r="146" spans="1:48" s="129" customFormat="1" ht="11.25" customHeight="1">
      <c r="A146" s="878"/>
      <c r="B146" s="882"/>
      <c r="C146" s="883"/>
      <c r="D146" s="1055"/>
      <c r="E146" s="1042"/>
      <c r="F146" s="1042"/>
      <c r="G146" s="255"/>
      <c r="H146" s="255"/>
      <c r="I146" s="262"/>
      <c r="J146" s="255"/>
    </row>
    <row r="147" spans="1:48" s="129" customFormat="1" ht="20.100000000000001" customHeight="1">
      <c r="A147" s="907"/>
      <c r="B147" s="1056"/>
      <c r="C147" s="1032"/>
      <c r="D147" s="1022"/>
      <c r="E147" s="1023" t="s">
        <v>331</v>
      </c>
      <c r="F147" s="1054"/>
      <c r="G147" s="255"/>
      <c r="H147" s="255"/>
      <c r="I147" s="262"/>
      <c r="J147" s="255"/>
    </row>
    <row r="150" spans="1:48" s="129" customFormat="1">
      <c r="A150" s="832"/>
      <c r="B150" s="114"/>
      <c r="C150" s="1057"/>
      <c r="D150" s="1058"/>
      <c r="E150" s="257"/>
      <c r="F150" s="257"/>
      <c r="G150" s="255">
        <v>6297720903.5422144</v>
      </c>
      <c r="H150" s="255"/>
      <c r="I150" s="262"/>
      <c r="J150" s="255"/>
    </row>
    <row r="151" spans="1:48" s="129" customFormat="1">
      <c r="A151" s="832"/>
      <c r="B151" s="114"/>
      <c r="C151" s="1057"/>
      <c r="D151" s="1058"/>
      <c r="E151" s="257"/>
      <c r="F151" s="257"/>
      <c r="G151" s="255"/>
      <c r="H151" s="255"/>
      <c r="I151" s="262"/>
      <c r="J151" s="255">
        <f>18500*17</f>
        <v>314500</v>
      </c>
    </row>
    <row r="154" spans="1:48" s="129" customFormat="1">
      <c r="A154" s="832"/>
      <c r="B154" s="114"/>
      <c r="C154" s="1057"/>
      <c r="D154" s="1058"/>
      <c r="E154" s="257"/>
      <c r="F154" s="257"/>
      <c r="G154" s="255"/>
      <c r="H154" s="255"/>
      <c r="I154" s="262"/>
      <c r="J154" s="255"/>
      <c r="AV154" s="129">
        <v>46200</v>
      </c>
    </row>
    <row r="155" spans="1:48" s="129" customFormat="1">
      <c r="A155" s="832"/>
      <c r="B155" s="114"/>
      <c r="C155" s="1057"/>
      <c r="D155" s="1058"/>
      <c r="E155" s="257"/>
      <c r="F155" s="257"/>
      <c r="G155" s="255"/>
      <c r="H155" s="255"/>
      <c r="I155" s="262"/>
      <c r="J155" s="255"/>
    </row>
    <row r="156" spans="1:48" s="129" customFormat="1">
      <c r="A156" s="832"/>
      <c r="B156" s="114"/>
      <c r="C156" s="1057"/>
      <c r="D156" s="1058"/>
      <c r="E156" s="257"/>
      <c r="F156" s="257"/>
      <c r="G156" s="255"/>
      <c r="H156" s="255"/>
      <c r="I156" s="262"/>
      <c r="J156" s="255"/>
    </row>
    <row r="158" spans="1:48" s="129" customFormat="1" ht="15.75">
      <c r="A158" s="468"/>
      <c r="B158" s="114"/>
      <c r="C158" s="1057"/>
      <c r="D158" s="1058"/>
      <c r="E158" s="947"/>
      <c r="F158" s="1059"/>
      <c r="G158" s="255"/>
      <c r="H158" s="255"/>
      <c r="I158" s="262"/>
      <c r="J158" s="255"/>
    </row>
    <row r="159" spans="1:48" s="129" customFormat="1" ht="26.25">
      <c r="A159" s="832"/>
      <c r="B159" s="1915"/>
      <c r="C159" s="1915"/>
      <c r="D159" s="1915"/>
      <c r="E159" s="1915"/>
      <c r="F159" s="1915"/>
      <c r="G159" s="255"/>
      <c r="H159" s="255"/>
      <c r="I159" s="262"/>
      <c r="J159" s="255"/>
    </row>
    <row r="172" spans="1:189" s="255" customFormat="1">
      <c r="A172" s="832"/>
      <c r="B172" s="114"/>
      <c r="C172" s="1057"/>
      <c r="D172" s="1058"/>
      <c r="E172" s="257">
        <f>18500*17</f>
        <v>314500</v>
      </c>
      <c r="F172" s="257"/>
      <c r="I172" s="262"/>
      <c r="K172" s="129"/>
      <c r="L172" s="129"/>
      <c r="M172" s="129"/>
      <c r="N172" s="129"/>
      <c r="O172" s="129"/>
      <c r="P172" s="129"/>
      <c r="Q172" s="129"/>
      <c r="R172" s="129"/>
      <c r="S172" s="129"/>
      <c r="T172" s="129"/>
      <c r="U172" s="129"/>
      <c r="V172" s="129"/>
      <c r="W172" s="129"/>
      <c r="X172" s="129"/>
      <c r="Y172" s="129"/>
      <c r="Z172" s="129"/>
      <c r="AA172" s="129"/>
      <c r="AB172" s="129"/>
      <c r="AC172" s="129"/>
      <c r="AD172" s="129"/>
      <c r="AE172" s="129"/>
      <c r="AF172" s="129"/>
      <c r="AG172" s="129"/>
      <c r="AH172" s="129"/>
      <c r="AI172" s="129"/>
      <c r="AJ172" s="129"/>
      <c r="AK172" s="129"/>
      <c r="AL172" s="129"/>
      <c r="AM172" s="129"/>
      <c r="AN172" s="129"/>
      <c r="AO172" s="129"/>
      <c r="AP172" s="129"/>
      <c r="AQ172" s="129"/>
      <c r="AR172" s="129"/>
      <c r="AS172" s="129"/>
      <c r="AT172" s="129"/>
      <c r="AU172" s="129"/>
      <c r="AV172" s="129"/>
      <c r="AW172" s="129"/>
      <c r="AX172" s="129"/>
      <c r="AY172" s="129"/>
      <c r="AZ172" s="129"/>
      <c r="BA172" s="129"/>
      <c r="BB172" s="129"/>
      <c r="BC172" s="129"/>
      <c r="BD172" s="129"/>
      <c r="BE172" s="129"/>
      <c r="BF172" s="129"/>
      <c r="BG172" s="129"/>
      <c r="BH172" s="129"/>
      <c r="BI172" s="129"/>
      <c r="BJ172" s="129"/>
      <c r="BK172" s="129"/>
      <c r="BL172" s="129"/>
      <c r="BM172" s="129"/>
      <c r="BN172" s="129"/>
      <c r="BO172" s="129"/>
      <c r="BP172" s="129"/>
      <c r="BQ172" s="129"/>
      <c r="BR172" s="129"/>
      <c r="BS172" s="129"/>
      <c r="BT172" s="129"/>
      <c r="BU172" s="129"/>
      <c r="BV172" s="129"/>
      <c r="BW172" s="129"/>
      <c r="BX172" s="129"/>
      <c r="BY172" s="129"/>
      <c r="BZ172" s="129"/>
      <c r="CA172" s="129"/>
      <c r="CB172" s="129"/>
      <c r="CC172" s="129"/>
      <c r="CD172" s="129"/>
      <c r="CE172" s="129"/>
      <c r="CF172" s="129"/>
      <c r="CG172" s="129"/>
      <c r="CH172" s="129"/>
      <c r="CI172" s="129"/>
      <c r="CJ172" s="129"/>
      <c r="CK172" s="129"/>
      <c r="CL172" s="129"/>
      <c r="CM172" s="129"/>
      <c r="CN172" s="129"/>
      <c r="CO172" s="129"/>
      <c r="CP172" s="129"/>
      <c r="CQ172" s="129"/>
      <c r="CR172" s="129"/>
      <c r="CS172" s="129"/>
      <c r="CT172" s="129"/>
      <c r="CU172" s="129"/>
      <c r="CV172" s="129"/>
      <c r="CW172" s="129"/>
      <c r="CX172" s="129"/>
      <c r="CY172" s="129"/>
      <c r="CZ172" s="129"/>
      <c r="DA172" s="129"/>
      <c r="DB172" s="129"/>
      <c r="DC172" s="129"/>
      <c r="DD172" s="129"/>
      <c r="DE172" s="129"/>
      <c r="DF172" s="129"/>
      <c r="DG172" s="129"/>
      <c r="DH172" s="129"/>
      <c r="DI172" s="129"/>
      <c r="DJ172" s="129"/>
      <c r="DK172" s="129"/>
      <c r="DL172" s="129"/>
      <c r="DM172" s="129"/>
      <c r="DN172" s="129"/>
      <c r="DO172" s="129"/>
      <c r="DP172" s="129"/>
      <c r="DQ172" s="129"/>
      <c r="DR172" s="129"/>
      <c r="DS172" s="129"/>
      <c r="DT172" s="129"/>
      <c r="DU172" s="129"/>
      <c r="DV172" s="129"/>
      <c r="DW172" s="129"/>
      <c r="DX172" s="129"/>
      <c r="DY172" s="129"/>
      <c r="DZ172" s="129"/>
      <c r="EA172" s="129"/>
      <c r="EB172" s="129"/>
      <c r="EC172" s="129"/>
      <c r="ED172" s="129"/>
      <c r="EE172" s="129"/>
      <c r="EF172" s="129"/>
      <c r="EG172" s="129"/>
      <c r="EH172" s="129"/>
      <c r="EI172" s="129"/>
      <c r="EJ172" s="129"/>
      <c r="EK172" s="129"/>
      <c r="EL172" s="129"/>
      <c r="EM172" s="129"/>
      <c r="EN172" s="129"/>
      <c r="EO172" s="129"/>
      <c r="EP172" s="129"/>
      <c r="EQ172" s="129"/>
      <c r="ER172" s="129"/>
      <c r="ES172" s="129"/>
      <c r="ET172" s="129"/>
      <c r="EU172" s="129"/>
      <c r="EV172" s="129"/>
      <c r="EW172" s="129"/>
      <c r="EX172" s="129"/>
      <c r="EY172" s="129"/>
      <c r="EZ172" s="129"/>
      <c r="FA172" s="129"/>
      <c r="FB172" s="129"/>
      <c r="FC172" s="129"/>
      <c r="FD172" s="129"/>
      <c r="FE172" s="129"/>
      <c r="FF172" s="129"/>
      <c r="FG172" s="129"/>
      <c r="FH172" s="129"/>
      <c r="FI172" s="129"/>
      <c r="FJ172" s="129"/>
      <c r="FK172" s="129"/>
      <c r="FL172" s="129"/>
      <c r="FM172" s="129"/>
      <c r="FN172" s="129"/>
      <c r="FO172" s="129"/>
      <c r="FP172" s="129"/>
      <c r="FQ172" s="129"/>
      <c r="FR172" s="129"/>
      <c r="FS172" s="129"/>
      <c r="FT172" s="129"/>
      <c r="FU172" s="129"/>
      <c r="FV172" s="129"/>
      <c r="FW172" s="129"/>
      <c r="FX172" s="129"/>
      <c r="FY172" s="129"/>
      <c r="FZ172" s="129"/>
      <c r="GA172" s="129"/>
      <c r="GB172" s="129"/>
      <c r="GC172" s="129"/>
      <c r="GD172" s="129"/>
      <c r="GE172" s="129"/>
      <c r="GF172" s="129"/>
      <c r="GG172" s="129"/>
    </row>
  </sheetData>
  <mergeCells count="11">
    <mergeCell ref="A100:F100"/>
    <mergeCell ref="A135:F135"/>
    <mergeCell ref="B159:F159"/>
    <mergeCell ref="A14:B14"/>
    <mergeCell ref="C14:F14"/>
    <mergeCell ref="A68:F68"/>
    <mergeCell ref="A1:F1"/>
    <mergeCell ref="A2:F2"/>
    <mergeCell ref="A16:F16"/>
    <mergeCell ref="A37:F37"/>
    <mergeCell ref="A59:F59"/>
  </mergeCells>
  <pageMargins left="0.70866141732283472" right="0.51181102362204722" top="0.74803149606299213" bottom="0.74803149606299213" header="0.31496062992125984" footer="0.31496062992125984"/>
  <pageSetup paperSize="9" scale="95" orientation="landscape" r:id="rId1"/>
  <headerFooter>
    <oddHeader>Page &amp;P de &amp;N</oddHeader>
    <oddFooter>&amp;A</oddFooter>
  </headerFooter>
  <rowBreaks count="4" manualBreakCount="4">
    <brk id="32" max="5" man="1"/>
    <brk id="61" max="5" man="1"/>
    <brk id="92" max="5" man="1"/>
    <brk id="120" max="5" man="1"/>
  </rowBreaks>
  <colBreaks count="1" manualBreakCount="1">
    <brk id="6" max="1048575" man="1"/>
  </colBreaks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theme="1" tint="4.9989318521683403E-2"/>
  </sheetPr>
  <dimension ref="A1:GG192"/>
  <sheetViews>
    <sheetView topLeftCell="A152" zoomScale="80" zoomScaleNormal="80" workbookViewId="0">
      <selection activeCell="B172" sqref="B172"/>
    </sheetView>
  </sheetViews>
  <sheetFormatPr baseColWidth="10" defaultColWidth="9.140625" defaultRowHeight="14.25"/>
  <cols>
    <col min="1" max="1" width="14" style="565" customWidth="1"/>
    <col min="2" max="2" width="94.7109375" style="1198" customWidth="1"/>
    <col min="3" max="3" width="12.28515625" style="1198" customWidth="1"/>
    <col min="4" max="4" width="16.85546875" style="1198" customWidth="1"/>
    <col min="5" max="5" width="19.7109375" style="1198" customWidth="1"/>
    <col min="6" max="6" width="23.140625" style="1198" customWidth="1"/>
    <col min="7" max="7" width="17" style="1198" customWidth="1"/>
    <col min="8" max="8" width="16" style="1201" bestFit="1" customWidth="1"/>
    <col min="9" max="9" width="15" style="1202" bestFit="1" customWidth="1"/>
    <col min="10" max="10" width="16" style="1201" bestFit="1" customWidth="1"/>
    <col min="11" max="11" width="21.42578125" style="1203" bestFit="1" customWidth="1"/>
    <col min="12" max="12" width="18.85546875" style="1203" customWidth="1"/>
    <col min="13" max="189" width="9.140625" style="1203"/>
    <col min="190" max="16384" width="9.140625" style="1198"/>
  </cols>
  <sheetData>
    <row r="1" spans="1:189" s="1209" customFormat="1" ht="20.25" thickBot="1">
      <c r="A1" s="1912" t="e">
        <f>+#REF!</f>
        <v>#REF!</v>
      </c>
      <c r="B1" s="1913"/>
      <c r="C1" s="1913"/>
      <c r="D1" s="1913"/>
      <c r="E1" s="1913"/>
      <c r="F1" s="1914"/>
      <c r="H1" s="1210"/>
      <c r="I1" s="1211"/>
      <c r="J1" s="1210"/>
      <c r="K1" s="1212"/>
      <c r="L1" s="1212"/>
      <c r="M1" s="1212"/>
      <c r="N1" s="1212"/>
      <c r="O1" s="1212"/>
      <c r="P1" s="1212"/>
      <c r="Q1" s="1212"/>
      <c r="R1" s="1212"/>
      <c r="S1" s="1212"/>
      <c r="T1" s="1212"/>
      <c r="U1" s="1212"/>
      <c r="V1" s="1212"/>
      <c r="W1" s="1212"/>
      <c r="X1" s="1212"/>
      <c r="Y1" s="1212"/>
      <c r="Z1" s="1212"/>
      <c r="AA1" s="1212"/>
      <c r="AB1" s="1212"/>
      <c r="AC1" s="1212"/>
      <c r="AD1" s="1212"/>
      <c r="AE1" s="1212"/>
      <c r="AF1" s="1212"/>
      <c r="AG1" s="1212"/>
      <c r="AH1" s="1212"/>
      <c r="AI1" s="1212"/>
      <c r="AJ1" s="1212"/>
      <c r="AK1" s="1212"/>
      <c r="AL1" s="1212"/>
      <c r="AM1" s="1212"/>
      <c r="AN1" s="1212"/>
      <c r="AO1" s="1212"/>
      <c r="AP1" s="1212"/>
      <c r="AQ1" s="1212"/>
      <c r="AR1" s="1212"/>
      <c r="AS1" s="1212"/>
      <c r="AT1" s="1212"/>
      <c r="AU1" s="1212"/>
      <c r="AV1" s="1212"/>
      <c r="AW1" s="1212"/>
      <c r="AX1" s="1212"/>
      <c r="AY1" s="1212"/>
      <c r="AZ1" s="1212"/>
      <c r="BA1" s="1212"/>
      <c r="BB1" s="1212"/>
      <c r="BC1" s="1212"/>
      <c r="BD1" s="1212"/>
      <c r="BE1" s="1212"/>
      <c r="BF1" s="1212"/>
      <c r="BG1" s="1212"/>
      <c r="BH1" s="1212"/>
      <c r="BI1" s="1212"/>
      <c r="BJ1" s="1212"/>
      <c r="BK1" s="1212"/>
      <c r="BL1" s="1212"/>
      <c r="BM1" s="1212"/>
      <c r="BN1" s="1212"/>
      <c r="BO1" s="1212"/>
      <c r="BP1" s="1212"/>
      <c r="BQ1" s="1212"/>
      <c r="BR1" s="1212"/>
      <c r="BS1" s="1212"/>
      <c r="BT1" s="1212"/>
      <c r="BU1" s="1212"/>
      <c r="BV1" s="1212"/>
      <c r="BW1" s="1212"/>
      <c r="BX1" s="1212"/>
      <c r="BY1" s="1212"/>
      <c r="BZ1" s="1212"/>
      <c r="CA1" s="1212"/>
      <c r="CB1" s="1212"/>
      <c r="CC1" s="1212"/>
      <c r="CD1" s="1212"/>
      <c r="CE1" s="1212"/>
      <c r="CF1" s="1212"/>
      <c r="CG1" s="1212"/>
      <c r="CH1" s="1212"/>
      <c r="CI1" s="1212"/>
      <c r="CJ1" s="1212"/>
      <c r="CK1" s="1212"/>
      <c r="CL1" s="1212"/>
      <c r="CM1" s="1212"/>
      <c r="CN1" s="1212"/>
      <c r="CO1" s="1212"/>
      <c r="CP1" s="1212"/>
      <c r="CQ1" s="1212"/>
      <c r="CR1" s="1212"/>
      <c r="CS1" s="1212"/>
      <c r="CT1" s="1212"/>
      <c r="CU1" s="1212"/>
      <c r="CV1" s="1212"/>
      <c r="CW1" s="1212"/>
      <c r="CX1" s="1212"/>
      <c r="CY1" s="1212"/>
      <c r="CZ1" s="1212"/>
      <c r="DA1" s="1212"/>
      <c r="DB1" s="1212"/>
      <c r="DC1" s="1212"/>
      <c r="DD1" s="1212"/>
      <c r="DE1" s="1212"/>
      <c r="DF1" s="1212"/>
      <c r="DG1" s="1212"/>
      <c r="DH1" s="1212"/>
      <c r="DI1" s="1212"/>
      <c r="DJ1" s="1212"/>
      <c r="DK1" s="1212"/>
      <c r="DL1" s="1212"/>
      <c r="DM1" s="1212"/>
      <c r="DN1" s="1212"/>
      <c r="DO1" s="1212"/>
      <c r="DP1" s="1212"/>
      <c r="DQ1" s="1212"/>
      <c r="DR1" s="1212"/>
      <c r="DS1" s="1212"/>
      <c r="DT1" s="1212"/>
      <c r="DU1" s="1212"/>
      <c r="DV1" s="1212"/>
      <c r="DW1" s="1212"/>
      <c r="DX1" s="1212"/>
      <c r="DY1" s="1212"/>
      <c r="DZ1" s="1212"/>
      <c r="EA1" s="1212"/>
      <c r="EB1" s="1212"/>
      <c r="EC1" s="1212"/>
      <c r="ED1" s="1212"/>
      <c r="EE1" s="1212"/>
      <c r="EF1" s="1212"/>
      <c r="EG1" s="1212"/>
      <c r="EH1" s="1212"/>
      <c r="EI1" s="1212"/>
      <c r="EJ1" s="1212"/>
      <c r="EK1" s="1212"/>
      <c r="EL1" s="1212"/>
      <c r="EM1" s="1212"/>
      <c r="EN1" s="1212"/>
      <c r="EO1" s="1212"/>
      <c r="EP1" s="1212"/>
      <c r="EQ1" s="1212"/>
      <c r="ER1" s="1212"/>
      <c r="ES1" s="1212"/>
      <c r="ET1" s="1212"/>
      <c r="EU1" s="1212"/>
      <c r="EV1" s="1212"/>
      <c r="EW1" s="1212"/>
      <c r="EX1" s="1212"/>
      <c r="EY1" s="1212"/>
      <c r="EZ1" s="1212"/>
      <c r="FA1" s="1212"/>
      <c r="FB1" s="1212"/>
      <c r="FC1" s="1212"/>
      <c r="FD1" s="1212"/>
      <c r="FE1" s="1212"/>
      <c r="FF1" s="1212"/>
      <c r="FG1" s="1212"/>
      <c r="FH1" s="1212"/>
      <c r="FI1" s="1212"/>
      <c r="FJ1" s="1212"/>
      <c r="FK1" s="1212"/>
      <c r="FL1" s="1212"/>
      <c r="FM1" s="1212"/>
      <c r="FN1" s="1212"/>
      <c r="FO1" s="1212"/>
      <c r="FP1" s="1212"/>
      <c r="FQ1" s="1212"/>
      <c r="FR1" s="1212"/>
      <c r="FS1" s="1212"/>
      <c r="FT1" s="1212"/>
      <c r="FU1" s="1212"/>
      <c r="FV1" s="1212"/>
      <c r="FW1" s="1212"/>
      <c r="FX1" s="1212"/>
      <c r="FY1" s="1212"/>
      <c r="FZ1" s="1212"/>
      <c r="GA1" s="1212"/>
      <c r="GB1" s="1212"/>
      <c r="GC1" s="1212"/>
      <c r="GD1" s="1212"/>
      <c r="GE1" s="1212"/>
      <c r="GF1" s="1212"/>
      <c r="GG1" s="1212"/>
    </row>
    <row r="2" spans="1:189" ht="24.75">
      <c r="A2" s="1930" t="s">
        <v>667</v>
      </c>
      <c r="B2" s="1955"/>
      <c r="C2" s="1955"/>
      <c r="D2" s="1955"/>
      <c r="E2" s="1955"/>
      <c r="F2" s="1956"/>
      <c r="G2" s="1213"/>
    </row>
    <row r="3" spans="1:189" s="1203" customFormat="1" ht="17.100000000000001" customHeight="1">
      <c r="A3" s="1634"/>
      <c r="B3" s="1635"/>
      <c r="C3" s="1635"/>
      <c r="D3" s="1636"/>
      <c r="E3" s="1637" t="s">
        <v>344</v>
      </c>
      <c r="F3" s="1638">
        <f>935-40+(1100-925)*0</f>
        <v>895</v>
      </c>
      <c r="G3" s="1198"/>
      <c r="H3" s="1201"/>
      <c r="I3" s="1202"/>
      <c r="J3" s="1201"/>
    </row>
    <row r="4" spans="1:189" s="1203" customFormat="1" ht="17.100000000000001" customHeight="1">
      <c r="A4" s="1214"/>
      <c r="B4" s="1215"/>
      <c r="C4" s="1215"/>
      <c r="D4" s="1216"/>
      <c r="E4" s="1217" t="s">
        <v>362</v>
      </c>
      <c r="F4" s="1639">
        <f>940-710</f>
        <v>230</v>
      </c>
      <c r="G4" s="1198" t="s">
        <v>736</v>
      </c>
      <c r="H4" s="1201"/>
      <c r="I4" s="1202"/>
      <c r="J4" s="1201"/>
    </row>
    <row r="5" spans="1:189" s="1203" customFormat="1" ht="17.100000000000001" customHeight="1">
      <c r="A5" s="1214"/>
      <c r="B5" s="1215"/>
      <c r="C5" s="1215"/>
      <c r="D5" s="1216"/>
      <c r="E5" s="1217" t="s">
        <v>349</v>
      </c>
      <c r="F5" s="1639">
        <f>925-700+(403)*2 +950*1.2</f>
        <v>2171</v>
      </c>
      <c r="G5" s="1198"/>
      <c r="H5" s="1201"/>
      <c r="I5" s="1202"/>
      <c r="J5" s="1201"/>
    </row>
    <row r="6" spans="1:189" s="1203" customFormat="1" ht="17.100000000000001" customHeight="1">
      <c r="A6" s="1214"/>
      <c r="B6" s="1215"/>
      <c r="C6" s="1215"/>
      <c r="D6" s="1216"/>
      <c r="E6" s="1217" t="s">
        <v>345</v>
      </c>
      <c r="F6" s="1639">
        <f>1225-925+(400-0)+(700-400)</f>
        <v>1000</v>
      </c>
      <c r="G6" s="1198"/>
      <c r="H6" s="1201"/>
      <c r="I6" s="1202"/>
      <c r="J6" s="1201"/>
    </row>
    <row r="7" spans="1:189" s="1203" customFormat="1" ht="17.100000000000001" customHeight="1">
      <c r="A7" s="1214"/>
      <c r="B7" s="1215"/>
      <c r="C7" s="1215"/>
      <c r="D7" s="1216"/>
      <c r="E7" s="1217" t="s">
        <v>347</v>
      </c>
      <c r="F7" s="1639">
        <f>940-710+(150+143+120+74+42)*2+20*2*10</f>
        <v>1688</v>
      </c>
      <c r="G7" s="1198"/>
      <c r="H7" s="1201"/>
      <c r="I7" s="1202"/>
      <c r="J7" s="1201"/>
    </row>
    <row r="8" spans="1:189" s="1203" customFormat="1" ht="17.100000000000001" customHeight="1">
      <c r="A8" s="1214"/>
      <c r="B8" s="1215"/>
      <c r="C8" s="1215"/>
      <c r="D8" s="1216"/>
      <c r="E8" s="1217" t="s">
        <v>346</v>
      </c>
      <c r="F8" s="1639">
        <f>1225-935+(1450-1225)</f>
        <v>515</v>
      </c>
      <c r="G8" s="1198"/>
      <c r="H8" s="1201"/>
      <c r="I8" s="1202"/>
      <c r="J8" s="1201"/>
      <c r="K8" s="1203">
        <f>877*25/10</f>
        <v>2192.5</v>
      </c>
    </row>
    <row r="9" spans="1:189" s="1203" customFormat="1" ht="17.100000000000001" customHeight="1">
      <c r="A9" s="1214"/>
      <c r="B9" s="1215"/>
      <c r="C9" s="1215"/>
      <c r="D9" s="1216"/>
      <c r="E9" s="1217" t="s">
        <v>592</v>
      </c>
      <c r="F9" s="1639">
        <f>325+30</f>
        <v>355</v>
      </c>
      <c r="G9" s="1198" t="s">
        <v>348</v>
      </c>
      <c r="H9" s="1201"/>
      <c r="I9" s="1202"/>
      <c r="J9" s="1201"/>
    </row>
    <row r="10" spans="1:189" s="1203" customFormat="1" ht="17.100000000000001" customHeight="1">
      <c r="A10" s="1214"/>
      <c r="B10" s="1215"/>
      <c r="C10" s="1215"/>
      <c r="D10" s="1216"/>
      <c r="E10" s="1217" t="s">
        <v>593</v>
      </c>
      <c r="F10" s="1639">
        <f>675-F9</f>
        <v>320</v>
      </c>
      <c r="G10" s="1198">
        <v>810</v>
      </c>
      <c r="H10" s="1201"/>
      <c r="I10" s="1202"/>
      <c r="J10" s="1201"/>
    </row>
    <row r="11" spans="1:189" s="1203" customFormat="1" ht="17.100000000000001" customHeight="1">
      <c r="A11" s="1214"/>
      <c r="B11" s="1215"/>
      <c r="C11" s="1215"/>
      <c r="D11" s="1216"/>
      <c r="E11" s="1217" t="s">
        <v>594</v>
      </c>
      <c r="F11" s="1639">
        <f>1135-F10-F9</f>
        <v>460</v>
      </c>
      <c r="G11" s="1198"/>
      <c r="H11" s="1201" t="s">
        <v>659</v>
      </c>
      <c r="I11" s="1202"/>
      <c r="J11" s="1201" t="s">
        <v>660</v>
      </c>
    </row>
    <row r="12" spans="1:189" s="1203" customFormat="1" ht="17.100000000000001" customHeight="1">
      <c r="A12" s="1214"/>
      <c r="B12" s="1725" t="s">
        <v>742</v>
      </c>
      <c r="C12" s="1215"/>
      <c r="D12" s="1216"/>
      <c r="E12" s="1217" t="s">
        <v>672</v>
      </c>
      <c r="F12" s="1639">
        <f>1525-1135</f>
        <v>390</v>
      </c>
      <c r="G12" s="1198"/>
      <c r="H12" s="1201"/>
      <c r="I12" s="1202">
        <f>840/30</f>
        <v>28</v>
      </c>
      <c r="J12" s="1201"/>
    </row>
    <row r="13" spans="1:189" s="1203" customFormat="1" ht="17.100000000000001" customHeight="1">
      <c r="A13" s="1214"/>
      <c r="B13" s="1725"/>
      <c r="C13" s="1215"/>
      <c r="D13" s="1216"/>
      <c r="E13" s="1217" t="s">
        <v>657</v>
      </c>
      <c r="F13" s="966">
        <v>950</v>
      </c>
      <c r="G13" s="1198">
        <v>9.84</v>
      </c>
      <c r="H13" s="1201">
        <f>+F13*G13</f>
        <v>9348</v>
      </c>
      <c r="I13" s="1202">
        <v>4</v>
      </c>
      <c r="J13" s="1201">
        <f>+F13*I13</f>
        <v>3800</v>
      </c>
    </row>
    <row r="14" spans="1:189" s="1203" customFormat="1" ht="17.100000000000001" customHeight="1">
      <c r="A14" s="1214"/>
      <c r="B14" s="1970" t="s">
        <v>767</v>
      </c>
      <c r="C14" s="1215"/>
      <c r="D14" s="1216"/>
      <c r="E14" s="1217" t="s">
        <v>658</v>
      </c>
      <c r="F14" s="1639">
        <f>381</f>
        <v>381</v>
      </c>
      <c r="G14" s="1198">
        <v>9.84</v>
      </c>
      <c r="H14" s="1201">
        <f t="shared" ref="H14:H17" si="0">+F14*G14</f>
        <v>3749.04</v>
      </c>
      <c r="I14" s="1202">
        <v>5</v>
      </c>
      <c r="J14" s="1201">
        <f t="shared" ref="J14:J20" si="1">+F14*I14</f>
        <v>1905</v>
      </c>
    </row>
    <row r="15" spans="1:189" s="1203" customFormat="1" ht="17.100000000000001" customHeight="1">
      <c r="A15" s="1214"/>
      <c r="B15" s="1970"/>
      <c r="C15" s="1215"/>
      <c r="D15" s="1216"/>
      <c r="E15" s="1217" t="s">
        <v>352</v>
      </c>
      <c r="F15" s="1639">
        <v>1270</v>
      </c>
      <c r="G15" s="1198">
        <v>9.84</v>
      </c>
      <c r="H15" s="1201">
        <f t="shared" si="0"/>
        <v>12496.8</v>
      </c>
      <c r="I15" s="1202">
        <v>3.5</v>
      </c>
      <c r="J15" s="1201">
        <f t="shared" si="1"/>
        <v>4445</v>
      </c>
    </row>
    <row r="16" spans="1:189" s="1203" customFormat="1" ht="17.100000000000001" customHeight="1">
      <c r="A16" s="1214"/>
      <c r="B16" s="1215"/>
      <c r="C16" s="1215"/>
      <c r="D16" s="1216"/>
      <c r="E16" s="1217" t="s">
        <v>350</v>
      </c>
      <c r="F16" s="1639">
        <v>982</v>
      </c>
      <c r="G16" s="1198">
        <v>11.84</v>
      </c>
      <c r="H16" s="1201">
        <f t="shared" si="0"/>
        <v>11626.88</v>
      </c>
      <c r="I16" s="1202">
        <f>20-11-2</f>
        <v>7</v>
      </c>
      <c r="J16" s="1201">
        <f t="shared" si="1"/>
        <v>6874</v>
      </c>
    </row>
    <row r="17" spans="1:189" s="1203" customFormat="1" ht="17.100000000000001" customHeight="1">
      <c r="A17" s="1214"/>
      <c r="B17" s="1215"/>
      <c r="C17" s="1640"/>
      <c r="D17" s="1641"/>
      <c r="E17" s="1642" t="s">
        <v>351</v>
      </c>
      <c r="F17" s="1643">
        <f>403+150+143+120+74+42</f>
        <v>932</v>
      </c>
      <c r="G17" s="1198">
        <v>9.84</v>
      </c>
      <c r="H17" s="1201">
        <f t="shared" si="0"/>
        <v>9170.8799999999992</v>
      </c>
      <c r="I17" s="1202">
        <f>2*2</f>
        <v>4</v>
      </c>
      <c r="J17" s="1201">
        <f t="shared" si="1"/>
        <v>3728</v>
      </c>
    </row>
    <row r="18" spans="1:189" s="1220" customFormat="1" ht="24" customHeight="1">
      <c r="A18" s="1644" t="s">
        <v>661</v>
      </c>
      <c r="B18" s="1411" t="s">
        <v>584</v>
      </c>
      <c r="C18" s="1411" t="s">
        <v>98</v>
      </c>
      <c r="D18" s="1402" t="s">
        <v>99</v>
      </c>
      <c r="E18" s="1569" t="s">
        <v>100</v>
      </c>
      <c r="F18" s="1569" t="s">
        <v>114</v>
      </c>
      <c r="G18" s="1206"/>
      <c r="H18" s="1218">
        <f>SUM(H13:H17)</f>
        <v>46391.6</v>
      </c>
      <c r="I18" s="1219"/>
      <c r="J18" s="1218">
        <f>SUM(J13:J17)</f>
        <v>20752</v>
      </c>
    </row>
    <row r="19" spans="1:189" s="1224" customFormat="1" ht="24.95" customHeight="1">
      <c r="A19" s="1905" t="e">
        <f>+#REF!</f>
        <v>#REF!</v>
      </c>
      <c r="B19" s="1906"/>
      <c r="C19" s="1906"/>
      <c r="D19" s="1906"/>
      <c r="E19" s="1906"/>
      <c r="F19" s="1907"/>
      <c r="G19" s="1221"/>
      <c r="H19" s="1222">
        <f>+H18+9.84*20*50</f>
        <v>56231.6</v>
      </c>
      <c r="I19" s="1223"/>
      <c r="J19" s="1222">
        <f>+J18+4*2*20*50</f>
        <v>28752</v>
      </c>
    </row>
    <row r="20" spans="1:189" s="1220" customFormat="1" ht="30" customHeight="1">
      <c r="A20" s="672" t="e">
        <f>+#REF!</f>
        <v>#REF!</v>
      </c>
      <c r="B20" s="787" t="e">
        <f>+#REF!</f>
        <v>#REF!</v>
      </c>
      <c r="C20" s="543"/>
      <c r="D20" s="543"/>
      <c r="E20" s="1492"/>
      <c r="F20" s="544"/>
      <c r="G20" s="1206"/>
      <c r="H20" s="1218"/>
      <c r="I20" s="1219"/>
      <c r="J20" s="1218">
        <f t="shared" si="1"/>
        <v>0</v>
      </c>
    </row>
    <row r="21" spans="1:189" s="1220" customFormat="1">
      <c r="A21" s="1535"/>
      <c r="B21" s="463"/>
      <c r="C21" s="714" t="e">
        <f>#REF!</f>
        <v>#REF!</v>
      </c>
      <c r="D21" s="714">
        <v>1</v>
      </c>
      <c r="E21" s="547" t="e">
        <f>J21</f>
        <v>#REF!</v>
      </c>
      <c r="F21" s="547" t="e">
        <f>+D21*E21</f>
        <v>#REF!</v>
      </c>
      <c r="G21" s="1206"/>
      <c r="H21" s="1225" t="e">
        <f>+F166*0.085</f>
        <v>#REF!</v>
      </c>
      <c r="I21" s="1219">
        <v>1</v>
      </c>
      <c r="J21" s="1218" t="e">
        <f>H21*I21</f>
        <v>#REF!</v>
      </c>
    </row>
    <row r="22" spans="1:189" s="1220" customFormat="1">
      <c r="A22" s="672" t="e">
        <f>+#REF!</f>
        <v>#REF!</v>
      </c>
      <c r="B22" s="710" t="e">
        <f>+#REF!</f>
        <v>#REF!</v>
      </c>
      <c r="C22" s="543"/>
      <c r="D22" s="543"/>
      <c r="E22" s="641"/>
      <c r="F22" s="641"/>
      <c r="G22" s="1206"/>
      <c r="H22" s="1218"/>
      <c r="I22" s="1219"/>
      <c r="J22" s="1218"/>
    </row>
    <row r="23" spans="1:189" s="1220" customFormat="1">
      <c r="A23" s="1535"/>
      <c r="B23" s="1274"/>
      <c r="C23" s="712" t="e">
        <f>#REF!</f>
        <v>#REF!</v>
      </c>
      <c r="D23" s="712">
        <v>1</v>
      </c>
      <c r="E23" s="527" t="e">
        <f>+H23</f>
        <v>#REF!</v>
      </c>
      <c r="F23" s="527" t="e">
        <f>+D23*E23</f>
        <v>#REF!</v>
      </c>
      <c r="G23" s="1206"/>
      <c r="H23" s="1218" t="e">
        <f>+F21*0.08</f>
        <v>#REF!</v>
      </c>
      <c r="I23" s="1219">
        <v>1.1000000000000001</v>
      </c>
      <c r="J23" s="1218" t="e">
        <f>H23*I23</f>
        <v>#REF!</v>
      </c>
    </row>
    <row r="24" spans="1:189" s="1220" customFormat="1" ht="18.75">
      <c r="A24" s="1570"/>
      <c r="B24" s="682"/>
      <c r="C24" s="1651"/>
      <c r="D24" s="1606"/>
      <c r="E24" s="1609" t="s">
        <v>108</v>
      </c>
      <c r="F24" s="1122" t="e">
        <f>SUM(F20:F23)</f>
        <v>#REF!</v>
      </c>
      <c r="G24" s="1206"/>
      <c r="H24" s="1218">
        <f>SUM(F13:F17)</f>
        <v>4515</v>
      </c>
      <c r="I24" s="1219"/>
      <c r="J24" s="1218"/>
    </row>
    <row r="25" spans="1:189" s="1203" customFormat="1" ht="15" customHeight="1">
      <c r="A25" s="1646"/>
      <c r="B25" s="1647"/>
      <c r="C25" s="1215"/>
      <c r="D25" s="551"/>
      <c r="E25" s="1216"/>
      <c r="F25" s="1216"/>
      <c r="G25" s="1198"/>
      <c r="H25" s="1201"/>
      <c r="I25" s="1202"/>
      <c r="J25" s="1201"/>
    </row>
    <row r="26" spans="1:189" s="1203" customFormat="1" ht="24.95" customHeight="1">
      <c r="A26" s="1905" t="e">
        <f>+#REF!</f>
        <v>#REF!</v>
      </c>
      <c r="B26" s="1906"/>
      <c r="C26" s="1906"/>
      <c r="D26" s="1906"/>
      <c r="E26" s="1906"/>
      <c r="F26" s="1907"/>
      <c r="G26" s="1198"/>
      <c r="H26" s="1201"/>
      <c r="I26" s="1202"/>
      <c r="J26" s="1201"/>
    </row>
    <row r="27" spans="1:189" s="1203" customFormat="1">
      <c r="A27" s="689" t="e">
        <f>+#REF!</f>
        <v>#REF!</v>
      </c>
      <c r="B27" s="787" t="e">
        <f>+#REF!</f>
        <v>#REF!</v>
      </c>
      <c r="C27" s="641"/>
      <c r="D27" s="641"/>
      <c r="E27" s="641"/>
      <c r="F27" s="641"/>
      <c r="H27" s="1201"/>
      <c r="I27" s="1202"/>
      <c r="J27" s="1201"/>
      <c r="N27" s="1203">
        <f>1.7*3</f>
        <v>5.0999999999999996</v>
      </c>
    </row>
    <row r="28" spans="1:189" s="1203" customFormat="1">
      <c r="A28" s="1535"/>
      <c r="B28" s="708"/>
      <c r="C28" s="1480" t="e">
        <f>#REF!</f>
        <v>#REF!</v>
      </c>
      <c r="D28" s="527">
        <v>1</v>
      </c>
      <c r="E28" s="527" t="e">
        <f>+G28</f>
        <v>#REF!</v>
      </c>
      <c r="F28" s="527" t="e">
        <f>+D28*E28</f>
        <v>#REF!</v>
      </c>
      <c r="G28" s="1226" t="e">
        <f>+#REF!</f>
        <v>#REF!</v>
      </c>
      <c r="H28" s="1201" t="e">
        <f>+F166</f>
        <v>#REF!</v>
      </c>
      <c r="I28" s="1198">
        <v>0.02</v>
      </c>
      <c r="J28" s="1201"/>
    </row>
    <row r="29" spans="1:189" s="1230" customFormat="1">
      <c r="A29" s="689" t="e">
        <f>+#REF!</f>
        <v>#REF!</v>
      </c>
      <c r="B29" s="787" t="e">
        <f>+#REF!</f>
        <v>#REF!</v>
      </c>
      <c r="C29" s="641"/>
      <c r="D29" s="641"/>
      <c r="E29" s="641"/>
      <c r="F29" s="641"/>
      <c r="G29" s="1226"/>
      <c r="H29" s="1227"/>
      <c r="I29" s="1228"/>
      <c r="J29" s="1227"/>
      <c r="K29" s="1229"/>
      <c r="L29" s="1229"/>
      <c r="M29" s="1229"/>
      <c r="N29" s="1229"/>
      <c r="O29" s="1229"/>
      <c r="P29" s="1229"/>
      <c r="Q29" s="1229"/>
      <c r="R29" s="1229"/>
      <c r="S29" s="1229"/>
      <c r="T29" s="1229"/>
      <c r="U29" s="1229"/>
      <c r="V29" s="1229"/>
      <c r="W29" s="1229"/>
      <c r="X29" s="1229"/>
      <c r="Y29" s="1229"/>
      <c r="Z29" s="1229"/>
      <c r="AA29" s="1229"/>
      <c r="AB29" s="1229"/>
      <c r="AC29" s="1229"/>
      <c r="AD29" s="1229"/>
      <c r="AE29" s="1229"/>
      <c r="AF29" s="1229"/>
      <c r="AG29" s="1229"/>
      <c r="AH29" s="1229"/>
      <c r="AI29" s="1229"/>
      <c r="AJ29" s="1229"/>
      <c r="AK29" s="1229"/>
      <c r="AL29" s="1229"/>
      <c r="AM29" s="1229"/>
      <c r="AN29" s="1229"/>
      <c r="AO29" s="1229"/>
      <c r="AP29" s="1229"/>
      <c r="AQ29" s="1229"/>
      <c r="AR29" s="1229"/>
      <c r="AS29" s="1229"/>
      <c r="AT29" s="1229"/>
      <c r="AU29" s="1229"/>
      <c r="AV29" s="1229"/>
      <c r="AW29" s="1229"/>
      <c r="AX29" s="1229"/>
      <c r="AY29" s="1229"/>
      <c r="AZ29" s="1229"/>
      <c r="BA29" s="1229"/>
      <c r="BB29" s="1229"/>
      <c r="BC29" s="1229"/>
      <c r="BD29" s="1229"/>
      <c r="BE29" s="1229"/>
      <c r="BF29" s="1229"/>
      <c r="BG29" s="1229"/>
      <c r="BH29" s="1229"/>
      <c r="BI29" s="1229"/>
      <c r="BJ29" s="1229"/>
      <c r="BK29" s="1229"/>
      <c r="BL29" s="1229"/>
      <c r="BM29" s="1229"/>
      <c r="BN29" s="1229"/>
      <c r="BO29" s="1229"/>
      <c r="BP29" s="1229"/>
      <c r="BQ29" s="1229"/>
      <c r="BR29" s="1229"/>
      <c r="BS29" s="1229"/>
      <c r="BT29" s="1229"/>
      <c r="BU29" s="1229"/>
      <c r="BV29" s="1229"/>
      <c r="BW29" s="1229"/>
      <c r="BX29" s="1229"/>
      <c r="BY29" s="1229"/>
      <c r="BZ29" s="1229"/>
      <c r="CA29" s="1229"/>
      <c r="CB29" s="1229"/>
      <c r="CC29" s="1229"/>
      <c r="CD29" s="1229"/>
      <c r="CE29" s="1229"/>
      <c r="CF29" s="1229"/>
      <c r="CG29" s="1229"/>
      <c r="CH29" s="1229"/>
      <c r="CI29" s="1229"/>
      <c r="CJ29" s="1229"/>
      <c r="CK29" s="1229"/>
      <c r="CL29" s="1229"/>
      <c r="CM29" s="1229"/>
      <c r="CN29" s="1229"/>
      <c r="CO29" s="1229"/>
      <c r="CP29" s="1229"/>
      <c r="CQ29" s="1229"/>
      <c r="CR29" s="1229"/>
      <c r="CS29" s="1229"/>
      <c r="CT29" s="1229"/>
      <c r="CU29" s="1229"/>
      <c r="CV29" s="1229"/>
      <c r="CW29" s="1229"/>
      <c r="CX29" s="1229"/>
      <c r="CY29" s="1229"/>
      <c r="CZ29" s="1229"/>
      <c r="DA29" s="1229"/>
      <c r="DB29" s="1229"/>
      <c r="DC29" s="1229"/>
      <c r="DD29" s="1229"/>
      <c r="DE29" s="1229"/>
      <c r="DF29" s="1229"/>
      <c r="DG29" s="1229"/>
      <c r="DH29" s="1229"/>
      <c r="DI29" s="1229"/>
      <c r="DJ29" s="1229"/>
      <c r="DK29" s="1229"/>
      <c r="DL29" s="1229"/>
      <c r="DM29" s="1229"/>
      <c r="DN29" s="1229"/>
      <c r="DO29" s="1229"/>
      <c r="DP29" s="1229"/>
      <c r="DQ29" s="1229"/>
      <c r="DR29" s="1229"/>
      <c r="DS29" s="1229"/>
      <c r="DT29" s="1229"/>
      <c r="DU29" s="1229"/>
      <c r="DV29" s="1229"/>
      <c r="DW29" s="1229"/>
      <c r="DX29" s="1229"/>
      <c r="DY29" s="1229"/>
      <c r="DZ29" s="1229"/>
      <c r="EA29" s="1229"/>
      <c r="EB29" s="1229"/>
      <c r="EC29" s="1229"/>
      <c r="ED29" s="1229"/>
      <c r="EE29" s="1229"/>
      <c r="EF29" s="1229"/>
      <c r="EG29" s="1229"/>
      <c r="EH29" s="1229"/>
      <c r="EI29" s="1229"/>
      <c r="EJ29" s="1229"/>
      <c r="EK29" s="1229"/>
      <c r="EL29" s="1229"/>
      <c r="EM29" s="1229"/>
      <c r="EN29" s="1229"/>
      <c r="EO29" s="1229"/>
      <c r="EP29" s="1229"/>
      <c r="EQ29" s="1229"/>
      <c r="ER29" s="1229"/>
      <c r="ES29" s="1229"/>
      <c r="ET29" s="1229"/>
      <c r="EU29" s="1229"/>
      <c r="EV29" s="1229"/>
      <c r="EW29" s="1229"/>
      <c r="EX29" s="1229"/>
      <c r="EY29" s="1229"/>
      <c r="EZ29" s="1229"/>
      <c r="FA29" s="1229"/>
      <c r="FB29" s="1229"/>
      <c r="FC29" s="1229"/>
      <c r="FD29" s="1229"/>
      <c r="FE29" s="1229"/>
      <c r="FF29" s="1229"/>
      <c r="FG29" s="1229"/>
      <c r="FH29" s="1229"/>
      <c r="FI29" s="1229"/>
      <c r="FJ29" s="1229"/>
      <c r="FK29" s="1229"/>
      <c r="FL29" s="1229"/>
      <c r="FM29" s="1229"/>
      <c r="FN29" s="1229"/>
      <c r="FO29" s="1229"/>
      <c r="FP29" s="1229"/>
      <c r="FQ29" s="1229"/>
      <c r="FR29" s="1229"/>
      <c r="FS29" s="1229"/>
      <c r="FT29" s="1229"/>
      <c r="FU29" s="1229"/>
      <c r="FV29" s="1229"/>
      <c r="FW29" s="1229"/>
      <c r="FX29" s="1229"/>
      <c r="FY29" s="1229"/>
      <c r="FZ29" s="1229"/>
      <c r="GA29" s="1229"/>
      <c r="GB29" s="1229"/>
      <c r="GC29" s="1229"/>
      <c r="GD29" s="1229"/>
      <c r="GE29" s="1229"/>
      <c r="GF29" s="1229"/>
      <c r="GG29" s="1229"/>
    </row>
    <row r="30" spans="1:189" s="1230" customFormat="1">
      <c r="A30" s="1535"/>
      <c r="B30" s="708"/>
      <c r="C30" s="1480" t="e">
        <f>#REF!</f>
        <v>#REF!</v>
      </c>
      <c r="D30" s="527">
        <v>1</v>
      </c>
      <c r="E30" s="527" t="e">
        <f>+G30</f>
        <v>#REF!</v>
      </c>
      <c r="F30" s="527" t="e">
        <f>+D30*E30</f>
        <v>#REF!</v>
      </c>
      <c r="G30" s="1226" t="e">
        <f t="shared" ref="G30" si="2">+H30*I30</f>
        <v>#REF!</v>
      </c>
      <c r="H30" s="1227" t="e">
        <f>+H28</f>
        <v>#REF!</v>
      </c>
      <c r="I30" s="1228">
        <v>0.02</v>
      </c>
      <c r="J30" s="1227" t="e">
        <f>H30*I30</f>
        <v>#REF!</v>
      </c>
      <c r="K30" s="1229"/>
      <c r="L30" s="1229"/>
      <c r="M30" s="1229"/>
      <c r="N30" s="1229"/>
      <c r="O30" s="1229"/>
      <c r="P30" s="1229"/>
      <c r="Q30" s="1229"/>
      <c r="R30" s="1229"/>
      <c r="S30" s="1229"/>
      <c r="T30" s="1229"/>
      <c r="U30" s="1229"/>
      <c r="V30" s="1229"/>
      <c r="W30" s="1229"/>
      <c r="X30" s="1229"/>
      <c r="Y30" s="1229"/>
      <c r="Z30" s="1229"/>
      <c r="AA30" s="1229"/>
      <c r="AB30" s="1229"/>
      <c r="AC30" s="1229"/>
      <c r="AD30" s="1229"/>
      <c r="AE30" s="1229"/>
      <c r="AF30" s="1229"/>
      <c r="AG30" s="1229"/>
      <c r="AH30" s="1229"/>
      <c r="AI30" s="1229"/>
      <c r="AJ30" s="1229"/>
      <c r="AK30" s="1229"/>
      <c r="AL30" s="1229"/>
      <c r="AM30" s="1229"/>
      <c r="AN30" s="1229"/>
      <c r="AO30" s="1229"/>
      <c r="AP30" s="1229"/>
      <c r="AQ30" s="1229"/>
      <c r="AR30" s="1229"/>
      <c r="AS30" s="1229"/>
      <c r="AT30" s="1229"/>
      <c r="AU30" s="1229"/>
      <c r="AV30" s="1229"/>
      <c r="AW30" s="1229"/>
      <c r="AX30" s="1229"/>
      <c r="AY30" s="1229"/>
      <c r="AZ30" s="1229"/>
      <c r="BA30" s="1229"/>
      <c r="BB30" s="1229"/>
      <c r="BC30" s="1229"/>
      <c r="BD30" s="1229"/>
      <c r="BE30" s="1229"/>
      <c r="BF30" s="1229"/>
      <c r="BG30" s="1229"/>
      <c r="BH30" s="1229"/>
      <c r="BI30" s="1229"/>
      <c r="BJ30" s="1229"/>
      <c r="BK30" s="1229"/>
      <c r="BL30" s="1229"/>
      <c r="BM30" s="1229"/>
      <c r="BN30" s="1229"/>
      <c r="BO30" s="1229"/>
      <c r="BP30" s="1229"/>
      <c r="BQ30" s="1229"/>
      <c r="BR30" s="1229"/>
      <c r="BS30" s="1229"/>
      <c r="BT30" s="1229"/>
      <c r="BU30" s="1229"/>
      <c r="BV30" s="1229"/>
      <c r="BW30" s="1229"/>
      <c r="BX30" s="1229"/>
      <c r="BY30" s="1229"/>
      <c r="BZ30" s="1229"/>
      <c r="CA30" s="1229"/>
      <c r="CB30" s="1229"/>
      <c r="CC30" s="1229"/>
      <c r="CD30" s="1229"/>
      <c r="CE30" s="1229"/>
      <c r="CF30" s="1229"/>
      <c r="CG30" s="1229"/>
      <c r="CH30" s="1229"/>
      <c r="CI30" s="1229"/>
      <c r="CJ30" s="1229"/>
      <c r="CK30" s="1229"/>
      <c r="CL30" s="1229"/>
      <c r="CM30" s="1229"/>
      <c r="CN30" s="1229"/>
      <c r="CO30" s="1229"/>
      <c r="CP30" s="1229"/>
      <c r="CQ30" s="1229"/>
      <c r="CR30" s="1229"/>
      <c r="CS30" s="1229"/>
      <c r="CT30" s="1229"/>
      <c r="CU30" s="1229"/>
      <c r="CV30" s="1229"/>
      <c r="CW30" s="1229"/>
      <c r="CX30" s="1229"/>
      <c r="CY30" s="1229"/>
      <c r="CZ30" s="1229"/>
      <c r="DA30" s="1229"/>
      <c r="DB30" s="1229"/>
      <c r="DC30" s="1229"/>
      <c r="DD30" s="1229"/>
      <c r="DE30" s="1229"/>
      <c r="DF30" s="1229"/>
      <c r="DG30" s="1229"/>
      <c r="DH30" s="1229"/>
      <c r="DI30" s="1229"/>
      <c r="DJ30" s="1229"/>
      <c r="DK30" s="1229"/>
      <c r="DL30" s="1229"/>
      <c r="DM30" s="1229"/>
      <c r="DN30" s="1229"/>
      <c r="DO30" s="1229"/>
      <c r="DP30" s="1229"/>
      <c r="DQ30" s="1229"/>
      <c r="DR30" s="1229"/>
      <c r="DS30" s="1229"/>
      <c r="DT30" s="1229"/>
      <c r="DU30" s="1229"/>
      <c r="DV30" s="1229"/>
      <c r="DW30" s="1229"/>
      <c r="DX30" s="1229"/>
      <c r="DY30" s="1229"/>
      <c r="DZ30" s="1229"/>
      <c r="EA30" s="1229"/>
      <c r="EB30" s="1229"/>
      <c r="EC30" s="1229"/>
      <c r="ED30" s="1229"/>
      <c r="EE30" s="1229"/>
      <c r="EF30" s="1229"/>
      <c r="EG30" s="1229"/>
      <c r="EH30" s="1229"/>
      <c r="EI30" s="1229"/>
      <c r="EJ30" s="1229"/>
      <c r="EK30" s="1229"/>
      <c r="EL30" s="1229"/>
      <c r="EM30" s="1229"/>
      <c r="EN30" s="1229"/>
      <c r="EO30" s="1229"/>
      <c r="EP30" s="1229"/>
      <c r="EQ30" s="1229"/>
      <c r="ER30" s="1229"/>
      <c r="ES30" s="1229"/>
      <c r="ET30" s="1229"/>
      <c r="EU30" s="1229"/>
      <c r="EV30" s="1229"/>
      <c r="EW30" s="1229"/>
      <c r="EX30" s="1229"/>
      <c r="EY30" s="1229"/>
      <c r="EZ30" s="1229"/>
      <c r="FA30" s="1229"/>
      <c r="FB30" s="1229"/>
      <c r="FC30" s="1229"/>
      <c r="FD30" s="1229"/>
      <c r="FE30" s="1229"/>
      <c r="FF30" s="1229"/>
      <c r="FG30" s="1229"/>
      <c r="FH30" s="1229"/>
      <c r="FI30" s="1229"/>
      <c r="FJ30" s="1229"/>
      <c r="FK30" s="1229"/>
      <c r="FL30" s="1229"/>
      <c r="FM30" s="1229"/>
      <c r="FN30" s="1229"/>
      <c r="FO30" s="1229"/>
      <c r="FP30" s="1229"/>
      <c r="FQ30" s="1229"/>
      <c r="FR30" s="1229"/>
      <c r="FS30" s="1229"/>
      <c r="FT30" s="1229"/>
      <c r="FU30" s="1229"/>
      <c r="FV30" s="1229"/>
      <c r="FW30" s="1229"/>
      <c r="FX30" s="1229"/>
      <c r="FY30" s="1229"/>
      <c r="FZ30" s="1229"/>
      <c r="GA30" s="1229"/>
      <c r="GB30" s="1229"/>
      <c r="GC30" s="1229"/>
      <c r="GD30" s="1229"/>
      <c r="GE30" s="1229"/>
      <c r="GF30" s="1229"/>
      <c r="GG30" s="1229"/>
    </row>
    <row r="31" spans="1:189">
      <c r="A31" s="689" t="e">
        <f>+#REF!</f>
        <v>#REF!</v>
      </c>
      <c r="B31" s="787" t="e">
        <f>+#REF!</f>
        <v>#REF!</v>
      </c>
      <c r="C31" s="641"/>
      <c r="D31" s="641"/>
      <c r="E31" s="641"/>
      <c r="F31" s="641"/>
      <c r="G31" s="1226"/>
    </row>
    <row r="32" spans="1:189">
      <c r="A32" s="1535"/>
      <c r="B32" s="708"/>
      <c r="C32" s="1480" t="e">
        <f>#REF!</f>
        <v>#REF!</v>
      </c>
      <c r="D32" s="761">
        <v>1</v>
      </c>
      <c r="E32" s="761" t="e">
        <f>+G32</f>
        <v>#REF!</v>
      </c>
      <c r="F32" s="761" t="e">
        <f>+D32*E32</f>
        <v>#REF!</v>
      </c>
      <c r="G32" s="1226" t="e">
        <f>+#REF!</f>
        <v>#REF!</v>
      </c>
      <c r="H32" s="1201" t="e">
        <f>+H30</f>
        <v>#REF!</v>
      </c>
      <c r="I32" s="1202">
        <v>0.01</v>
      </c>
    </row>
    <row r="33" spans="1:189">
      <c r="A33" s="689" t="e">
        <f>+#REF!</f>
        <v>#REF!</v>
      </c>
      <c r="B33" s="787" t="e">
        <f>+#REF!</f>
        <v>#REF!</v>
      </c>
      <c r="C33" s="641"/>
      <c r="D33" s="641"/>
      <c r="E33" s="641"/>
      <c r="F33" s="641"/>
      <c r="G33" s="1226"/>
    </row>
    <row r="34" spans="1:189">
      <c r="A34" s="1535"/>
      <c r="B34" s="1645"/>
      <c r="C34" s="1480" t="e">
        <f>#REF!</f>
        <v>#REF!</v>
      </c>
      <c r="D34" s="527">
        <v>1</v>
      </c>
      <c r="E34" s="527">
        <f>2*15000000</f>
        <v>30000000</v>
      </c>
      <c r="F34" s="527">
        <f>+D34*E34</f>
        <v>30000000</v>
      </c>
      <c r="H34" s="1201" t="e">
        <f>H23/50*50%</f>
        <v>#REF!</v>
      </c>
      <c r="I34" s="1228">
        <v>1.05</v>
      </c>
      <c r="J34" s="1227" t="e">
        <f>H34*I34</f>
        <v>#REF!</v>
      </c>
    </row>
    <row r="35" spans="1:189">
      <c r="A35" s="689" t="e">
        <f>+#REF!</f>
        <v>#REF!</v>
      </c>
      <c r="B35" s="787" t="e">
        <f>+#REF!</f>
        <v>#REF!</v>
      </c>
      <c r="C35" s="641"/>
      <c r="D35" s="641"/>
      <c r="E35" s="641"/>
      <c r="F35" s="641"/>
      <c r="H35" s="1201" t="e">
        <f>H23/25*50%</f>
        <v>#REF!</v>
      </c>
      <c r="I35" s="1228">
        <v>1.05</v>
      </c>
      <c r="J35" s="1227" t="e">
        <f>H35*I35</f>
        <v>#REF!</v>
      </c>
    </row>
    <row r="36" spans="1:189">
      <c r="A36" s="1535"/>
      <c r="B36" s="1645"/>
      <c r="C36" s="1652" t="e">
        <f>#REF!</f>
        <v>#REF!</v>
      </c>
      <c r="D36" s="1208">
        <v>0.2</v>
      </c>
      <c r="E36" s="761" t="e">
        <f>SUM(E28:E35)</f>
        <v>#REF!</v>
      </c>
      <c r="F36" s="761" t="e">
        <f t="shared" ref="F36:F38" si="3">+D36*E36</f>
        <v>#REF!</v>
      </c>
      <c r="G36" s="1226" t="e">
        <f>SUM(G28:G32)</f>
        <v>#REF!</v>
      </c>
      <c r="H36" s="1201">
        <v>20</v>
      </c>
      <c r="I36" s="1228">
        <v>1.05</v>
      </c>
      <c r="J36" s="1227">
        <f>H36*I36</f>
        <v>21</v>
      </c>
    </row>
    <row r="37" spans="1:189">
      <c r="A37" s="689" t="e">
        <f>+#REF!</f>
        <v>#REF!</v>
      </c>
      <c r="B37" s="787" t="e">
        <f>+#REF!</f>
        <v>#REF!</v>
      </c>
      <c r="C37" s="641"/>
      <c r="D37" s="641"/>
      <c r="E37" s="641"/>
      <c r="F37" s="641"/>
      <c r="H37" s="1201" t="e">
        <f>30%*H23</f>
        <v>#REF!</v>
      </c>
      <c r="I37" s="1228">
        <v>1.05</v>
      </c>
      <c r="J37" s="1227" t="e">
        <f>H37*I37</f>
        <v>#REF!</v>
      </c>
    </row>
    <row r="38" spans="1:189">
      <c r="A38" s="1535"/>
      <c r="B38" s="708"/>
      <c r="C38" s="1480" t="e">
        <f>#REF!</f>
        <v>#REF!</v>
      </c>
      <c r="D38" s="527">
        <v>47</v>
      </c>
      <c r="E38" s="527" t="e">
        <f>+#REF!</f>
        <v>#REF!</v>
      </c>
      <c r="F38" s="527" t="e">
        <f t="shared" si="3"/>
        <v>#REF!</v>
      </c>
    </row>
    <row r="39" spans="1:189" ht="18.75">
      <c r="A39" s="1648"/>
      <c r="B39" s="1649"/>
      <c r="C39" s="1651"/>
      <c r="D39" s="1606"/>
      <c r="E39" s="1609" t="s">
        <v>106</v>
      </c>
      <c r="F39" s="1122" t="e">
        <f>SUM(F27:F38)</f>
        <v>#REF!</v>
      </c>
    </row>
    <row r="40" spans="1:189">
      <c r="A40" s="1648"/>
      <c r="B40" s="1649"/>
      <c r="C40" s="1543"/>
      <c r="D40" s="1543"/>
      <c r="E40" s="1543"/>
      <c r="F40" s="1543"/>
    </row>
    <row r="41" spans="1:189" ht="24.95" customHeight="1">
      <c r="A41" s="1648"/>
      <c r="B41" s="1649"/>
      <c r="C41" s="1651"/>
      <c r="D41" s="1606"/>
      <c r="E41" s="1609" t="s">
        <v>107</v>
      </c>
      <c r="F41" s="1122" t="e">
        <f>+F24+F39</f>
        <v>#REF!</v>
      </c>
    </row>
    <row r="42" spans="1:189" s="926" customFormat="1">
      <c r="A42" s="925"/>
      <c r="B42" s="1590"/>
      <c r="C42" s="1069"/>
      <c r="D42" s="1114"/>
      <c r="E42" s="1071"/>
      <c r="F42" s="1632"/>
      <c r="H42" s="1204"/>
      <c r="I42" s="1205"/>
      <c r="J42" s="1204"/>
    </row>
    <row r="43" spans="1:189" s="1206" customFormat="1" ht="24.95" customHeight="1">
      <c r="A43" s="1905" t="e">
        <f>+#REF!</f>
        <v>#REF!</v>
      </c>
      <c r="B43" s="1906"/>
      <c r="C43" s="1906"/>
      <c r="D43" s="1906"/>
      <c r="E43" s="1906"/>
      <c r="F43" s="1907"/>
      <c r="H43" s="1218"/>
      <c r="I43" s="1219"/>
      <c r="J43" s="1218"/>
      <c r="K43" s="1220"/>
      <c r="L43" s="1220"/>
      <c r="M43" s="1220"/>
      <c r="N43" s="1220"/>
      <c r="O43" s="1220"/>
      <c r="P43" s="1220"/>
      <c r="Q43" s="1220"/>
      <c r="R43" s="1220"/>
      <c r="S43" s="1220"/>
      <c r="T43" s="1220"/>
      <c r="U43" s="1220"/>
      <c r="V43" s="1220"/>
      <c r="W43" s="1220"/>
      <c r="X43" s="1220"/>
      <c r="Y43" s="1220"/>
      <c r="Z43" s="1220"/>
      <c r="AA43" s="1220"/>
      <c r="AB43" s="1220"/>
      <c r="AC43" s="1220"/>
      <c r="AD43" s="1220"/>
      <c r="AE43" s="1220"/>
      <c r="AF43" s="1220"/>
      <c r="AG43" s="1220"/>
      <c r="AH43" s="1220"/>
      <c r="AI43" s="1220"/>
      <c r="AJ43" s="1220"/>
      <c r="AK43" s="1220"/>
      <c r="AL43" s="1220"/>
      <c r="AM43" s="1220"/>
      <c r="AN43" s="1220"/>
      <c r="AO43" s="1220"/>
      <c r="AP43" s="1220"/>
      <c r="AQ43" s="1220"/>
      <c r="AR43" s="1220"/>
      <c r="AS43" s="1220"/>
      <c r="AT43" s="1220"/>
      <c r="AU43" s="1220"/>
      <c r="AV43" s="1220"/>
      <c r="AW43" s="1220"/>
      <c r="AX43" s="1220"/>
      <c r="AY43" s="1220"/>
      <c r="AZ43" s="1220"/>
      <c r="BA43" s="1220"/>
      <c r="BB43" s="1220"/>
      <c r="BC43" s="1220"/>
      <c r="BD43" s="1220"/>
      <c r="BE43" s="1220"/>
      <c r="BF43" s="1220"/>
      <c r="BG43" s="1220"/>
      <c r="BH43" s="1220"/>
      <c r="BI43" s="1220"/>
      <c r="BJ43" s="1220"/>
      <c r="BK43" s="1220"/>
      <c r="BL43" s="1220"/>
      <c r="BM43" s="1220"/>
      <c r="BN43" s="1220"/>
      <c r="BO43" s="1220"/>
      <c r="BP43" s="1220"/>
      <c r="BQ43" s="1220"/>
      <c r="BR43" s="1220"/>
      <c r="BS43" s="1220"/>
      <c r="BT43" s="1220"/>
      <c r="BU43" s="1220"/>
      <c r="BV43" s="1220"/>
      <c r="BW43" s="1220"/>
      <c r="BX43" s="1220"/>
      <c r="BY43" s="1220"/>
      <c r="BZ43" s="1220"/>
      <c r="CA43" s="1220"/>
      <c r="CB43" s="1220"/>
      <c r="CC43" s="1220"/>
      <c r="CD43" s="1220"/>
      <c r="CE43" s="1220"/>
      <c r="CF43" s="1220"/>
      <c r="CG43" s="1220"/>
      <c r="CH43" s="1220"/>
      <c r="CI43" s="1220"/>
      <c r="CJ43" s="1220"/>
      <c r="CK43" s="1220"/>
      <c r="CL43" s="1220"/>
      <c r="CM43" s="1220"/>
      <c r="CN43" s="1220"/>
      <c r="CO43" s="1220"/>
      <c r="CP43" s="1220"/>
      <c r="CQ43" s="1220"/>
      <c r="CR43" s="1220"/>
      <c r="CS43" s="1220"/>
      <c r="CT43" s="1220"/>
      <c r="CU43" s="1220"/>
      <c r="CV43" s="1220"/>
      <c r="CW43" s="1220"/>
      <c r="CX43" s="1220"/>
      <c r="CY43" s="1220"/>
      <c r="CZ43" s="1220"/>
      <c r="DA43" s="1220"/>
      <c r="DB43" s="1220"/>
      <c r="DC43" s="1220"/>
      <c r="DD43" s="1220"/>
      <c r="DE43" s="1220"/>
      <c r="DF43" s="1220"/>
      <c r="DG43" s="1220"/>
      <c r="DH43" s="1220"/>
      <c r="DI43" s="1220"/>
      <c r="DJ43" s="1220"/>
      <c r="DK43" s="1220"/>
      <c r="DL43" s="1220"/>
      <c r="DM43" s="1220"/>
      <c r="DN43" s="1220"/>
      <c r="DO43" s="1220"/>
      <c r="DP43" s="1220"/>
      <c r="DQ43" s="1220"/>
      <c r="DR43" s="1220"/>
      <c r="DS43" s="1220"/>
      <c r="DT43" s="1220"/>
      <c r="DU43" s="1220"/>
      <c r="DV43" s="1220"/>
      <c r="DW43" s="1220"/>
      <c r="DX43" s="1220"/>
      <c r="DY43" s="1220"/>
      <c r="DZ43" s="1220"/>
      <c r="EA43" s="1220"/>
      <c r="EB43" s="1220"/>
      <c r="EC43" s="1220"/>
      <c r="ED43" s="1220"/>
      <c r="EE43" s="1220"/>
      <c r="EF43" s="1220"/>
      <c r="EG43" s="1220"/>
      <c r="EH43" s="1220"/>
      <c r="EI43" s="1220"/>
      <c r="EJ43" s="1220"/>
      <c r="EK43" s="1220"/>
      <c r="EL43" s="1220"/>
      <c r="EM43" s="1220"/>
      <c r="EN43" s="1220"/>
      <c r="EO43" s="1220"/>
      <c r="EP43" s="1220"/>
      <c r="EQ43" s="1220"/>
      <c r="ER43" s="1220"/>
      <c r="ES43" s="1220"/>
      <c r="ET43" s="1220"/>
      <c r="EU43" s="1220"/>
      <c r="EV43" s="1220"/>
      <c r="EW43" s="1220"/>
      <c r="EX43" s="1220"/>
      <c r="EY43" s="1220"/>
      <c r="EZ43" s="1220"/>
      <c r="FA43" s="1220"/>
      <c r="FB43" s="1220"/>
      <c r="FC43" s="1220"/>
      <c r="FD43" s="1220"/>
      <c r="FE43" s="1220"/>
      <c r="FF43" s="1220"/>
      <c r="FG43" s="1220"/>
      <c r="FH43" s="1220"/>
      <c r="FI43" s="1220"/>
      <c r="FJ43" s="1220"/>
      <c r="FK43" s="1220"/>
      <c r="FL43" s="1220"/>
      <c r="FM43" s="1220"/>
      <c r="FN43" s="1220"/>
      <c r="FO43" s="1220"/>
      <c r="FP43" s="1220"/>
      <c r="FQ43" s="1220"/>
      <c r="FR43" s="1220"/>
      <c r="FS43" s="1220"/>
      <c r="FT43" s="1220"/>
      <c r="FU43" s="1220"/>
      <c r="FV43" s="1220"/>
      <c r="FW43" s="1220"/>
      <c r="FX43" s="1220"/>
      <c r="FY43" s="1220"/>
      <c r="FZ43" s="1220"/>
      <c r="GA43" s="1220"/>
      <c r="GB43" s="1220"/>
      <c r="GC43" s="1220"/>
      <c r="GD43" s="1220"/>
      <c r="GE43" s="1220"/>
      <c r="GF43" s="1220"/>
      <c r="GG43" s="1220"/>
    </row>
    <row r="44" spans="1:189" s="1206" customFormat="1">
      <c r="A44" s="689" t="e">
        <f>+#REF!</f>
        <v>#REF!</v>
      </c>
      <c r="B44" s="752" t="e">
        <f>+#REF!</f>
        <v>#REF!</v>
      </c>
      <c r="C44" s="641"/>
      <c r="D44" s="641"/>
      <c r="E44" s="641"/>
      <c r="F44" s="641"/>
      <c r="H44" s="1218"/>
      <c r="I44" s="1219"/>
      <c r="J44" s="1218"/>
      <c r="K44" s="1220"/>
      <c r="L44" s="1220"/>
      <c r="M44" s="1220"/>
      <c r="N44" s="1220"/>
      <c r="O44" s="1220"/>
      <c r="P44" s="1220"/>
      <c r="Q44" s="1220"/>
      <c r="R44" s="1220"/>
      <c r="S44" s="1220"/>
      <c r="T44" s="1220"/>
      <c r="U44" s="1220"/>
      <c r="V44" s="1220"/>
      <c r="W44" s="1220"/>
      <c r="X44" s="1220"/>
      <c r="Y44" s="1220"/>
      <c r="Z44" s="1220"/>
      <c r="AA44" s="1220"/>
      <c r="AB44" s="1220"/>
      <c r="AC44" s="1220"/>
      <c r="AD44" s="1220"/>
      <c r="AE44" s="1220"/>
      <c r="AF44" s="1220"/>
      <c r="AG44" s="1220"/>
      <c r="AH44" s="1220"/>
      <c r="AI44" s="1220"/>
      <c r="AJ44" s="1220"/>
      <c r="AK44" s="1220"/>
      <c r="AL44" s="1220"/>
      <c r="AM44" s="1220"/>
      <c r="AN44" s="1220"/>
      <c r="AO44" s="1220"/>
      <c r="AP44" s="1220"/>
      <c r="AQ44" s="1220"/>
      <c r="AR44" s="1220"/>
      <c r="AS44" s="1220"/>
      <c r="AT44" s="1220"/>
      <c r="AU44" s="1220"/>
      <c r="AV44" s="1220"/>
      <c r="AW44" s="1220"/>
      <c r="AX44" s="1220"/>
      <c r="AY44" s="1220"/>
      <c r="AZ44" s="1220"/>
      <c r="BA44" s="1220"/>
      <c r="BB44" s="1220"/>
      <c r="BC44" s="1220"/>
      <c r="BD44" s="1220"/>
      <c r="BE44" s="1220"/>
      <c r="BF44" s="1220"/>
      <c r="BG44" s="1220"/>
      <c r="BH44" s="1220"/>
      <c r="BI44" s="1220"/>
      <c r="BJ44" s="1220"/>
      <c r="BK44" s="1220"/>
      <c r="BL44" s="1220"/>
      <c r="BM44" s="1220"/>
      <c r="BN44" s="1220"/>
      <c r="BO44" s="1220"/>
      <c r="BP44" s="1220"/>
      <c r="BQ44" s="1220"/>
      <c r="BR44" s="1220"/>
      <c r="BS44" s="1220"/>
      <c r="BT44" s="1220"/>
      <c r="BU44" s="1220"/>
      <c r="BV44" s="1220"/>
      <c r="BW44" s="1220"/>
      <c r="BX44" s="1220"/>
      <c r="BY44" s="1220"/>
      <c r="BZ44" s="1220"/>
      <c r="CA44" s="1220"/>
      <c r="CB44" s="1220"/>
      <c r="CC44" s="1220"/>
      <c r="CD44" s="1220"/>
      <c r="CE44" s="1220"/>
      <c r="CF44" s="1220"/>
      <c r="CG44" s="1220"/>
      <c r="CH44" s="1220"/>
      <c r="CI44" s="1220"/>
      <c r="CJ44" s="1220"/>
      <c r="CK44" s="1220"/>
      <c r="CL44" s="1220"/>
      <c r="CM44" s="1220"/>
      <c r="CN44" s="1220"/>
      <c r="CO44" s="1220"/>
      <c r="CP44" s="1220"/>
      <c r="CQ44" s="1220"/>
      <c r="CR44" s="1220"/>
      <c r="CS44" s="1220"/>
      <c r="CT44" s="1220"/>
      <c r="CU44" s="1220"/>
      <c r="CV44" s="1220"/>
      <c r="CW44" s="1220"/>
      <c r="CX44" s="1220"/>
      <c r="CY44" s="1220"/>
      <c r="CZ44" s="1220"/>
      <c r="DA44" s="1220"/>
      <c r="DB44" s="1220"/>
      <c r="DC44" s="1220"/>
      <c r="DD44" s="1220"/>
      <c r="DE44" s="1220"/>
      <c r="DF44" s="1220"/>
      <c r="DG44" s="1220"/>
      <c r="DH44" s="1220"/>
      <c r="DI44" s="1220"/>
      <c r="DJ44" s="1220"/>
      <c r="DK44" s="1220"/>
      <c r="DL44" s="1220"/>
      <c r="DM44" s="1220"/>
      <c r="DN44" s="1220"/>
      <c r="DO44" s="1220"/>
      <c r="DP44" s="1220"/>
      <c r="DQ44" s="1220"/>
      <c r="DR44" s="1220"/>
      <c r="DS44" s="1220"/>
      <c r="DT44" s="1220"/>
      <c r="DU44" s="1220"/>
      <c r="DV44" s="1220"/>
      <c r="DW44" s="1220"/>
      <c r="DX44" s="1220"/>
      <c r="DY44" s="1220"/>
      <c r="DZ44" s="1220"/>
      <c r="EA44" s="1220"/>
      <c r="EB44" s="1220"/>
      <c r="EC44" s="1220"/>
      <c r="ED44" s="1220"/>
      <c r="EE44" s="1220"/>
      <c r="EF44" s="1220"/>
      <c r="EG44" s="1220"/>
      <c r="EH44" s="1220"/>
      <c r="EI44" s="1220"/>
      <c r="EJ44" s="1220"/>
      <c r="EK44" s="1220"/>
      <c r="EL44" s="1220"/>
      <c r="EM44" s="1220"/>
      <c r="EN44" s="1220"/>
      <c r="EO44" s="1220"/>
      <c r="EP44" s="1220"/>
      <c r="EQ44" s="1220"/>
      <c r="ER44" s="1220"/>
      <c r="ES44" s="1220"/>
      <c r="ET44" s="1220"/>
      <c r="EU44" s="1220"/>
      <c r="EV44" s="1220"/>
      <c r="EW44" s="1220"/>
      <c r="EX44" s="1220"/>
      <c r="EY44" s="1220"/>
      <c r="EZ44" s="1220"/>
      <c r="FA44" s="1220"/>
      <c r="FB44" s="1220"/>
      <c r="FC44" s="1220"/>
      <c r="FD44" s="1220"/>
      <c r="FE44" s="1220"/>
      <c r="FF44" s="1220"/>
      <c r="FG44" s="1220"/>
      <c r="FH44" s="1220"/>
      <c r="FI44" s="1220"/>
      <c r="FJ44" s="1220"/>
      <c r="FK44" s="1220"/>
      <c r="FL44" s="1220"/>
      <c r="FM44" s="1220"/>
      <c r="FN44" s="1220"/>
      <c r="FO44" s="1220"/>
      <c r="FP44" s="1220"/>
      <c r="FQ44" s="1220"/>
      <c r="FR44" s="1220"/>
      <c r="FS44" s="1220"/>
      <c r="FT44" s="1220"/>
      <c r="FU44" s="1220"/>
      <c r="FV44" s="1220"/>
      <c r="FW44" s="1220"/>
      <c r="FX44" s="1220"/>
      <c r="FY44" s="1220"/>
      <c r="FZ44" s="1220"/>
      <c r="GA44" s="1220"/>
      <c r="GB44" s="1220"/>
      <c r="GC44" s="1220"/>
      <c r="GD44" s="1220"/>
      <c r="GE44" s="1220"/>
      <c r="GF44" s="1220"/>
      <c r="GG44" s="1220"/>
    </row>
    <row r="45" spans="1:189" s="1206" customFormat="1">
      <c r="A45" s="751"/>
      <c r="B45" s="708"/>
      <c r="C45" s="643" t="e">
        <f>#REF!</f>
        <v>#REF!</v>
      </c>
      <c r="D45" s="527">
        <v>1</v>
      </c>
      <c r="E45" s="527">
        <v>25672373</v>
      </c>
      <c r="F45" s="527">
        <f>+D45*E45</f>
        <v>25672373</v>
      </c>
      <c r="H45" s="1218"/>
      <c r="I45" s="1219"/>
      <c r="J45" s="1218"/>
      <c r="K45" s="1220"/>
      <c r="L45" s="1220"/>
      <c r="M45" s="1220"/>
      <c r="N45" s="1220"/>
      <c r="O45" s="1220"/>
      <c r="P45" s="1220"/>
      <c r="Q45" s="1220"/>
      <c r="R45" s="1220"/>
      <c r="S45" s="1220"/>
      <c r="T45" s="1220"/>
      <c r="U45" s="1220"/>
      <c r="V45" s="1220"/>
      <c r="W45" s="1220"/>
      <c r="X45" s="1220"/>
      <c r="Y45" s="1220"/>
      <c r="Z45" s="1220"/>
      <c r="AA45" s="1220"/>
      <c r="AB45" s="1220"/>
      <c r="AC45" s="1220"/>
      <c r="AD45" s="1220"/>
      <c r="AE45" s="1220"/>
      <c r="AF45" s="1220"/>
      <c r="AG45" s="1220"/>
      <c r="AH45" s="1220"/>
      <c r="AI45" s="1220"/>
      <c r="AJ45" s="1220"/>
      <c r="AK45" s="1220"/>
      <c r="AL45" s="1220"/>
      <c r="AM45" s="1220"/>
      <c r="AN45" s="1220"/>
      <c r="AO45" s="1220"/>
      <c r="AP45" s="1220"/>
      <c r="AQ45" s="1220"/>
      <c r="AR45" s="1220"/>
      <c r="AS45" s="1220"/>
      <c r="AT45" s="1220"/>
      <c r="AU45" s="1220"/>
      <c r="AV45" s="1220"/>
      <c r="AW45" s="1220"/>
      <c r="AX45" s="1220"/>
      <c r="AY45" s="1220"/>
      <c r="AZ45" s="1220"/>
      <c r="BA45" s="1220"/>
      <c r="BB45" s="1220"/>
      <c r="BC45" s="1220"/>
      <c r="BD45" s="1220"/>
      <c r="BE45" s="1220"/>
      <c r="BF45" s="1220"/>
      <c r="BG45" s="1220"/>
      <c r="BH45" s="1220"/>
      <c r="BI45" s="1220"/>
      <c r="BJ45" s="1220"/>
      <c r="BK45" s="1220"/>
      <c r="BL45" s="1220"/>
      <c r="BM45" s="1220"/>
      <c r="BN45" s="1220"/>
      <c r="BO45" s="1220"/>
      <c r="BP45" s="1220"/>
      <c r="BQ45" s="1220"/>
      <c r="BR45" s="1220"/>
      <c r="BS45" s="1220"/>
      <c r="BT45" s="1220"/>
      <c r="BU45" s="1220"/>
      <c r="BV45" s="1220"/>
      <c r="BW45" s="1220"/>
      <c r="BX45" s="1220"/>
      <c r="BY45" s="1220"/>
      <c r="BZ45" s="1220"/>
      <c r="CA45" s="1220"/>
      <c r="CB45" s="1220"/>
      <c r="CC45" s="1220"/>
      <c r="CD45" s="1220"/>
      <c r="CE45" s="1220"/>
      <c r="CF45" s="1220"/>
      <c r="CG45" s="1220"/>
      <c r="CH45" s="1220"/>
      <c r="CI45" s="1220"/>
      <c r="CJ45" s="1220"/>
      <c r="CK45" s="1220"/>
      <c r="CL45" s="1220"/>
      <c r="CM45" s="1220"/>
      <c r="CN45" s="1220"/>
      <c r="CO45" s="1220"/>
      <c r="CP45" s="1220"/>
      <c r="CQ45" s="1220"/>
      <c r="CR45" s="1220"/>
      <c r="CS45" s="1220"/>
      <c r="CT45" s="1220"/>
      <c r="CU45" s="1220"/>
      <c r="CV45" s="1220"/>
      <c r="CW45" s="1220"/>
      <c r="CX45" s="1220"/>
      <c r="CY45" s="1220"/>
      <c r="CZ45" s="1220"/>
      <c r="DA45" s="1220"/>
      <c r="DB45" s="1220"/>
      <c r="DC45" s="1220"/>
      <c r="DD45" s="1220"/>
      <c r="DE45" s="1220"/>
      <c r="DF45" s="1220"/>
      <c r="DG45" s="1220"/>
      <c r="DH45" s="1220"/>
      <c r="DI45" s="1220"/>
      <c r="DJ45" s="1220"/>
      <c r="DK45" s="1220"/>
      <c r="DL45" s="1220"/>
      <c r="DM45" s="1220"/>
      <c r="DN45" s="1220"/>
      <c r="DO45" s="1220"/>
      <c r="DP45" s="1220"/>
      <c r="DQ45" s="1220"/>
      <c r="DR45" s="1220"/>
      <c r="DS45" s="1220"/>
      <c r="DT45" s="1220"/>
      <c r="DU45" s="1220"/>
      <c r="DV45" s="1220"/>
      <c r="DW45" s="1220"/>
      <c r="DX45" s="1220"/>
      <c r="DY45" s="1220"/>
      <c r="DZ45" s="1220"/>
      <c r="EA45" s="1220"/>
      <c r="EB45" s="1220"/>
      <c r="EC45" s="1220"/>
      <c r="ED45" s="1220"/>
      <c r="EE45" s="1220"/>
      <c r="EF45" s="1220"/>
      <c r="EG45" s="1220"/>
      <c r="EH45" s="1220"/>
      <c r="EI45" s="1220"/>
      <c r="EJ45" s="1220"/>
      <c r="EK45" s="1220"/>
      <c r="EL45" s="1220"/>
      <c r="EM45" s="1220"/>
      <c r="EN45" s="1220"/>
      <c r="EO45" s="1220"/>
      <c r="EP45" s="1220"/>
      <c r="EQ45" s="1220"/>
      <c r="ER45" s="1220"/>
      <c r="ES45" s="1220"/>
      <c r="ET45" s="1220"/>
      <c r="EU45" s="1220"/>
      <c r="EV45" s="1220"/>
      <c r="EW45" s="1220"/>
      <c r="EX45" s="1220"/>
      <c r="EY45" s="1220"/>
      <c r="EZ45" s="1220"/>
      <c r="FA45" s="1220"/>
      <c r="FB45" s="1220"/>
      <c r="FC45" s="1220"/>
      <c r="FD45" s="1220"/>
      <c r="FE45" s="1220"/>
      <c r="FF45" s="1220"/>
      <c r="FG45" s="1220"/>
      <c r="FH45" s="1220"/>
      <c r="FI45" s="1220"/>
      <c r="FJ45" s="1220"/>
      <c r="FK45" s="1220"/>
      <c r="FL45" s="1220"/>
      <c r="FM45" s="1220"/>
      <c r="FN45" s="1220"/>
      <c r="FO45" s="1220"/>
      <c r="FP45" s="1220"/>
      <c r="FQ45" s="1220"/>
      <c r="FR45" s="1220"/>
      <c r="FS45" s="1220"/>
      <c r="FT45" s="1220"/>
      <c r="FU45" s="1220"/>
      <c r="FV45" s="1220"/>
      <c r="FW45" s="1220"/>
      <c r="FX45" s="1220"/>
      <c r="FY45" s="1220"/>
      <c r="FZ45" s="1220"/>
      <c r="GA45" s="1220"/>
      <c r="GB45" s="1220"/>
      <c r="GC45" s="1220"/>
      <c r="GD45" s="1220"/>
      <c r="GE45" s="1220"/>
      <c r="GF45" s="1220"/>
      <c r="GG45" s="1220"/>
    </row>
    <row r="46" spans="1:189" s="1206" customFormat="1">
      <c r="A46" s="689" t="e">
        <f>+#REF!</f>
        <v>#REF!</v>
      </c>
      <c r="B46" s="752" t="e">
        <f>+#REF!</f>
        <v>#REF!</v>
      </c>
      <c r="C46" s="640"/>
      <c r="D46" s="641"/>
      <c r="E46" s="641"/>
      <c r="F46" s="641"/>
      <c r="H46" s="1218"/>
      <c r="I46" s="1219"/>
      <c r="J46" s="1218"/>
      <c r="K46" s="1220"/>
      <c r="L46" s="1220"/>
      <c r="M46" s="1220"/>
      <c r="N46" s="1220"/>
      <c r="O46" s="1220"/>
      <c r="P46" s="1220"/>
      <c r="Q46" s="1220"/>
      <c r="R46" s="1220"/>
      <c r="S46" s="1220"/>
      <c r="T46" s="1220"/>
      <c r="U46" s="1220"/>
      <c r="V46" s="1220"/>
      <c r="W46" s="1220"/>
      <c r="X46" s="1220"/>
      <c r="Y46" s="1220"/>
      <c r="Z46" s="1220"/>
      <c r="AA46" s="1220"/>
      <c r="AB46" s="1220"/>
      <c r="AC46" s="1220"/>
      <c r="AD46" s="1220"/>
      <c r="AE46" s="1220"/>
      <c r="AF46" s="1220"/>
      <c r="AG46" s="1220"/>
      <c r="AH46" s="1220"/>
      <c r="AI46" s="1220"/>
      <c r="AJ46" s="1220"/>
      <c r="AK46" s="1220"/>
      <c r="AL46" s="1220"/>
      <c r="AM46" s="1220"/>
      <c r="AN46" s="1220"/>
      <c r="AO46" s="1220"/>
      <c r="AP46" s="1220"/>
      <c r="AQ46" s="1220"/>
      <c r="AR46" s="1220"/>
      <c r="AS46" s="1220"/>
      <c r="AT46" s="1220"/>
      <c r="AU46" s="1220"/>
      <c r="AV46" s="1220"/>
      <c r="AW46" s="1220"/>
      <c r="AX46" s="1220"/>
      <c r="AY46" s="1220"/>
      <c r="AZ46" s="1220"/>
      <c r="BA46" s="1220"/>
      <c r="BB46" s="1220"/>
      <c r="BC46" s="1220"/>
      <c r="BD46" s="1220"/>
      <c r="BE46" s="1220"/>
      <c r="BF46" s="1220"/>
      <c r="BG46" s="1220"/>
      <c r="BH46" s="1220"/>
      <c r="BI46" s="1220"/>
      <c r="BJ46" s="1220"/>
      <c r="BK46" s="1220"/>
      <c r="BL46" s="1220"/>
      <c r="BM46" s="1220"/>
      <c r="BN46" s="1220"/>
      <c r="BO46" s="1220"/>
      <c r="BP46" s="1220"/>
      <c r="BQ46" s="1220"/>
      <c r="BR46" s="1220"/>
      <c r="BS46" s="1220"/>
      <c r="BT46" s="1220"/>
      <c r="BU46" s="1220"/>
      <c r="BV46" s="1220"/>
      <c r="BW46" s="1220"/>
      <c r="BX46" s="1220"/>
      <c r="BY46" s="1220"/>
      <c r="BZ46" s="1220"/>
      <c r="CA46" s="1220"/>
      <c r="CB46" s="1220"/>
      <c r="CC46" s="1220"/>
      <c r="CD46" s="1220"/>
      <c r="CE46" s="1220"/>
      <c r="CF46" s="1220"/>
      <c r="CG46" s="1220"/>
      <c r="CH46" s="1220"/>
      <c r="CI46" s="1220"/>
      <c r="CJ46" s="1220"/>
      <c r="CK46" s="1220"/>
      <c r="CL46" s="1220"/>
      <c r="CM46" s="1220"/>
      <c r="CN46" s="1220"/>
      <c r="CO46" s="1220"/>
      <c r="CP46" s="1220"/>
      <c r="CQ46" s="1220"/>
      <c r="CR46" s="1220"/>
      <c r="CS46" s="1220"/>
      <c r="CT46" s="1220"/>
      <c r="CU46" s="1220"/>
      <c r="CV46" s="1220"/>
      <c r="CW46" s="1220"/>
      <c r="CX46" s="1220"/>
      <c r="CY46" s="1220"/>
      <c r="CZ46" s="1220"/>
      <c r="DA46" s="1220"/>
      <c r="DB46" s="1220"/>
      <c r="DC46" s="1220"/>
      <c r="DD46" s="1220"/>
      <c r="DE46" s="1220"/>
      <c r="DF46" s="1220"/>
      <c r="DG46" s="1220"/>
      <c r="DH46" s="1220"/>
      <c r="DI46" s="1220"/>
      <c r="DJ46" s="1220"/>
      <c r="DK46" s="1220"/>
      <c r="DL46" s="1220"/>
      <c r="DM46" s="1220"/>
      <c r="DN46" s="1220"/>
      <c r="DO46" s="1220"/>
      <c r="DP46" s="1220"/>
      <c r="DQ46" s="1220"/>
      <c r="DR46" s="1220"/>
      <c r="DS46" s="1220"/>
      <c r="DT46" s="1220"/>
      <c r="DU46" s="1220"/>
      <c r="DV46" s="1220"/>
      <c r="DW46" s="1220"/>
      <c r="DX46" s="1220"/>
      <c r="DY46" s="1220"/>
      <c r="DZ46" s="1220"/>
      <c r="EA46" s="1220"/>
      <c r="EB46" s="1220"/>
      <c r="EC46" s="1220"/>
      <c r="ED46" s="1220"/>
      <c r="EE46" s="1220"/>
      <c r="EF46" s="1220"/>
      <c r="EG46" s="1220"/>
      <c r="EH46" s="1220"/>
      <c r="EI46" s="1220"/>
      <c r="EJ46" s="1220"/>
      <c r="EK46" s="1220"/>
      <c r="EL46" s="1220"/>
      <c r="EM46" s="1220"/>
      <c r="EN46" s="1220"/>
      <c r="EO46" s="1220"/>
      <c r="EP46" s="1220"/>
      <c r="EQ46" s="1220"/>
      <c r="ER46" s="1220"/>
      <c r="ES46" s="1220"/>
      <c r="ET46" s="1220"/>
      <c r="EU46" s="1220"/>
      <c r="EV46" s="1220"/>
      <c r="EW46" s="1220"/>
      <c r="EX46" s="1220"/>
      <c r="EY46" s="1220"/>
      <c r="EZ46" s="1220"/>
      <c r="FA46" s="1220"/>
      <c r="FB46" s="1220"/>
      <c r="FC46" s="1220"/>
      <c r="FD46" s="1220"/>
      <c r="FE46" s="1220"/>
      <c r="FF46" s="1220"/>
      <c r="FG46" s="1220"/>
      <c r="FH46" s="1220"/>
      <c r="FI46" s="1220"/>
      <c r="FJ46" s="1220"/>
      <c r="FK46" s="1220"/>
      <c r="FL46" s="1220"/>
      <c r="FM46" s="1220"/>
      <c r="FN46" s="1220"/>
      <c r="FO46" s="1220"/>
      <c r="FP46" s="1220"/>
      <c r="FQ46" s="1220"/>
      <c r="FR46" s="1220"/>
      <c r="FS46" s="1220"/>
      <c r="FT46" s="1220"/>
      <c r="FU46" s="1220"/>
      <c r="FV46" s="1220"/>
      <c r="FW46" s="1220"/>
      <c r="FX46" s="1220"/>
      <c r="FY46" s="1220"/>
      <c r="FZ46" s="1220"/>
      <c r="GA46" s="1220"/>
      <c r="GB46" s="1220"/>
      <c r="GC46" s="1220"/>
      <c r="GD46" s="1220"/>
      <c r="GE46" s="1220"/>
      <c r="GF46" s="1220"/>
      <c r="GG46" s="1220"/>
    </row>
    <row r="47" spans="1:189" s="1206" customFormat="1">
      <c r="A47" s="751" t="e">
        <f>+#REF!</f>
        <v>#REF!</v>
      </c>
      <c r="B47" s="708" t="e">
        <f>+#REF!</f>
        <v>#REF!</v>
      </c>
      <c r="C47" s="643" t="e">
        <f>#REF!</f>
        <v>#REF!</v>
      </c>
      <c r="D47" s="527">
        <f>J47</f>
        <v>108360</v>
      </c>
      <c r="E47" s="527" t="e">
        <f>#REF!</f>
        <v>#REF!</v>
      </c>
      <c r="F47" s="527" t="e">
        <f>+D47*E47</f>
        <v>#REF!</v>
      </c>
      <c r="H47" s="1225">
        <f>+H24*20</f>
        <v>90300</v>
      </c>
      <c r="I47" s="1219">
        <v>1.2</v>
      </c>
      <c r="J47" s="1218">
        <f>H47*I47</f>
        <v>108360</v>
      </c>
      <c r="K47" s="1220"/>
      <c r="L47" s="1220"/>
      <c r="M47" s="1220"/>
      <c r="N47" s="1220"/>
      <c r="O47" s="1220"/>
      <c r="P47" s="1220"/>
      <c r="Q47" s="1220"/>
      <c r="R47" s="1220"/>
      <c r="S47" s="1220"/>
      <c r="T47" s="1220"/>
      <c r="U47" s="1220"/>
      <c r="V47" s="1220"/>
      <c r="W47" s="1220"/>
      <c r="X47" s="1220"/>
      <c r="Y47" s="1220"/>
      <c r="Z47" s="1220"/>
      <c r="AA47" s="1220"/>
      <c r="AB47" s="1220"/>
      <c r="AC47" s="1220"/>
      <c r="AD47" s="1220"/>
      <c r="AE47" s="1220"/>
      <c r="AF47" s="1220"/>
      <c r="AG47" s="1220"/>
      <c r="AH47" s="1220"/>
      <c r="AI47" s="1220"/>
      <c r="AJ47" s="1220"/>
      <c r="AK47" s="1220"/>
      <c r="AL47" s="1220"/>
      <c r="AM47" s="1220"/>
      <c r="AN47" s="1220"/>
      <c r="AO47" s="1220"/>
      <c r="AP47" s="1220"/>
      <c r="AQ47" s="1220"/>
      <c r="AR47" s="1220"/>
      <c r="AS47" s="1220"/>
      <c r="AT47" s="1220"/>
      <c r="AU47" s="1220"/>
      <c r="AV47" s="1220"/>
      <c r="AW47" s="1220"/>
      <c r="AX47" s="1220"/>
      <c r="AY47" s="1220"/>
      <c r="AZ47" s="1220"/>
      <c r="BA47" s="1220"/>
      <c r="BB47" s="1220"/>
      <c r="BC47" s="1220"/>
      <c r="BD47" s="1220"/>
      <c r="BE47" s="1220"/>
      <c r="BF47" s="1220"/>
      <c r="BG47" s="1220"/>
      <c r="BH47" s="1220"/>
      <c r="BI47" s="1220"/>
      <c r="BJ47" s="1220"/>
      <c r="BK47" s="1220"/>
      <c r="BL47" s="1220"/>
      <c r="BM47" s="1220"/>
      <c r="BN47" s="1220"/>
      <c r="BO47" s="1220"/>
      <c r="BP47" s="1220"/>
      <c r="BQ47" s="1220"/>
      <c r="BR47" s="1220"/>
      <c r="BS47" s="1220"/>
      <c r="BT47" s="1220"/>
      <c r="BU47" s="1220"/>
      <c r="BV47" s="1220"/>
      <c r="BW47" s="1220"/>
      <c r="BX47" s="1220"/>
      <c r="BY47" s="1220"/>
      <c r="BZ47" s="1220"/>
      <c r="CA47" s="1220"/>
      <c r="CB47" s="1220"/>
      <c r="CC47" s="1220"/>
      <c r="CD47" s="1220"/>
      <c r="CE47" s="1220"/>
      <c r="CF47" s="1220"/>
      <c r="CG47" s="1220"/>
      <c r="CH47" s="1220"/>
      <c r="CI47" s="1220"/>
      <c r="CJ47" s="1220"/>
      <c r="CK47" s="1220"/>
      <c r="CL47" s="1220"/>
      <c r="CM47" s="1220"/>
      <c r="CN47" s="1220"/>
      <c r="CO47" s="1220"/>
      <c r="CP47" s="1220"/>
      <c r="CQ47" s="1220"/>
      <c r="CR47" s="1220"/>
      <c r="CS47" s="1220"/>
      <c r="CT47" s="1220"/>
      <c r="CU47" s="1220"/>
      <c r="CV47" s="1220"/>
      <c r="CW47" s="1220"/>
      <c r="CX47" s="1220"/>
      <c r="CY47" s="1220"/>
      <c r="CZ47" s="1220"/>
      <c r="DA47" s="1220"/>
      <c r="DB47" s="1220"/>
      <c r="DC47" s="1220"/>
      <c r="DD47" s="1220"/>
      <c r="DE47" s="1220"/>
      <c r="DF47" s="1220"/>
      <c r="DG47" s="1220"/>
      <c r="DH47" s="1220"/>
      <c r="DI47" s="1220"/>
      <c r="DJ47" s="1220"/>
      <c r="DK47" s="1220"/>
      <c r="DL47" s="1220"/>
      <c r="DM47" s="1220"/>
      <c r="DN47" s="1220"/>
      <c r="DO47" s="1220"/>
      <c r="DP47" s="1220"/>
      <c r="DQ47" s="1220"/>
      <c r="DR47" s="1220"/>
      <c r="DS47" s="1220"/>
      <c r="DT47" s="1220"/>
      <c r="DU47" s="1220"/>
      <c r="DV47" s="1220"/>
      <c r="DW47" s="1220"/>
      <c r="DX47" s="1220"/>
      <c r="DY47" s="1220"/>
      <c r="DZ47" s="1220"/>
      <c r="EA47" s="1220"/>
      <c r="EB47" s="1220"/>
      <c r="EC47" s="1220"/>
      <c r="ED47" s="1220"/>
      <c r="EE47" s="1220"/>
      <c r="EF47" s="1220"/>
      <c r="EG47" s="1220"/>
      <c r="EH47" s="1220"/>
      <c r="EI47" s="1220"/>
      <c r="EJ47" s="1220"/>
      <c r="EK47" s="1220"/>
      <c r="EL47" s="1220"/>
      <c r="EM47" s="1220"/>
      <c r="EN47" s="1220"/>
      <c r="EO47" s="1220"/>
      <c r="EP47" s="1220"/>
      <c r="EQ47" s="1220"/>
      <c r="ER47" s="1220"/>
      <c r="ES47" s="1220"/>
      <c r="ET47" s="1220"/>
      <c r="EU47" s="1220"/>
      <c r="EV47" s="1220"/>
      <c r="EW47" s="1220"/>
      <c r="EX47" s="1220"/>
      <c r="EY47" s="1220"/>
      <c r="EZ47" s="1220"/>
      <c r="FA47" s="1220"/>
      <c r="FB47" s="1220"/>
      <c r="FC47" s="1220"/>
      <c r="FD47" s="1220"/>
      <c r="FE47" s="1220"/>
      <c r="FF47" s="1220"/>
      <c r="FG47" s="1220"/>
      <c r="FH47" s="1220"/>
      <c r="FI47" s="1220"/>
      <c r="FJ47" s="1220"/>
      <c r="FK47" s="1220"/>
      <c r="FL47" s="1220"/>
      <c r="FM47" s="1220"/>
      <c r="FN47" s="1220"/>
      <c r="FO47" s="1220"/>
      <c r="FP47" s="1220"/>
      <c r="FQ47" s="1220"/>
      <c r="FR47" s="1220"/>
      <c r="FS47" s="1220"/>
      <c r="FT47" s="1220"/>
      <c r="FU47" s="1220"/>
      <c r="FV47" s="1220"/>
      <c r="FW47" s="1220"/>
      <c r="FX47" s="1220"/>
      <c r="FY47" s="1220"/>
      <c r="FZ47" s="1220"/>
      <c r="GA47" s="1220"/>
      <c r="GB47" s="1220"/>
      <c r="GC47" s="1220"/>
      <c r="GD47" s="1220"/>
      <c r="GE47" s="1220"/>
      <c r="GF47" s="1220"/>
      <c r="GG47" s="1220"/>
    </row>
    <row r="48" spans="1:189" s="1206" customFormat="1">
      <c r="A48" s="689" t="e">
        <f>+#REF!</f>
        <v>#REF!</v>
      </c>
      <c r="B48" s="752" t="e">
        <f>+#REF!</f>
        <v>#REF!</v>
      </c>
      <c r="C48" s="640"/>
      <c r="D48" s="641"/>
      <c r="E48" s="641"/>
      <c r="F48" s="641"/>
      <c r="H48" s="1218"/>
      <c r="I48" s="1219"/>
      <c r="J48" s="1218"/>
      <c r="K48" s="1220"/>
      <c r="L48" s="1220"/>
      <c r="M48" s="1220"/>
      <c r="N48" s="1220"/>
      <c r="O48" s="1220"/>
      <c r="P48" s="1220"/>
      <c r="Q48" s="1220"/>
      <c r="R48" s="1220"/>
      <c r="S48" s="1220"/>
      <c r="T48" s="1220"/>
      <c r="U48" s="1220"/>
      <c r="V48" s="1220"/>
      <c r="W48" s="1220"/>
      <c r="X48" s="1220"/>
      <c r="Y48" s="1220"/>
      <c r="Z48" s="1220"/>
      <c r="AA48" s="1220"/>
      <c r="AB48" s="1220"/>
      <c r="AC48" s="1220"/>
      <c r="AD48" s="1220"/>
      <c r="AE48" s="1220"/>
      <c r="AF48" s="1220"/>
      <c r="AG48" s="1220"/>
      <c r="AH48" s="1220"/>
      <c r="AI48" s="1220"/>
      <c r="AJ48" s="1220"/>
      <c r="AK48" s="1220"/>
      <c r="AL48" s="1220"/>
      <c r="AM48" s="1220"/>
      <c r="AN48" s="1220"/>
      <c r="AO48" s="1220"/>
      <c r="AP48" s="1220"/>
      <c r="AQ48" s="1220"/>
      <c r="AR48" s="1220"/>
      <c r="AS48" s="1220"/>
      <c r="AT48" s="1220"/>
      <c r="AU48" s="1220"/>
      <c r="AV48" s="1220"/>
      <c r="AW48" s="1220"/>
      <c r="AX48" s="1220"/>
      <c r="AY48" s="1220"/>
      <c r="AZ48" s="1220"/>
      <c r="BA48" s="1220"/>
      <c r="BB48" s="1220"/>
      <c r="BC48" s="1220"/>
      <c r="BD48" s="1220"/>
      <c r="BE48" s="1220"/>
      <c r="BF48" s="1220"/>
      <c r="BG48" s="1220"/>
      <c r="BH48" s="1220"/>
      <c r="BI48" s="1220"/>
      <c r="BJ48" s="1220"/>
      <c r="BK48" s="1220"/>
      <c r="BL48" s="1220"/>
      <c r="BM48" s="1220"/>
      <c r="BN48" s="1220"/>
      <c r="BO48" s="1220"/>
      <c r="BP48" s="1220"/>
      <c r="BQ48" s="1220"/>
      <c r="BR48" s="1220"/>
      <c r="BS48" s="1220"/>
      <c r="BT48" s="1220"/>
      <c r="BU48" s="1220"/>
      <c r="BV48" s="1220"/>
      <c r="BW48" s="1220"/>
      <c r="BX48" s="1220"/>
      <c r="BY48" s="1220"/>
      <c r="BZ48" s="1220"/>
      <c r="CA48" s="1220"/>
      <c r="CB48" s="1220"/>
      <c r="CC48" s="1220"/>
      <c r="CD48" s="1220"/>
      <c r="CE48" s="1220"/>
      <c r="CF48" s="1220"/>
      <c r="CG48" s="1220"/>
      <c r="CH48" s="1220"/>
      <c r="CI48" s="1220"/>
      <c r="CJ48" s="1220"/>
      <c r="CK48" s="1220"/>
      <c r="CL48" s="1220"/>
      <c r="CM48" s="1220"/>
      <c r="CN48" s="1220"/>
      <c r="CO48" s="1220"/>
      <c r="CP48" s="1220"/>
      <c r="CQ48" s="1220"/>
      <c r="CR48" s="1220"/>
      <c r="CS48" s="1220"/>
      <c r="CT48" s="1220"/>
      <c r="CU48" s="1220"/>
      <c r="CV48" s="1220"/>
      <c r="CW48" s="1220"/>
      <c r="CX48" s="1220"/>
      <c r="CY48" s="1220"/>
      <c r="CZ48" s="1220"/>
      <c r="DA48" s="1220"/>
      <c r="DB48" s="1220"/>
      <c r="DC48" s="1220"/>
      <c r="DD48" s="1220"/>
      <c r="DE48" s="1220"/>
      <c r="DF48" s="1220"/>
      <c r="DG48" s="1220"/>
      <c r="DH48" s="1220"/>
      <c r="DI48" s="1220"/>
      <c r="DJ48" s="1220"/>
      <c r="DK48" s="1220"/>
      <c r="DL48" s="1220"/>
      <c r="DM48" s="1220"/>
      <c r="DN48" s="1220"/>
      <c r="DO48" s="1220"/>
      <c r="DP48" s="1220"/>
      <c r="DQ48" s="1220"/>
      <c r="DR48" s="1220"/>
      <c r="DS48" s="1220"/>
      <c r="DT48" s="1220"/>
      <c r="DU48" s="1220"/>
      <c r="DV48" s="1220"/>
      <c r="DW48" s="1220"/>
      <c r="DX48" s="1220"/>
      <c r="DY48" s="1220"/>
      <c r="DZ48" s="1220"/>
      <c r="EA48" s="1220"/>
      <c r="EB48" s="1220"/>
      <c r="EC48" s="1220"/>
      <c r="ED48" s="1220"/>
      <c r="EE48" s="1220"/>
      <c r="EF48" s="1220"/>
      <c r="EG48" s="1220"/>
      <c r="EH48" s="1220"/>
      <c r="EI48" s="1220"/>
      <c r="EJ48" s="1220"/>
      <c r="EK48" s="1220"/>
      <c r="EL48" s="1220"/>
      <c r="EM48" s="1220"/>
      <c r="EN48" s="1220"/>
      <c r="EO48" s="1220"/>
      <c r="EP48" s="1220"/>
      <c r="EQ48" s="1220"/>
      <c r="ER48" s="1220"/>
      <c r="ES48" s="1220"/>
      <c r="ET48" s="1220"/>
      <c r="EU48" s="1220"/>
      <c r="EV48" s="1220"/>
      <c r="EW48" s="1220"/>
      <c r="EX48" s="1220"/>
      <c r="EY48" s="1220"/>
      <c r="EZ48" s="1220"/>
      <c r="FA48" s="1220"/>
      <c r="FB48" s="1220"/>
      <c r="FC48" s="1220"/>
      <c r="FD48" s="1220"/>
      <c r="FE48" s="1220"/>
      <c r="FF48" s="1220"/>
      <c r="FG48" s="1220"/>
      <c r="FH48" s="1220"/>
      <c r="FI48" s="1220"/>
      <c r="FJ48" s="1220"/>
      <c r="FK48" s="1220"/>
      <c r="FL48" s="1220"/>
      <c r="FM48" s="1220"/>
      <c r="FN48" s="1220"/>
      <c r="FO48" s="1220"/>
      <c r="FP48" s="1220"/>
      <c r="FQ48" s="1220"/>
      <c r="FR48" s="1220"/>
      <c r="FS48" s="1220"/>
      <c r="FT48" s="1220"/>
      <c r="FU48" s="1220"/>
      <c r="FV48" s="1220"/>
      <c r="FW48" s="1220"/>
      <c r="FX48" s="1220"/>
      <c r="FY48" s="1220"/>
      <c r="FZ48" s="1220"/>
      <c r="GA48" s="1220"/>
      <c r="GB48" s="1220"/>
      <c r="GC48" s="1220"/>
      <c r="GD48" s="1220"/>
      <c r="GE48" s="1220"/>
      <c r="GF48" s="1220"/>
      <c r="GG48" s="1220"/>
    </row>
    <row r="49" spans="1:189" s="1206" customFormat="1">
      <c r="A49" s="751"/>
      <c r="B49" s="708"/>
      <c r="C49" s="643" t="e">
        <f>#REF!</f>
        <v>#REF!</v>
      </c>
      <c r="D49" s="527">
        <f>J49</f>
        <v>47.407499999999999</v>
      </c>
      <c r="E49" s="527" t="e">
        <f>#REF!</f>
        <v>#REF!</v>
      </c>
      <c r="F49" s="527" t="e">
        <f>+D49*E49</f>
        <v>#REF!</v>
      </c>
      <c r="H49" s="1218">
        <f>+H24/100</f>
        <v>45.15</v>
      </c>
      <c r="I49" s="1219">
        <v>1.05</v>
      </c>
      <c r="J49" s="1218">
        <f>H49*I49</f>
        <v>47.407499999999999</v>
      </c>
      <c r="K49" s="1220"/>
      <c r="L49" s="1220"/>
      <c r="M49" s="1220"/>
      <c r="N49" s="1220"/>
      <c r="O49" s="1220"/>
      <c r="P49" s="1220"/>
      <c r="Q49" s="1220"/>
      <c r="R49" s="1220"/>
      <c r="S49" s="1220"/>
      <c r="T49" s="1220"/>
      <c r="U49" s="1220"/>
      <c r="V49" s="1220"/>
      <c r="W49" s="1220"/>
      <c r="X49" s="1220"/>
      <c r="Y49" s="1220"/>
      <c r="Z49" s="1220"/>
      <c r="AA49" s="1220"/>
      <c r="AB49" s="1220"/>
      <c r="AC49" s="1220"/>
      <c r="AD49" s="1220"/>
      <c r="AE49" s="1220"/>
      <c r="AF49" s="1220"/>
      <c r="AG49" s="1220"/>
      <c r="AH49" s="1220"/>
      <c r="AI49" s="1220"/>
      <c r="AJ49" s="1220"/>
      <c r="AK49" s="1220"/>
      <c r="AL49" s="1220"/>
      <c r="AM49" s="1220"/>
      <c r="AN49" s="1220"/>
      <c r="AO49" s="1220"/>
      <c r="AP49" s="1220"/>
      <c r="AQ49" s="1220"/>
      <c r="AR49" s="1220"/>
      <c r="AS49" s="1220"/>
      <c r="AT49" s="1220"/>
      <c r="AU49" s="1220"/>
      <c r="AV49" s="1220"/>
      <c r="AW49" s="1220"/>
      <c r="AX49" s="1220"/>
      <c r="AY49" s="1220"/>
      <c r="AZ49" s="1220"/>
      <c r="BA49" s="1220"/>
      <c r="BB49" s="1220"/>
      <c r="BC49" s="1220"/>
      <c r="BD49" s="1220"/>
      <c r="BE49" s="1220"/>
      <c r="BF49" s="1220"/>
      <c r="BG49" s="1220"/>
      <c r="BH49" s="1220"/>
      <c r="BI49" s="1220"/>
      <c r="BJ49" s="1220"/>
      <c r="BK49" s="1220"/>
      <c r="BL49" s="1220"/>
      <c r="BM49" s="1220"/>
      <c r="BN49" s="1220"/>
      <c r="BO49" s="1220"/>
      <c r="BP49" s="1220"/>
      <c r="BQ49" s="1220"/>
      <c r="BR49" s="1220"/>
      <c r="BS49" s="1220"/>
      <c r="BT49" s="1220"/>
      <c r="BU49" s="1220"/>
      <c r="BV49" s="1220"/>
      <c r="BW49" s="1220"/>
      <c r="BX49" s="1220"/>
      <c r="BY49" s="1220"/>
      <c r="BZ49" s="1220"/>
      <c r="CA49" s="1220"/>
      <c r="CB49" s="1220"/>
      <c r="CC49" s="1220"/>
      <c r="CD49" s="1220"/>
      <c r="CE49" s="1220"/>
      <c r="CF49" s="1220"/>
      <c r="CG49" s="1220"/>
      <c r="CH49" s="1220"/>
      <c r="CI49" s="1220"/>
      <c r="CJ49" s="1220"/>
      <c r="CK49" s="1220"/>
      <c r="CL49" s="1220"/>
      <c r="CM49" s="1220"/>
      <c r="CN49" s="1220"/>
      <c r="CO49" s="1220"/>
      <c r="CP49" s="1220"/>
      <c r="CQ49" s="1220"/>
      <c r="CR49" s="1220"/>
      <c r="CS49" s="1220"/>
      <c r="CT49" s="1220"/>
      <c r="CU49" s="1220"/>
      <c r="CV49" s="1220"/>
      <c r="CW49" s="1220"/>
      <c r="CX49" s="1220"/>
      <c r="CY49" s="1220"/>
      <c r="CZ49" s="1220"/>
      <c r="DA49" s="1220"/>
      <c r="DB49" s="1220"/>
      <c r="DC49" s="1220"/>
      <c r="DD49" s="1220"/>
      <c r="DE49" s="1220"/>
      <c r="DF49" s="1220"/>
      <c r="DG49" s="1220"/>
      <c r="DH49" s="1220"/>
      <c r="DI49" s="1220"/>
      <c r="DJ49" s="1220"/>
      <c r="DK49" s="1220"/>
      <c r="DL49" s="1220"/>
      <c r="DM49" s="1220"/>
      <c r="DN49" s="1220"/>
      <c r="DO49" s="1220"/>
      <c r="DP49" s="1220"/>
      <c r="DQ49" s="1220"/>
      <c r="DR49" s="1220"/>
      <c r="DS49" s="1220"/>
      <c r="DT49" s="1220"/>
      <c r="DU49" s="1220"/>
      <c r="DV49" s="1220"/>
      <c r="DW49" s="1220"/>
      <c r="DX49" s="1220"/>
      <c r="DY49" s="1220"/>
      <c r="DZ49" s="1220"/>
      <c r="EA49" s="1220"/>
      <c r="EB49" s="1220"/>
      <c r="EC49" s="1220"/>
      <c r="ED49" s="1220"/>
      <c r="EE49" s="1220"/>
      <c r="EF49" s="1220"/>
      <c r="EG49" s="1220"/>
      <c r="EH49" s="1220"/>
      <c r="EI49" s="1220"/>
      <c r="EJ49" s="1220"/>
      <c r="EK49" s="1220"/>
      <c r="EL49" s="1220"/>
      <c r="EM49" s="1220"/>
      <c r="EN49" s="1220"/>
      <c r="EO49" s="1220"/>
      <c r="EP49" s="1220"/>
      <c r="EQ49" s="1220"/>
      <c r="ER49" s="1220"/>
      <c r="ES49" s="1220"/>
      <c r="ET49" s="1220"/>
      <c r="EU49" s="1220"/>
      <c r="EV49" s="1220"/>
      <c r="EW49" s="1220"/>
      <c r="EX49" s="1220"/>
      <c r="EY49" s="1220"/>
      <c r="EZ49" s="1220"/>
      <c r="FA49" s="1220"/>
      <c r="FB49" s="1220"/>
      <c r="FC49" s="1220"/>
      <c r="FD49" s="1220"/>
      <c r="FE49" s="1220"/>
      <c r="FF49" s="1220"/>
      <c r="FG49" s="1220"/>
      <c r="FH49" s="1220"/>
      <c r="FI49" s="1220"/>
      <c r="FJ49" s="1220"/>
      <c r="FK49" s="1220"/>
      <c r="FL49" s="1220"/>
      <c r="FM49" s="1220"/>
      <c r="FN49" s="1220"/>
      <c r="FO49" s="1220"/>
      <c r="FP49" s="1220"/>
      <c r="FQ49" s="1220"/>
      <c r="FR49" s="1220"/>
      <c r="FS49" s="1220"/>
      <c r="FT49" s="1220"/>
      <c r="FU49" s="1220"/>
      <c r="FV49" s="1220"/>
      <c r="FW49" s="1220"/>
      <c r="FX49" s="1220"/>
      <c r="FY49" s="1220"/>
      <c r="FZ49" s="1220"/>
      <c r="GA49" s="1220"/>
      <c r="GB49" s="1220"/>
      <c r="GC49" s="1220"/>
      <c r="GD49" s="1220"/>
      <c r="GE49" s="1220"/>
      <c r="GF49" s="1220"/>
      <c r="GG49" s="1220"/>
    </row>
    <row r="50" spans="1:189" s="1206" customFormat="1">
      <c r="A50" s="689" t="e">
        <f>+#REF!</f>
        <v>#REF!</v>
      </c>
      <c r="B50" s="752" t="e">
        <f>+#REF!</f>
        <v>#REF!</v>
      </c>
      <c r="C50" s="1487"/>
      <c r="D50" s="784"/>
      <c r="E50" s="641"/>
      <c r="F50" s="641"/>
      <c r="H50" s="1218"/>
      <c r="I50" s="1219"/>
      <c r="J50" s="1218"/>
      <c r="K50" s="1220"/>
      <c r="L50" s="1220"/>
      <c r="M50" s="1220"/>
      <c r="N50" s="1220"/>
      <c r="O50" s="1220"/>
      <c r="P50" s="1220"/>
      <c r="Q50" s="1220"/>
      <c r="R50" s="1220"/>
      <c r="S50" s="1220"/>
      <c r="T50" s="1220"/>
      <c r="U50" s="1220"/>
      <c r="V50" s="1220"/>
      <c r="W50" s="1220"/>
      <c r="X50" s="1220"/>
      <c r="Y50" s="1220"/>
      <c r="Z50" s="1220"/>
      <c r="AA50" s="1220"/>
      <c r="AB50" s="1220"/>
      <c r="AC50" s="1220"/>
      <c r="AD50" s="1220"/>
      <c r="AE50" s="1220"/>
      <c r="AF50" s="1220"/>
      <c r="AG50" s="1220"/>
      <c r="AH50" s="1220"/>
      <c r="AI50" s="1220"/>
      <c r="AJ50" s="1220"/>
      <c r="AK50" s="1220"/>
      <c r="AL50" s="1220"/>
      <c r="AM50" s="1220"/>
      <c r="AN50" s="1220"/>
      <c r="AO50" s="1220"/>
      <c r="AP50" s="1220"/>
      <c r="AQ50" s="1220"/>
      <c r="AR50" s="1220"/>
      <c r="AS50" s="1220"/>
      <c r="AT50" s="1220"/>
      <c r="AU50" s="1220"/>
      <c r="AV50" s="1220"/>
      <c r="AW50" s="1220"/>
      <c r="AX50" s="1220"/>
      <c r="AY50" s="1220"/>
      <c r="AZ50" s="1220"/>
      <c r="BA50" s="1220"/>
      <c r="BB50" s="1220"/>
      <c r="BC50" s="1220"/>
      <c r="BD50" s="1220"/>
      <c r="BE50" s="1220"/>
      <c r="BF50" s="1220"/>
      <c r="BG50" s="1220"/>
      <c r="BH50" s="1220"/>
      <c r="BI50" s="1220"/>
      <c r="BJ50" s="1220"/>
      <c r="BK50" s="1220"/>
      <c r="BL50" s="1220"/>
      <c r="BM50" s="1220"/>
      <c r="BN50" s="1220"/>
      <c r="BO50" s="1220"/>
      <c r="BP50" s="1220"/>
      <c r="BQ50" s="1220"/>
      <c r="BR50" s="1220"/>
      <c r="BS50" s="1220"/>
      <c r="BT50" s="1220"/>
      <c r="BU50" s="1220"/>
      <c r="BV50" s="1220"/>
      <c r="BW50" s="1220"/>
      <c r="BX50" s="1220"/>
      <c r="BY50" s="1220"/>
      <c r="BZ50" s="1220"/>
      <c r="CA50" s="1220"/>
      <c r="CB50" s="1220"/>
      <c r="CC50" s="1220"/>
      <c r="CD50" s="1220"/>
      <c r="CE50" s="1220"/>
      <c r="CF50" s="1220"/>
      <c r="CG50" s="1220"/>
      <c r="CH50" s="1220"/>
      <c r="CI50" s="1220"/>
      <c r="CJ50" s="1220"/>
      <c r="CK50" s="1220"/>
      <c r="CL50" s="1220"/>
      <c r="CM50" s="1220"/>
      <c r="CN50" s="1220"/>
      <c r="CO50" s="1220"/>
      <c r="CP50" s="1220"/>
      <c r="CQ50" s="1220"/>
      <c r="CR50" s="1220"/>
      <c r="CS50" s="1220"/>
      <c r="CT50" s="1220"/>
      <c r="CU50" s="1220"/>
      <c r="CV50" s="1220"/>
      <c r="CW50" s="1220"/>
      <c r="CX50" s="1220"/>
      <c r="CY50" s="1220"/>
      <c r="CZ50" s="1220"/>
      <c r="DA50" s="1220"/>
      <c r="DB50" s="1220"/>
      <c r="DC50" s="1220"/>
      <c r="DD50" s="1220"/>
      <c r="DE50" s="1220"/>
      <c r="DF50" s="1220"/>
      <c r="DG50" s="1220"/>
      <c r="DH50" s="1220"/>
      <c r="DI50" s="1220"/>
      <c r="DJ50" s="1220"/>
      <c r="DK50" s="1220"/>
      <c r="DL50" s="1220"/>
      <c r="DM50" s="1220"/>
      <c r="DN50" s="1220"/>
      <c r="DO50" s="1220"/>
      <c r="DP50" s="1220"/>
      <c r="DQ50" s="1220"/>
      <c r="DR50" s="1220"/>
      <c r="DS50" s="1220"/>
      <c r="DT50" s="1220"/>
      <c r="DU50" s="1220"/>
      <c r="DV50" s="1220"/>
      <c r="DW50" s="1220"/>
      <c r="DX50" s="1220"/>
      <c r="DY50" s="1220"/>
      <c r="DZ50" s="1220"/>
      <c r="EA50" s="1220"/>
      <c r="EB50" s="1220"/>
      <c r="EC50" s="1220"/>
      <c r="ED50" s="1220"/>
      <c r="EE50" s="1220"/>
      <c r="EF50" s="1220"/>
      <c r="EG50" s="1220"/>
      <c r="EH50" s="1220"/>
      <c r="EI50" s="1220"/>
      <c r="EJ50" s="1220"/>
      <c r="EK50" s="1220"/>
      <c r="EL50" s="1220"/>
      <c r="EM50" s="1220"/>
      <c r="EN50" s="1220"/>
      <c r="EO50" s="1220"/>
      <c r="EP50" s="1220"/>
      <c r="EQ50" s="1220"/>
      <c r="ER50" s="1220"/>
      <c r="ES50" s="1220"/>
      <c r="ET50" s="1220"/>
      <c r="EU50" s="1220"/>
      <c r="EV50" s="1220"/>
      <c r="EW50" s="1220"/>
      <c r="EX50" s="1220"/>
      <c r="EY50" s="1220"/>
      <c r="EZ50" s="1220"/>
      <c r="FA50" s="1220"/>
      <c r="FB50" s="1220"/>
      <c r="FC50" s="1220"/>
      <c r="FD50" s="1220"/>
      <c r="FE50" s="1220"/>
      <c r="FF50" s="1220"/>
      <c r="FG50" s="1220"/>
      <c r="FH50" s="1220"/>
      <c r="FI50" s="1220"/>
      <c r="FJ50" s="1220"/>
      <c r="FK50" s="1220"/>
      <c r="FL50" s="1220"/>
      <c r="FM50" s="1220"/>
      <c r="FN50" s="1220"/>
      <c r="FO50" s="1220"/>
      <c r="FP50" s="1220"/>
      <c r="FQ50" s="1220"/>
      <c r="FR50" s="1220"/>
      <c r="FS50" s="1220"/>
      <c r="FT50" s="1220"/>
      <c r="FU50" s="1220"/>
      <c r="FV50" s="1220"/>
      <c r="FW50" s="1220"/>
      <c r="FX50" s="1220"/>
      <c r="FY50" s="1220"/>
      <c r="FZ50" s="1220"/>
      <c r="GA50" s="1220"/>
      <c r="GB50" s="1220"/>
      <c r="GC50" s="1220"/>
      <c r="GD50" s="1220"/>
      <c r="GE50" s="1220"/>
      <c r="GF50" s="1220"/>
      <c r="GG50" s="1220"/>
    </row>
    <row r="51" spans="1:189" s="1206" customFormat="1">
      <c r="A51" s="750" t="e">
        <f>+#REF!</f>
        <v>#REF!</v>
      </c>
      <c r="B51" s="729" t="e">
        <f>+#REF!</f>
        <v>#REF!</v>
      </c>
      <c r="C51" s="1522" t="e">
        <f>#REF!</f>
        <v>#REF!</v>
      </c>
      <c r="D51" s="704">
        <v>1</v>
      </c>
      <c r="E51" s="633">
        <v>35555625</v>
      </c>
      <c r="F51" s="633">
        <f>+D51*E51</f>
        <v>35555625</v>
      </c>
      <c r="H51" s="1219">
        <f>H24/1000</f>
        <v>4.5149999999999997</v>
      </c>
      <c r="I51" s="1219">
        <f>1.05</f>
        <v>1.05</v>
      </c>
      <c r="J51" s="1219">
        <f>H51*I51</f>
        <v>4.7407500000000002</v>
      </c>
      <c r="K51" s="1220"/>
      <c r="L51" s="1220"/>
      <c r="M51" s="1220"/>
      <c r="N51" s="1220"/>
      <c r="O51" s="1220"/>
      <c r="P51" s="1220"/>
      <c r="Q51" s="1220"/>
      <c r="R51" s="1220"/>
      <c r="S51" s="1220"/>
      <c r="T51" s="1220"/>
      <c r="U51" s="1220"/>
      <c r="V51" s="1220"/>
      <c r="W51" s="1220"/>
      <c r="X51" s="1220"/>
      <c r="Y51" s="1220"/>
      <c r="Z51" s="1220"/>
      <c r="AA51" s="1220"/>
      <c r="AB51" s="1220"/>
      <c r="AC51" s="1220"/>
      <c r="AD51" s="1220"/>
      <c r="AE51" s="1220"/>
      <c r="AF51" s="1220"/>
      <c r="AG51" s="1220"/>
      <c r="AH51" s="1220"/>
      <c r="AI51" s="1220"/>
      <c r="AJ51" s="1220"/>
      <c r="AK51" s="1220"/>
      <c r="AL51" s="1220"/>
      <c r="AM51" s="1220"/>
      <c r="AN51" s="1220"/>
      <c r="AO51" s="1220"/>
      <c r="AP51" s="1220"/>
      <c r="AQ51" s="1220"/>
      <c r="AR51" s="1220"/>
      <c r="AS51" s="1220"/>
      <c r="AT51" s="1220"/>
      <c r="AU51" s="1220"/>
      <c r="AV51" s="1220"/>
      <c r="AW51" s="1220"/>
      <c r="AX51" s="1220"/>
      <c r="AY51" s="1220"/>
      <c r="AZ51" s="1220"/>
      <c r="BA51" s="1220"/>
      <c r="BB51" s="1220"/>
      <c r="BC51" s="1220"/>
      <c r="BD51" s="1220"/>
      <c r="BE51" s="1220"/>
      <c r="BF51" s="1220"/>
      <c r="BG51" s="1220"/>
      <c r="BH51" s="1220"/>
      <c r="BI51" s="1220"/>
      <c r="BJ51" s="1220"/>
      <c r="BK51" s="1220"/>
      <c r="BL51" s="1220"/>
      <c r="BM51" s="1220"/>
      <c r="BN51" s="1220"/>
      <c r="BO51" s="1220"/>
      <c r="BP51" s="1220"/>
      <c r="BQ51" s="1220"/>
      <c r="BR51" s="1220"/>
      <c r="BS51" s="1220"/>
      <c r="BT51" s="1220"/>
      <c r="BU51" s="1220"/>
      <c r="BV51" s="1220"/>
      <c r="BW51" s="1220"/>
      <c r="BX51" s="1220"/>
      <c r="BY51" s="1220"/>
      <c r="BZ51" s="1220"/>
      <c r="CA51" s="1220"/>
      <c r="CB51" s="1220"/>
      <c r="CC51" s="1220"/>
      <c r="CD51" s="1220"/>
      <c r="CE51" s="1220"/>
      <c r="CF51" s="1220"/>
      <c r="CG51" s="1220"/>
      <c r="CH51" s="1220"/>
      <c r="CI51" s="1220"/>
      <c r="CJ51" s="1220"/>
      <c r="CK51" s="1220"/>
      <c r="CL51" s="1220"/>
      <c r="CM51" s="1220"/>
      <c r="CN51" s="1220"/>
      <c r="CO51" s="1220"/>
      <c r="CP51" s="1220"/>
      <c r="CQ51" s="1220"/>
      <c r="CR51" s="1220"/>
      <c r="CS51" s="1220"/>
      <c r="CT51" s="1220"/>
      <c r="CU51" s="1220"/>
      <c r="CV51" s="1220"/>
      <c r="CW51" s="1220"/>
      <c r="CX51" s="1220"/>
      <c r="CY51" s="1220"/>
      <c r="CZ51" s="1220"/>
      <c r="DA51" s="1220"/>
      <c r="DB51" s="1220"/>
      <c r="DC51" s="1220"/>
      <c r="DD51" s="1220"/>
      <c r="DE51" s="1220"/>
      <c r="DF51" s="1220"/>
      <c r="DG51" s="1220"/>
      <c r="DH51" s="1220"/>
      <c r="DI51" s="1220"/>
      <c r="DJ51" s="1220"/>
      <c r="DK51" s="1220"/>
      <c r="DL51" s="1220"/>
      <c r="DM51" s="1220"/>
      <c r="DN51" s="1220"/>
      <c r="DO51" s="1220"/>
      <c r="DP51" s="1220"/>
      <c r="DQ51" s="1220"/>
      <c r="DR51" s="1220"/>
      <c r="DS51" s="1220"/>
      <c r="DT51" s="1220"/>
      <c r="DU51" s="1220"/>
      <c r="DV51" s="1220"/>
      <c r="DW51" s="1220"/>
      <c r="DX51" s="1220"/>
      <c r="DY51" s="1220"/>
      <c r="DZ51" s="1220"/>
      <c r="EA51" s="1220"/>
      <c r="EB51" s="1220"/>
      <c r="EC51" s="1220"/>
      <c r="ED51" s="1220"/>
      <c r="EE51" s="1220"/>
      <c r="EF51" s="1220"/>
      <c r="EG51" s="1220"/>
      <c r="EH51" s="1220"/>
      <c r="EI51" s="1220"/>
      <c r="EJ51" s="1220"/>
      <c r="EK51" s="1220"/>
      <c r="EL51" s="1220"/>
      <c r="EM51" s="1220"/>
      <c r="EN51" s="1220"/>
      <c r="EO51" s="1220"/>
      <c r="EP51" s="1220"/>
      <c r="EQ51" s="1220"/>
      <c r="ER51" s="1220"/>
      <c r="ES51" s="1220"/>
      <c r="ET51" s="1220"/>
      <c r="EU51" s="1220"/>
      <c r="EV51" s="1220"/>
      <c r="EW51" s="1220"/>
      <c r="EX51" s="1220"/>
      <c r="EY51" s="1220"/>
      <c r="EZ51" s="1220"/>
      <c r="FA51" s="1220"/>
      <c r="FB51" s="1220"/>
      <c r="FC51" s="1220"/>
      <c r="FD51" s="1220"/>
      <c r="FE51" s="1220"/>
      <c r="FF51" s="1220"/>
      <c r="FG51" s="1220"/>
      <c r="FH51" s="1220"/>
      <c r="FI51" s="1220"/>
      <c r="FJ51" s="1220"/>
      <c r="FK51" s="1220"/>
      <c r="FL51" s="1220"/>
      <c r="FM51" s="1220"/>
      <c r="FN51" s="1220"/>
      <c r="FO51" s="1220"/>
      <c r="FP51" s="1220"/>
      <c r="FQ51" s="1220"/>
      <c r="FR51" s="1220"/>
      <c r="FS51" s="1220"/>
      <c r="FT51" s="1220"/>
      <c r="FU51" s="1220"/>
      <c r="FV51" s="1220"/>
      <c r="FW51" s="1220"/>
      <c r="FX51" s="1220"/>
      <c r="FY51" s="1220"/>
      <c r="FZ51" s="1220"/>
      <c r="GA51" s="1220"/>
      <c r="GB51" s="1220"/>
      <c r="GC51" s="1220"/>
      <c r="GD51" s="1220"/>
      <c r="GE51" s="1220"/>
      <c r="GF51" s="1220"/>
      <c r="GG51" s="1220"/>
    </row>
    <row r="52" spans="1:189" s="1206" customFormat="1">
      <c r="A52" s="750" t="e">
        <f>+#REF!</f>
        <v>#REF!</v>
      </c>
      <c r="B52" s="729" t="e">
        <f>+#REF!</f>
        <v>#REF!</v>
      </c>
      <c r="C52" s="1522" t="e">
        <f>#REF!</f>
        <v>#REF!</v>
      </c>
      <c r="D52" s="704">
        <v>1</v>
      </c>
      <c r="E52" s="633">
        <v>28444500</v>
      </c>
      <c r="F52" s="633">
        <f>+D52*E52</f>
        <v>28444500</v>
      </c>
      <c r="H52" s="1219">
        <f>H51</f>
        <v>4.5149999999999997</v>
      </c>
      <c r="I52" s="1219">
        <f>1.05</f>
        <v>1.05</v>
      </c>
      <c r="J52" s="1219">
        <f>H52*I52</f>
        <v>4.7407500000000002</v>
      </c>
      <c r="K52" s="1220"/>
      <c r="L52" s="1220"/>
      <c r="M52" s="1220"/>
      <c r="N52" s="1220"/>
      <c r="O52" s="1220"/>
      <c r="P52" s="1220"/>
      <c r="Q52" s="1220"/>
      <c r="R52" s="1220"/>
      <c r="S52" s="1220"/>
      <c r="T52" s="1220"/>
      <c r="U52" s="1220"/>
      <c r="V52" s="1220"/>
      <c r="W52" s="1220"/>
      <c r="X52" s="1220"/>
      <c r="Y52" s="1220"/>
      <c r="Z52" s="1220"/>
      <c r="AA52" s="1220"/>
      <c r="AB52" s="1220"/>
      <c r="AC52" s="1220"/>
      <c r="AD52" s="1220"/>
      <c r="AE52" s="1220"/>
      <c r="AF52" s="1220"/>
      <c r="AG52" s="1220"/>
      <c r="AH52" s="1220"/>
      <c r="AI52" s="1220"/>
      <c r="AJ52" s="1220"/>
      <c r="AK52" s="1220"/>
      <c r="AL52" s="1220"/>
      <c r="AM52" s="1220"/>
      <c r="AN52" s="1220"/>
      <c r="AO52" s="1220"/>
      <c r="AP52" s="1220"/>
      <c r="AQ52" s="1220"/>
      <c r="AR52" s="1220"/>
      <c r="AS52" s="1220"/>
      <c r="AT52" s="1220"/>
      <c r="AU52" s="1220"/>
      <c r="AV52" s="1220"/>
      <c r="AW52" s="1220"/>
      <c r="AX52" s="1220"/>
      <c r="AY52" s="1220"/>
      <c r="AZ52" s="1220"/>
      <c r="BA52" s="1220"/>
      <c r="BB52" s="1220"/>
      <c r="BC52" s="1220"/>
      <c r="BD52" s="1220"/>
      <c r="BE52" s="1220"/>
      <c r="BF52" s="1220"/>
      <c r="BG52" s="1220"/>
      <c r="BH52" s="1220"/>
      <c r="BI52" s="1220"/>
      <c r="BJ52" s="1220"/>
      <c r="BK52" s="1220"/>
      <c r="BL52" s="1220"/>
      <c r="BM52" s="1220"/>
      <c r="BN52" s="1220"/>
      <c r="BO52" s="1220"/>
      <c r="BP52" s="1220"/>
      <c r="BQ52" s="1220"/>
      <c r="BR52" s="1220"/>
      <c r="BS52" s="1220"/>
      <c r="BT52" s="1220"/>
      <c r="BU52" s="1220"/>
      <c r="BV52" s="1220"/>
      <c r="BW52" s="1220"/>
      <c r="BX52" s="1220"/>
      <c r="BY52" s="1220"/>
      <c r="BZ52" s="1220"/>
      <c r="CA52" s="1220"/>
      <c r="CB52" s="1220"/>
      <c r="CC52" s="1220"/>
      <c r="CD52" s="1220"/>
      <c r="CE52" s="1220"/>
      <c r="CF52" s="1220"/>
      <c r="CG52" s="1220"/>
      <c r="CH52" s="1220"/>
      <c r="CI52" s="1220"/>
      <c r="CJ52" s="1220"/>
      <c r="CK52" s="1220"/>
      <c r="CL52" s="1220"/>
      <c r="CM52" s="1220"/>
      <c r="CN52" s="1220"/>
      <c r="CO52" s="1220"/>
      <c r="CP52" s="1220"/>
      <c r="CQ52" s="1220"/>
      <c r="CR52" s="1220"/>
      <c r="CS52" s="1220"/>
      <c r="CT52" s="1220"/>
      <c r="CU52" s="1220"/>
      <c r="CV52" s="1220"/>
      <c r="CW52" s="1220"/>
      <c r="CX52" s="1220"/>
      <c r="CY52" s="1220"/>
      <c r="CZ52" s="1220"/>
      <c r="DA52" s="1220"/>
      <c r="DB52" s="1220"/>
      <c r="DC52" s="1220"/>
      <c r="DD52" s="1220"/>
      <c r="DE52" s="1220"/>
      <c r="DF52" s="1220"/>
      <c r="DG52" s="1220"/>
      <c r="DH52" s="1220"/>
      <c r="DI52" s="1220"/>
      <c r="DJ52" s="1220"/>
      <c r="DK52" s="1220"/>
      <c r="DL52" s="1220"/>
      <c r="DM52" s="1220"/>
      <c r="DN52" s="1220"/>
      <c r="DO52" s="1220"/>
      <c r="DP52" s="1220"/>
      <c r="DQ52" s="1220"/>
      <c r="DR52" s="1220"/>
      <c r="DS52" s="1220"/>
      <c r="DT52" s="1220"/>
      <c r="DU52" s="1220"/>
      <c r="DV52" s="1220"/>
      <c r="DW52" s="1220"/>
      <c r="DX52" s="1220"/>
      <c r="DY52" s="1220"/>
      <c r="DZ52" s="1220"/>
      <c r="EA52" s="1220"/>
      <c r="EB52" s="1220"/>
      <c r="EC52" s="1220"/>
      <c r="ED52" s="1220"/>
      <c r="EE52" s="1220"/>
      <c r="EF52" s="1220"/>
      <c r="EG52" s="1220"/>
      <c r="EH52" s="1220"/>
      <c r="EI52" s="1220"/>
      <c r="EJ52" s="1220"/>
      <c r="EK52" s="1220"/>
      <c r="EL52" s="1220"/>
      <c r="EM52" s="1220"/>
      <c r="EN52" s="1220"/>
      <c r="EO52" s="1220"/>
      <c r="EP52" s="1220"/>
      <c r="EQ52" s="1220"/>
      <c r="ER52" s="1220"/>
      <c r="ES52" s="1220"/>
      <c r="ET52" s="1220"/>
      <c r="EU52" s="1220"/>
      <c r="EV52" s="1220"/>
      <c r="EW52" s="1220"/>
      <c r="EX52" s="1220"/>
      <c r="EY52" s="1220"/>
      <c r="EZ52" s="1220"/>
      <c r="FA52" s="1220"/>
      <c r="FB52" s="1220"/>
      <c r="FC52" s="1220"/>
      <c r="FD52" s="1220"/>
      <c r="FE52" s="1220"/>
      <c r="FF52" s="1220"/>
      <c r="FG52" s="1220"/>
      <c r="FH52" s="1220"/>
      <c r="FI52" s="1220"/>
      <c r="FJ52" s="1220"/>
      <c r="FK52" s="1220"/>
      <c r="FL52" s="1220"/>
      <c r="FM52" s="1220"/>
      <c r="FN52" s="1220"/>
      <c r="FO52" s="1220"/>
      <c r="FP52" s="1220"/>
      <c r="FQ52" s="1220"/>
      <c r="FR52" s="1220"/>
      <c r="FS52" s="1220"/>
      <c r="FT52" s="1220"/>
      <c r="FU52" s="1220"/>
      <c r="FV52" s="1220"/>
      <c r="FW52" s="1220"/>
      <c r="FX52" s="1220"/>
      <c r="FY52" s="1220"/>
      <c r="FZ52" s="1220"/>
      <c r="GA52" s="1220"/>
      <c r="GB52" s="1220"/>
      <c r="GC52" s="1220"/>
      <c r="GD52" s="1220"/>
      <c r="GE52" s="1220"/>
      <c r="GF52" s="1220"/>
      <c r="GG52" s="1220"/>
    </row>
    <row r="53" spans="1:189" s="1206" customFormat="1">
      <c r="A53" s="750" t="e">
        <f>+#REF!</f>
        <v>#REF!</v>
      </c>
      <c r="B53" s="729" t="e">
        <f>+#REF!</f>
        <v>#REF!</v>
      </c>
      <c r="C53" s="1522" t="e">
        <f>#REF!</f>
        <v>#REF!</v>
      </c>
      <c r="D53" s="654">
        <f>J53</f>
        <v>1422</v>
      </c>
      <c r="E53" s="633" t="e">
        <f>#REF!</f>
        <v>#REF!</v>
      </c>
      <c r="F53" s="633" t="e">
        <f>+D53*E53</f>
        <v>#REF!</v>
      </c>
      <c r="H53" s="1219">
        <f>30%*H24</f>
        <v>1354.5</v>
      </c>
      <c r="I53" s="1219">
        <f>1.05</f>
        <v>1.05</v>
      </c>
      <c r="J53" s="1219">
        <f>ROUND(H53*I53,0)</f>
        <v>1422</v>
      </c>
      <c r="K53" s="1220"/>
      <c r="L53" s="1220"/>
      <c r="M53" s="1220"/>
      <c r="N53" s="1220"/>
      <c r="O53" s="1220"/>
      <c r="P53" s="1220"/>
      <c r="Q53" s="1220"/>
      <c r="R53" s="1220"/>
      <c r="S53" s="1220"/>
      <c r="T53" s="1220"/>
      <c r="U53" s="1220"/>
      <c r="V53" s="1220"/>
      <c r="W53" s="1220"/>
      <c r="X53" s="1220"/>
      <c r="Y53" s="1220"/>
      <c r="Z53" s="1220"/>
      <c r="AA53" s="1220"/>
      <c r="AB53" s="1220"/>
      <c r="AC53" s="1220"/>
      <c r="AD53" s="1220"/>
      <c r="AE53" s="1220"/>
      <c r="AF53" s="1220"/>
      <c r="AG53" s="1220"/>
      <c r="AH53" s="1220"/>
      <c r="AI53" s="1220"/>
      <c r="AJ53" s="1220"/>
      <c r="AK53" s="1220"/>
      <c r="AL53" s="1220"/>
      <c r="AM53" s="1220"/>
      <c r="AN53" s="1220"/>
      <c r="AO53" s="1220"/>
      <c r="AP53" s="1220"/>
      <c r="AQ53" s="1220"/>
      <c r="AR53" s="1220"/>
      <c r="AS53" s="1220"/>
      <c r="AT53" s="1220"/>
      <c r="AU53" s="1220"/>
      <c r="AV53" s="1220"/>
      <c r="AW53" s="1220"/>
      <c r="AX53" s="1220"/>
      <c r="AY53" s="1220"/>
      <c r="AZ53" s="1220"/>
      <c r="BA53" s="1220"/>
      <c r="BB53" s="1220"/>
      <c r="BC53" s="1220"/>
      <c r="BD53" s="1220"/>
      <c r="BE53" s="1220"/>
      <c r="BF53" s="1220"/>
      <c r="BG53" s="1220"/>
      <c r="BH53" s="1220"/>
      <c r="BI53" s="1220"/>
      <c r="BJ53" s="1220"/>
      <c r="BK53" s="1220"/>
      <c r="BL53" s="1220"/>
      <c r="BM53" s="1220"/>
      <c r="BN53" s="1220"/>
      <c r="BO53" s="1220"/>
      <c r="BP53" s="1220"/>
      <c r="BQ53" s="1220"/>
      <c r="BR53" s="1220"/>
      <c r="BS53" s="1220"/>
      <c r="BT53" s="1220"/>
      <c r="BU53" s="1220"/>
      <c r="BV53" s="1220"/>
      <c r="BW53" s="1220"/>
      <c r="BX53" s="1220"/>
      <c r="BY53" s="1220"/>
      <c r="BZ53" s="1220"/>
      <c r="CA53" s="1220"/>
      <c r="CB53" s="1220"/>
      <c r="CC53" s="1220"/>
      <c r="CD53" s="1220"/>
      <c r="CE53" s="1220"/>
      <c r="CF53" s="1220"/>
      <c r="CG53" s="1220"/>
      <c r="CH53" s="1220"/>
      <c r="CI53" s="1220"/>
      <c r="CJ53" s="1220"/>
      <c r="CK53" s="1220"/>
      <c r="CL53" s="1220"/>
      <c r="CM53" s="1220"/>
      <c r="CN53" s="1220"/>
      <c r="CO53" s="1220"/>
      <c r="CP53" s="1220"/>
      <c r="CQ53" s="1220"/>
      <c r="CR53" s="1220"/>
      <c r="CS53" s="1220"/>
      <c r="CT53" s="1220"/>
      <c r="CU53" s="1220"/>
      <c r="CV53" s="1220"/>
      <c r="CW53" s="1220"/>
      <c r="CX53" s="1220"/>
      <c r="CY53" s="1220"/>
      <c r="CZ53" s="1220"/>
      <c r="DA53" s="1220"/>
      <c r="DB53" s="1220"/>
      <c r="DC53" s="1220"/>
      <c r="DD53" s="1220"/>
      <c r="DE53" s="1220"/>
      <c r="DF53" s="1220"/>
      <c r="DG53" s="1220"/>
      <c r="DH53" s="1220"/>
      <c r="DI53" s="1220"/>
      <c r="DJ53" s="1220"/>
      <c r="DK53" s="1220"/>
      <c r="DL53" s="1220"/>
      <c r="DM53" s="1220"/>
      <c r="DN53" s="1220"/>
      <c r="DO53" s="1220"/>
      <c r="DP53" s="1220"/>
      <c r="DQ53" s="1220"/>
      <c r="DR53" s="1220"/>
      <c r="DS53" s="1220"/>
      <c r="DT53" s="1220"/>
      <c r="DU53" s="1220"/>
      <c r="DV53" s="1220"/>
      <c r="DW53" s="1220"/>
      <c r="DX53" s="1220"/>
      <c r="DY53" s="1220"/>
      <c r="DZ53" s="1220"/>
      <c r="EA53" s="1220"/>
      <c r="EB53" s="1220"/>
      <c r="EC53" s="1220"/>
      <c r="ED53" s="1220"/>
      <c r="EE53" s="1220"/>
      <c r="EF53" s="1220"/>
      <c r="EG53" s="1220"/>
      <c r="EH53" s="1220"/>
      <c r="EI53" s="1220"/>
      <c r="EJ53" s="1220"/>
      <c r="EK53" s="1220"/>
      <c r="EL53" s="1220"/>
      <c r="EM53" s="1220"/>
      <c r="EN53" s="1220"/>
      <c r="EO53" s="1220"/>
      <c r="EP53" s="1220"/>
      <c r="EQ53" s="1220"/>
      <c r="ER53" s="1220"/>
      <c r="ES53" s="1220"/>
      <c r="ET53" s="1220"/>
      <c r="EU53" s="1220"/>
      <c r="EV53" s="1220"/>
      <c r="EW53" s="1220"/>
      <c r="EX53" s="1220"/>
      <c r="EY53" s="1220"/>
      <c r="EZ53" s="1220"/>
      <c r="FA53" s="1220"/>
      <c r="FB53" s="1220"/>
      <c r="FC53" s="1220"/>
      <c r="FD53" s="1220"/>
      <c r="FE53" s="1220"/>
      <c r="FF53" s="1220"/>
      <c r="FG53" s="1220"/>
      <c r="FH53" s="1220"/>
      <c r="FI53" s="1220"/>
      <c r="FJ53" s="1220"/>
      <c r="FK53" s="1220"/>
      <c r="FL53" s="1220"/>
      <c r="FM53" s="1220"/>
      <c r="FN53" s="1220"/>
      <c r="FO53" s="1220"/>
      <c r="FP53" s="1220"/>
      <c r="FQ53" s="1220"/>
      <c r="FR53" s="1220"/>
      <c r="FS53" s="1220"/>
      <c r="FT53" s="1220"/>
      <c r="FU53" s="1220"/>
      <c r="FV53" s="1220"/>
      <c r="FW53" s="1220"/>
      <c r="FX53" s="1220"/>
      <c r="FY53" s="1220"/>
      <c r="FZ53" s="1220"/>
      <c r="GA53" s="1220"/>
      <c r="GB53" s="1220"/>
      <c r="GC53" s="1220"/>
      <c r="GD53" s="1220"/>
      <c r="GE53" s="1220"/>
      <c r="GF53" s="1220"/>
      <c r="GG53" s="1220"/>
    </row>
    <row r="54" spans="1:189" s="1206" customFormat="1">
      <c r="A54" s="751" t="e">
        <f>+#REF!</f>
        <v>#REF!</v>
      </c>
      <c r="B54" s="708" t="e">
        <f>+#REF!</f>
        <v>#REF!</v>
      </c>
      <c r="C54" s="1523" t="e">
        <f>#REF!</f>
        <v>#REF!</v>
      </c>
      <c r="D54" s="706">
        <v>1</v>
      </c>
      <c r="E54" s="527">
        <v>5835882.2130000005</v>
      </c>
      <c r="F54" s="527">
        <f>+D54*E54</f>
        <v>5835882.2130000005</v>
      </c>
      <c r="H54" s="1219">
        <f>H52</f>
        <v>4.5149999999999997</v>
      </c>
      <c r="I54" s="1219">
        <f>1.05</f>
        <v>1.05</v>
      </c>
      <c r="J54" s="1219">
        <f>H54*I54</f>
        <v>4.7407500000000002</v>
      </c>
      <c r="K54" s="1220"/>
      <c r="L54" s="1220"/>
      <c r="M54" s="1220"/>
      <c r="N54" s="1220"/>
      <c r="O54" s="1220"/>
      <c r="P54" s="1220"/>
      <c r="Q54" s="1220"/>
      <c r="R54" s="1220"/>
      <c r="S54" s="1220"/>
      <c r="T54" s="1220"/>
      <c r="U54" s="1220"/>
      <c r="V54" s="1220"/>
      <c r="W54" s="1220"/>
      <c r="X54" s="1220"/>
      <c r="Y54" s="1220"/>
      <c r="Z54" s="1220"/>
      <c r="AA54" s="1220"/>
      <c r="AB54" s="1220"/>
      <c r="AC54" s="1220"/>
      <c r="AD54" s="1220"/>
      <c r="AE54" s="1220"/>
      <c r="AF54" s="1220"/>
      <c r="AG54" s="1220"/>
      <c r="AH54" s="1220"/>
      <c r="AI54" s="1220"/>
      <c r="AJ54" s="1220"/>
      <c r="AK54" s="1220"/>
      <c r="AL54" s="1220"/>
      <c r="AM54" s="1220"/>
      <c r="AN54" s="1220"/>
      <c r="AO54" s="1220"/>
      <c r="AP54" s="1220"/>
      <c r="AQ54" s="1220"/>
      <c r="AR54" s="1220"/>
      <c r="AS54" s="1220"/>
      <c r="AT54" s="1220"/>
      <c r="AU54" s="1220"/>
      <c r="AV54" s="1220"/>
      <c r="AW54" s="1220"/>
      <c r="AX54" s="1220"/>
      <c r="AY54" s="1220"/>
      <c r="AZ54" s="1220"/>
      <c r="BA54" s="1220"/>
      <c r="BB54" s="1220"/>
      <c r="BC54" s="1220"/>
      <c r="BD54" s="1220"/>
      <c r="BE54" s="1220"/>
      <c r="BF54" s="1220"/>
      <c r="BG54" s="1220"/>
      <c r="BH54" s="1220"/>
      <c r="BI54" s="1220"/>
      <c r="BJ54" s="1220"/>
      <c r="BK54" s="1220"/>
      <c r="BL54" s="1220"/>
      <c r="BM54" s="1220"/>
      <c r="BN54" s="1220"/>
      <c r="BO54" s="1220"/>
      <c r="BP54" s="1220"/>
      <c r="BQ54" s="1220"/>
      <c r="BR54" s="1220"/>
      <c r="BS54" s="1220"/>
      <c r="BT54" s="1220"/>
      <c r="BU54" s="1220"/>
      <c r="BV54" s="1220"/>
      <c r="BW54" s="1220"/>
      <c r="BX54" s="1220"/>
      <c r="BY54" s="1220"/>
      <c r="BZ54" s="1220"/>
      <c r="CA54" s="1220"/>
      <c r="CB54" s="1220"/>
      <c r="CC54" s="1220"/>
      <c r="CD54" s="1220"/>
      <c r="CE54" s="1220"/>
      <c r="CF54" s="1220"/>
      <c r="CG54" s="1220"/>
      <c r="CH54" s="1220"/>
      <c r="CI54" s="1220"/>
      <c r="CJ54" s="1220"/>
      <c r="CK54" s="1220"/>
      <c r="CL54" s="1220"/>
      <c r="CM54" s="1220"/>
      <c r="CN54" s="1220"/>
      <c r="CO54" s="1220"/>
      <c r="CP54" s="1220"/>
      <c r="CQ54" s="1220"/>
      <c r="CR54" s="1220"/>
      <c r="CS54" s="1220"/>
      <c r="CT54" s="1220"/>
      <c r="CU54" s="1220"/>
      <c r="CV54" s="1220"/>
      <c r="CW54" s="1220"/>
      <c r="CX54" s="1220"/>
      <c r="CY54" s="1220"/>
      <c r="CZ54" s="1220"/>
      <c r="DA54" s="1220"/>
      <c r="DB54" s="1220"/>
      <c r="DC54" s="1220"/>
      <c r="DD54" s="1220"/>
      <c r="DE54" s="1220"/>
      <c r="DF54" s="1220"/>
      <c r="DG54" s="1220"/>
      <c r="DH54" s="1220"/>
      <c r="DI54" s="1220"/>
      <c r="DJ54" s="1220"/>
      <c r="DK54" s="1220"/>
      <c r="DL54" s="1220"/>
      <c r="DM54" s="1220"/>
      <c r="DN54" s="1220"/>
      <c r="DO54" s="1220"/>
      <c r="DP54" s="1220"/>
      <c r="DQ54" s="1220"/>
      <c r="DR54" s="1220"/>
      <c r="DS54" s="1220"/>
      <c r="DT54" s="1220"/>
      <c r="DU54" s="1220"/>
      <c r="DV54" s="1220"/>
      <c r="DW54" s="1220"/>
      <c r="DX54" s="1220"/>
      <c r="DY54" s="1220"/>
      <c r="DZ54" s="1220"/>
      <c r="EA54" s="1220"/>
      <c r="EB54" s="1220"/>
      <c r="EC54" s="1220"/>
      <c r="ED54" s="1220"/>
      <c r="EE54" s="1220"/>
      <c r="EF54" s="1220"/>
      <c r="EG54" s="1220"/>
      <c r="EH54" s="1220"/>
      <c r="EI54" s="1220"/>
      <c r="EJ54" s="1220"/>
      <c r="EK54" s="1220"/>
      <c r="EL54" s="1220"/>
      <c r="EM54" s="1220"/>
      <c r="EN54" s="1220"/>
      <c r="EO54" s="1220"/>
      <c r="EP54" s="1220"/>
      <c r="EQ54" s="1220"/>
      <c r="ER54" s="1220"/>
      <c r="ES54" s="1220"/>
      <c r="ET54" s="1220"/>
      <c r="EU54" s="1220"/>
      <c r="EV54" s="1220"/>
      <c r="EW54" s="1220"/>
      <c r="EX54" s="1220"/>
      <c r="EY54" s="1220"/>
      <c r="EZ54" s="1220"/>
      <c r="FA54" s="1220"/>
      <c r="FB54" s="1220"/>
      <c r="FC54" s="1220"/>
      <c r="FD54" s="1220"/>
      <c r="FE54" s="1220"/>
      <c r="FF54" s="1220"/>
      <c r="FG54" s="1220"/>
      <c r="FH54" s="1220"/>
      <c r="FI54" s="1220"/>
      <c r="FJ54" s="1220"/>
      <c r="FK54" s="1220"/>
      <c r="FL54" s="1220"/>
      <c r="FM54" s="1220"/>
      <c r="FN54" s="1220"/>
      <c r="FO54" s="1220"/>
      <c r="FP54" s="1220"/>
      <c r="FQ54" s="1220"/>
      <c r="FR54" s="1220"/>
      <c r="FS54" s="1220"/>
      <c r="FT54" s="1220"/>
      <c r="FU54" s="1220"/>
      <c r="FV54" s="1220"/>
      <c r="FW54" s="1220"/>
      <c r="FX54" s="1220"/>
      <c r="FY54" s="1220"/>
      <c r="FZ54" s="1220"/>
      <c r="GA54" s="1220"/>
      <c r="GB54" s="1220"/>
      <c r="GC54" s="1220"/>
      <c r="GD54" s="1220"/>
      <c r="GE54" s="1220"/>
      <c r="GF54" s="1220"/>
      <c r="GG54" s="1220"/>
    </row>
    <row r="55" spans="1:189" s="1220" customFormat="1">
      <c r="A55" s="689" t="e">
        <f>+#REF!</f>
        <v>#REF!</v>
      </c>
      <c r="B55" s="752" t="e">
        <f>+#REF!</f>
        <v>#REF!</v>
      </c>
      <c r="C55" s="1487"/>
      <c r="D55" s="784"/>
      <c r="E55" s="641"/>
      <c r="F55" s="641"/>
      <c r="G55" s="1206"/>
      <c r="H55" s="1218"/>
      <c r="I55" s="1219"/>
      <c r="J55" s="1218"/>
    </row>
    <row r="56" spans="1:189" s="1220" customFormat="1">
      <c r="A56" s="751"/>
      <c r="B56" s="708"/>
      <c r="C56" s="1408" t="e">
        <f>#REF!</f>
        <v>#REF!</v>
      </c>
      <c r="D56" s="648">
        <f>J56</f>
        <v>19195</v>
      </c>
      <c r="E56" s="527" t="e">
        <f>#REF!</f>
        <v>#REF!</v>
      </c>
      <c r="F56" s="527" t="e">
        <f>+D56*E56</f>
        <v>#REF!</v>
      </c>
      <c r="G56" s="1206"/>
      <c r="H56" s="1218">
        <f>+(F13/2+F15)*10</f>
        <v>17450</v>
      </c>
      <c r="I56" s="1219">
        <f>1.1</f>
        <v>1.1000000000000001</v>
      </c>
      <c r="J56" s="1218">
        <f>H56*I56</f>
        <v>19195</v>
      </c>
    </row>
    <row r="57" spans="1:189" s="1220" customFormat="1">
      <c r="A57" s="689" t="e">
        <f>+#REF!</f>
        <v>#REF!</v>
      </c>
      <c r="B57" s="752" t="e">
        <f>+#REF!</f>
        <v>#REF!</v>
      </c>
      <c r="C57" s="1487"/>
      <c r="D57" s="784"/>
      <c r="E57" s="641"/>
      <c r="F57" s="641"/>
      <c r="G57" s="1206"/>
      <c r="H57" s="1218">
        <f>370+163*2</f>
        <v>696</v>
      </c>
      <c r="I57" s="1219"/>
      <c r="J57" s="1218"/>
    </row>
    <row r="58" spans="1:189" s="1220" customFormat="1">
      <c r="A58" s="751"/>
      <c r="B58" s="708"/>
      <c r="C58" s="1408" t="e">
        <f>#REF!</f>
        <v>#REF!</v>
      </c>
      <c r="D58" s="648">
        <f>J58</f>
        <v>3839.0000000000005</v>
      </c>
      <c r="E58" s="527" t="e">
        <f>#REF!</f>
        <v>#REF!</v>
      </c>
      <c r="F58" s="527" t="e">
        <f>+D58*E58</f>
        <v>#REF!</v>
      </c>
      <c r="G58" s="1206"/>
      <c r="H58" s="1218">
        <f>+(F13/2+F15)*2</f>
        <v>3490</v>
      </c>
      <c r="I58" s="1219">
        <f>1.1</f>
        <v>1.1000000000000001</v>
      </c>
      <c r="J58" s="1218">
        <f>H58*I58</f>
        <v>3839.0000000000005</v>
      </c>
    </row>
    <row r="59" spans="1:189" s="1220" customFormat="1">
      <c r="A59" s="689" t="e">
        <f>+#REF!</f>
        <v>#REF!</v>
      </c>
      <c r="B59" s="752" t="e">
        <f>+#REF!</f>
        <v>#REF!</v>
      </c>
      <c r="C59" s="1487"/>
      <c r="D59" s="784"/>
      <c r="E59" s="641"/>
      <c r="F59" s="641"/>
      <c r="G59" s="1206"/>
      <c r="H59" s="1218"/>
      <c r="I59" s="1219"/>
      <c r="J59" s="1218"/>
    </row>
    <row r="60" spans="1:189" s="1220" customFormat="1">
      <c r="A60" s="751" t="e">
        <f>+#REF!</f>
        <v>#REF!</v>
      </c>
      <c r="B60" s="708" t="e">
        <f>+#REF!</f>
        <v>#REF!</v>
      </c>
      <c r="C60" s="1482" t="e">
        <f>#REF!</f>
        <v>#REF!</v>
      </c>
      <c r="D60" s="758">
        <f>J60</f>
        <v>10536.5</v>
      </c>
      <c r="E60" s="527" t="e">
        <f>#REF!</f>
        <v>#REF!</v>
      </c>
      <c r="F60" s="527" t="e">
        <f>+D60*E60</f>
        <v>#REF!</v>
      </c>
      <c r="G60" s="1206"/>
      <c r="H60" s="1219">
        <f>120+1470+401+310+260+130+320+350+250+355+350+550+255+2160+1140+175+175+130+130+745+372+245+740+1060+345+550+263+475+300+913+790+777+395+320+123+120+396+322+200+206+506+180+270+95+95+240+255+230+200+204+110</f>
        <v>21073</v>
      </c>
      <c r="I60" s="1219">
        <v>0.5</v>
      </c>
      <c r="J60" s="1218">
        <f>H60*I60</f>
        <v>10536.5</v>
      </c>
    </row>
    <row r="61" spans="1:189" s="1220" customFormat="1">
      <c r="A61" s="689" t="e">
        <f>+#REF!</f>
        <v>#REF!</v>
      </c>
      <c r="B61" s="752" t="e">
        <f>+#REF!</f>
        <v>#REF!</v>
      </c>
      <c r="C61" s="1487"/>
      <c r="D61" s="784"/>
      <c r="E61" s="641"/>
      <c r="F61" s="641"/>
      <c r="G61" s="1206"/>
      <c r="H61" s="1218"/>
      <c r="I61" s="1219"/>
      <c r="J61" s="1218"/>
    </row>
    <row r="62" spans="1:189" s="1220" customFormat="1">
      <c r="A62" s="751"/>
      <c r="B62" s="708"/>
      <c r="C62" s="1408" t="e">
        <f>#REF!</f>
        <v>#REF!</v>
      </c>
      <c r="D62" s="648">
        <f>J62</f>
        <v>350.90000000000003</v>
      </c>
      <c r="E62" s="527" t="e">
        <f>#REF!</f>
        <v>#REF!</v>
      </c>
      <c r="F62" s="527" t="e">
        <f>+D62*E62</f>
        <v>#REF!</v>
      </c>
      <c r="G62" s="1206"/>
      <c r="H62" s="1218">
        <f>11*(14+15)</f>
        <v>319</v>
      </c>
      <c r="I62" s="1219">
        <f>1.1</f>
        <v>1.1000000000000001</v>
      </c>
      <c r="J62" s="1218">
        <f>H62*I62</f>
        <v>350.90000000000003</v>
      </c>
      <c r="K62" s="1220" t="s">
        <v>353</v>
      </c>
    </row>
    <row r="63" spans="1:189" s="1220" customFormat="1">
      <c r="A63" s="689" t="e">
        <f>+#REF!</f>
        <v>#REF!</v>
      </c>
      <c r="B63" s="752" t="e">
        <f>+#REF!</f>
        <v>#REF!</v>
      </c>
      <c r="C63" s="1487"/>
      <c r="D63" s="784"/>
      <c r="E63" s="641"/>
      <c r="F63" s="641"/>
      <c r="G63" s="1206"/>
      <c r="H63" s="1218"/>
      <c r="I63" s="1219"/>
      <c r="J63" s="1218"/>
    </row>
    <row r="64" spans="1:189" s="1220" customFormat="1">
      <c r="A64" s="751"/>
      <c r="B64" s="708"/>
      <c r="C64" s="1408" t="e">
        <f>#REF!</f>
        <v>#REF!</v>
      </c>
      <c r="D64" s="648">
        <f>J64</f>
        <v>178.20000000000002</v>
      </c>
      <c r="E64" s="527" t="e">
        <f>#REF!</f>
        <v>#REF!</v>
      </c>
      <c r="F64" s="527" t="e">
        <f>+D64*E64</f>
        <v>#REF!</v>
      </c>
      <c r="G64" s="1206"/>
      <c r="H64" s="1218">
        <v>162</v>
      </c>
      <c r="I64" s="1219">
        <v>1.1000000000000001</v>
      </c>
      <c r="J64" s="1218">
        <f>H64*I64</f>
        <v>178.20000000000002</v>
      </c>
    </row>
    <row r="65" spans="1:12" s="1220" customFormat="1" ht="18.75">
      <c r="A65" s="677"/>
      <c r="B65" s="464"/>
      <c r="C65" s="1651"/>
      <c r="D65" s="1606"/>
      <c r="E65" s="1609" t="s">
        <v>111</v>
      </c>
      <c r="F65" s="1122" t="e">
        <f>SUM(F44:F64)</f>
        <v>#REF!</v>
      </c>
      <c r="G65" s="1206"/>
      <c r="H65" s="1218"/>
      <c r="I65" s="1219"/>
      <c r="J65" s="1218"/>
    </row>
    <row r="66" spans="1:12" s="1203" customFormat="1" ht="15" customHeight="1">
      <c r="A66" s="455"/>
      <c r="B66" s="40"/>
      <c r="C66" s="13"/>
      <c r="D66" s="76"/>
      <c r="E66" s="66"/>
      <c r="F66" s="66"/>
      <c r="G66" s="1198"/>
      <c r="H66" s="1201"/>
      <c r="I66" s="1202"/>
      <c r="J66" s="1201"/>
    </row>
    <row r="67" spans="1:12" s="1203" customFormat="1" ht="24.95" customHeight="1">
      <c r="A67" s="1905" t="e">
        <f>+#REF!</f>
        <v>#REF!</v>
      </c>
      <c r="B67" s="1906"/>
      <c r="C67" s="1906"/>
      <c r="D67" s="1906"/>
      <c r="E67" s="1906"/>
      <c r="F67" s="1907"/>
      <c r="G67" s="1198"/>
      <c r="H67" s="1201"/>
      <c r="I67" s="1202"/>
      <c r="J67" s="1201"/>
    </row>
    <row r="68" spans="1:12" s="1203" customFormat="1">
      <c r="A68" s="689" t="e">
        <f>+#REF!</f>
        <v>#REF!</v>
      </c>
      <c r="B68" s="711" t="e">
        <f>+#REF!</f>
        <v>#REF!</v>
      </c>
      <c r="C68" s="784"/>
      <c r="D68" s="784"/>
      <c r="E68" s="665"/>
      <c r="F68" s="641"/>
      <c r="G68" s="1198"/>
      <c r="H68" s="1201"/>
      <c r="I68" s="1202"/>
      <c r="J68" s="1201"/>
    </row>
    <row r="69" spans="1:12" s="1203" customFormat="1">
      <c r="A69" s="642" t="e">
        <f>+#REF!</f>
        <v>#REF!</v>
      </c>
      <c r="B69" s="461" t="e">
        <f>+#REF!</f>
        <v>#REF!</v>
      </c>
      <c r="C69" s="758" t="e">
        <f>#REF!</f>
        <v>#REF!</v>
      </c>
      <c r="D69" s="648">
        <f>J69</f>
        <v>54378.071999999993</v>
      </c>
      <c r="E69" s="744" t="e">
        <f>#REF!</f>
        <v>#REF!</v>
      </c>
      <c r="F69" s="527" t="e">
        <f>+D69*E69</f>
        <v>#REF!</v>
      </c>
      <c r="G69" s="1198"/>
      <c r="H69" s="1231">
        <f>(20*F13+F16*20)*0.7+F17*15*0.7+F14*(40-7-1.2)*0.7</f>
        <v>45315.06</v>
      </c>
      <c r="I69" s="1202">
        <v>1.2</v>
      </c>
      <c r="J69" s="1201">
        <f>H69*I69</f>
        <v>54378.071999999993</v>
      </c>
      <c r="L69" s="1203" t="s">
        <v>354</v>
      </c>
    </row>
    <row r="70" spans="1:12" s="1203" customFormat="1">
      <c r="A70" s="689" t="e">
        <f>+#REF!</f>
        <v>#REF!</v>
      </c>
      <c r="B70" s="711" t="e">
        <f>+#REF!</f>
        <v>#REF!</v>
      </c>
      <c r="C70" s="784"/>
      <c r="D70" s="784"/>
      <c r="E70" s="641"/>
      <c r="F70" s="633"/>
      <c r="G70" s="1198"/>
      <c r="H70" s="1201"/>
      <c r="I70" s="1202"/>
      <c r="J70" s="1201">
        <f>J69*0</f>
        <v>0</v>
      </c>
    </row>
    <row r="71" spans="1:12" s="1203" customFormat="1">
      <c r="A71" s="642"/>
      <c r="B71" s="461"/>
      <c r="C71" s="758" t="e">
        <f>#REF!</f>
        <v>#REF!</v>
      </c>
      <c r="D71" s="648">
        <f>D69*0.1</f>
        <v>5437.8071999999993</v>
      </c>
      <c r="E71" s="527" t="e">
        <f>#REF!</f>
        <v>#REF!</v>
      </c>
      <c r="F71" s="527" t="e">
        <f>+D71*E71</f>
        <v>#REF!</v>
      </c>
      <c r="G71" s="1198"/>
      <c r="H71" s="1201"/>
      <c r="I71" s="1202"/>
      <c r="J71" s="1201"/>
    </row>
    <row r="72" spans="1:12" s="1203" customFormat="1">
      <c r="A72" s="689" t="e">
        <f>+#REF!</f>
        <v>#REF!</v>
      </c>
      <c r="B72" s="711" t="e">
        <f>+#REF!</f>
        <v>#REF!</v>
      </c>
      <c r="C72" s="784"/>
      <c r="D72" s="784"/>
      <c r="E72" s="641"/>
      <c r="F72" s="641"/>
      <c r="G72" s="1198"/>
      <c r="H72" s="1201"/>
      <c r="I72" s="1202"/>
      <c r="J72" s="1201"/>
    </row>
    <row r="73" spans="1:12" s="1203" customFormat="1">
      <c r="A73" s="642"/>
      <c r="B73" s="461"/>
      <c r="C73" s="758" t="e">
        <f>#REF!</f>
        <v>#REF!</v>
      </c>
      <c r="D73" s="648">
        <f>+K73</f>
        <v>17334.951360000003</v>
      </c>
      <c r="E73" s="527" t="e">
        <f>#REF!</f>
        <v>#REF!</v>
      </c>
      <c r="F73" s="527" t="e">
        <f>+D73*E73</f>
        <v>#REF!</v>
      </c>
      <c r="G73" s="1198"/>
      <c r="H73" s="1201">
        <f>H69-D71-H19*0.35-J19*0.2</f>
        <v>14445.792800000003</v>
      </c>
      <c r="I73" s="1202">
        <v>1.2</v>
      </c>
      <c r="J73" s="1201">
        <f>H73*I73</f>
        <v>17334.951360000003</v>
      </c>
      <c r="K73" s="1203">
        <f>J73-J70</f>
        <v>17334.951360000003</v>
      </c>
    </row>
    <row r="74" spans="1:12" s="923" customFormat="1">
      <c r="A74" s="689" t="e">
        <f>+#REF!</f>
        <v>#REF!</v>
      </c>
      <c r="B74" s="711" t="e">
        <f>+#REF!</f>
        <v>#REF!</v>
      </c>
      <c r="C74" s="784"/>
      <c r="D74" s="784"/>
      <c r="E74" s="641"/>
      <c r="F74" s="641"/>
      <c r="H74" s="1232"/>
      <c r="I74" s="1233"/>
      <c r="J74" s="1232"/>
    </row>
    <row r="75" spans="1:12" s="923" customFormat="1">
      <c r="A75" s="751"/>
      <c r="B75" s="461"/>
      <c r="C75" s="1240" t="e">
        <f>#REF!</f>
        <v>#REF!</v>
      </c>
      <c r="D75" s="648">
        <f>+J75</f>
        <v>2736</v>
      </c>
      <c r="E75" s="1238" t="e">
        <f>+#REF!</f>
        <v>#REF!</v>
      </c>
      <c r="F75" s="527" t="e">
        <f t="shared" ref="F75" si="4">+D75*E75</f>
        <v>#REF!</v>
      </c>
      <c r="H75" s="1232">
        <f>+H161/0.2</f>
        <v>2280</v>
      </c>
      <c r="I75" s="1233">
        <v>1.2</v>
      </c>
      <c r="J75" s="1232">
        <f>+H75*I75</f>
        <v>2736</v>
      </c>
    </row>
    <row r="76" spans="1:12" s="1203" customFormat="1" ht="18.75">
      <c r="A76" s="1650"/>
      <c r="B76" s="1649"/>
      <c r="C76" s="1651"/>
      <c r="D76" s="1606"/>
      <c r="E76" s="1609" t="s">
        <v>110</v>
      </c>
      <c r="F76" s="1122" t="e">
        <f>SUM(F68:F75)</f>
        <v>#REF!</v>
      </c>
      <c r="G76" s="1198"/>
      <c r="H76" s="1201"/>
      <c r="I76" s="1202"/>
      <c r="J76" s="1201"/>
    </row>
    <row r="77" spans="1:12" s="1203" customFormat="1" ht="15" customHeight="1">
      <c r="A77" s="40"/>
      <c r="B77" s="40"/>
      <c r="C77" s="1237"/>
      <c r="D77" s="1237"/>
      <c r="E77" s="1237"/>
      <c r="F77" s="1237"/>
      <c r="G77" s="1198"/>
      <c r="H77" s="1201"/>
      <c r="I77" s="1202"/>
      <c r="J77" s="1201"/>
    </row>
    <row r="78" spans="1:12" s="1220" customFormat="1" ht="24.95" customHeight="1">
      <c r="A78" s="1905" t="e">
        <f>+#REF!</f>
        <v>#REF!</v>
      </c>
      <c r="B78" s="1906"/>
      <c r="C78" s="1906"/>
      <c r="D78" s="1906"/>
      <c r="E78" s="1906"/>
      <c r="F78" s="1907"/>
      <c r="G78" s="1206"/>
      <c r="H78" s="781">
        <f>+J85*0.15</f>
        <v>8856.476999999999</v>
      </c>
      <c r="I78" s="1219">
        <f>1.1</f>
        <v>1.1000000000000001</v>
      </c>
      <c r="J78" s="1218">
        <f>H78*I78</f>
        <v>9742.1247000000003</v>
      </c>
    </row>
    <row r="79" spans="1:12" s="1220" customFormat="1">
      <c r="A79" s="689" t="e">
        <f>+#REF!</f>
        <v>#REF!</v>
      </c>
      <c r="B79" s="1270" t="e">
        <f>+#REF!</f>
        <v>#REF!</v>
      </c>
      <c r="C79" s="1478"/>
      <c r="D79" s="543"/>
      <c r="E79" s="544"/>
      <c r="F79" s="544"/>
      <c r="G79" s="1206"/>
      <c r="H79" s="1218"/>
      <c r="I79" s="1219"/>
      <c r="J79" s="1218"/>
      <c r="K79" s="1220" t="s">
        <v>273</v>
      </c>
    </row>
    <row r="80" spans="1:12" s="1220" customFormat="1">
      <c r="A80" s="751" t="e">
        <f>+#REF!</f>
        <v>#REF!</v>
      </c>
      <c r="B80" s="753" t="e">
        <f>+#REF!</f>
        <v>#REF!</v>
      </c>
      <c r="C80" s="1523" t="e">
        <f>#REF!</f>
        <v>#REF!</v>
      </c>
      <c r="D80" s="1521">
        <f>J80</f>
        <v>29373.336300000003</v>
      </c>
      <c r="E80" s="547" t="e">
        <f>#REF!</f>
        <v>#REF!</v>
      </c>
      <c r="F80" s="547" t="e">
        <f>+D80*E80</f>
        <v>#REF!</v>
      </c>
      <c r="G80" s="1206"/>
      <c r="H80" s="781">
        <f>+J85*0.35+J86*0.2</f>
        <v>26703.032999999999</v>
      </c>
      <c r="I80" s="1219">
        <f>1.1</f>
        <v>1.1000000000000001</v>
      </c>
      <c r="J80" s="1218">
        <f>H80*I80</f>
        <v>29373.336300000003</v>
      </c>
    </row>
    <row r="81" spans="1:10" s="1220" customFormat="1">
      <c r="A81" s="689" t="e">
        <f>+#REF!</f>
        <v>#REF!</v>
      </c>
      <c r="B81" s="711" t="e">
        <f>+#REF!</f>
        <v>#REF!</v>
      </c>
      <c r="C81" s="1478"/>
      <c r="D81" s="543"/>
      <c r="E81" s="641"/>
      <c r="F81" s="641"/>
      <c r="G81" s="1206"/>
      <c r="H81" s="1218"/>
      <c r="I81" s="1219"/>
      <c r="J81" s="1218"/>
    </row>
    <row r="82" spans="1:10" s="1220" customFormat="1">
      <c r="A82" s="751"/>
      <c r="B82" s="753"/>
      <c r="C82" s="1523" t="e">
        <f>#REF!</f>
        <v>#REF!</v>
      </c>
      <c r="D82" s="1521">
        <f>J82</f>
        <v>949857.15824999998</v>
      </c>
      <c r="E82" s="527" t="e">
        <f>#REF!</f>
        <v>#REF!</v>
      </c>
      <c r="F82" s="527" t="e">
        <f>+D82*E82</f>
        <v>#REF!</v>
      </c>
      <c r="G82" s="1206"/>
      <c r="H82" s="1218">
        <f>H78*1950*5%</f>
        <v>863506.50749999995</v>
      </c>
      <c r="I82" s="1219">
        <v>1.1000000000000001</v>
      </c>
      <c r="J82" s="1218">
        <f>H82*I82</f>
        <v>949857.15824999998</v>
      </c>
    </row>
    <row r="83" spans="1:10" s="1220" customFormat="1">
      <c r="A83" s="689" t="e">
        <f>+#REF!</f>
        <v>#REF!</v>
      </c>
      <c r="B83" s="711" t="e">
        <f>+#REF!</f>
        <v>#REF!</v>
      </c>
      <c r="C83" s="1264"/>
      <c r="D83" s="641"/>
      <c r="E83" s="641"/>
      <c r="F83" s="641"/>
      <c r="G83" s="1206"/>
      <c r="H83" s="1218"/>
      <c r="I83" s="1219"/>
      <c r="J83" s="1218"/>
    </row>
    <row r="84" spans="1:10" s="1220" customFormat="1">
      <c r="A84" s="755" t="e">
        <f>+#REF!</f>
        <v>#REF!</v>
      </c>
      <c r="B84" s="678" t="e">
        <f>+#REF!</f>
        <v>#REF!</v>
      </c>
      <c r="C84" s="1522"/>
      <c r="D84" s="633"/>
      <c r="E84" s="633"/>
      <c r="F84" s="633"/>
      <c r="G84" s="1206"/>
      <c r="H84" s="1218"/>
      <c r="I84" s="1219"/>
      <c r="J84" s="1218"/>
    </row>
    <row r="85" spans="1:10" s="1220" customFormat="1">
      <c r="A85" s="750" t="e">
        <f>+#REF!</f>
        <v>#REF!</v>
      </c>
      <c r="B85" s="677" t="e">
        <f>+#REF!</f>
        <v>#REF!</v>
      </c>
      <c r="C85" s="1522" t="e">
        <f>#REF!</f>
        <v>#REF!</v>
      </c>
      <c r="D85" s="633">
        <f>+J85*0.91</f>
        <v>53729.293799999999</v>
      </c>
      <c r="E85" s="633" t="e">
        <f>+#REF!</f>
        <v>#REF!</v>
      </c>
      <c r="F85" s="633" t="e">
        <f>+D85*E85</f>
        <v>#REF!</v>
      </c>
      <c r="G85" s="1206"/>
      <c r="H85" s="698">
        <f>+H19</f>
        <v>56231.6</v>
      </c>
      <c r="I85" s="1219">
        <v>1.05</v>
      </c>
      <c r="J85" s="1218">
        <f>+H85*I85</f>
        <v>59043.18</v>
      </c>
    </row>
    <row r="86" spans="1:10" s="1220" customFormat="1">
      <c r="A86" s="751" t="e">
        <f>+#REF!</f>
        <v>#REF!</v>
      </c>
      <c r="B86" s="753" t="e">
        <f>+#REF!</f>
        <v>#REF!</v>
      </c>
      <c r="C86" s="1523" t="e">
        <f>#REF!</f>
        <v>#REF!</v>
      </c>
      <c r="D86" s="527">
        <f>+J86*0.83</f>
        <v>25057.368000000002</v>
      </c>
      <c r="E86" s="527" t="e">
        <f>+#REF!</f>
        <v>#REF!</v>
      </c>
      <c r="F86" s="527" t="e">
        <f t="shared" ref="F86:F105" si="5">+D86*E86</f>
        <v>#REF!</v>
      </c>
      <c r="G86" s="1206"/>
      <c r="H86" s="1218">
        <f>+J19</f>
        <v>28752</v>
      </c>
      <c r="I86" s="1219">
        <v>1.05</v>
      </c>
      <c r="J86" s="1218">
        <f>+H86*I86</f>
        <v>30189.600000000002</v>
      </c>
    </row>
    <row r="87" spans="1:10" s="1220" customFormat="1">
      <c r="A87" s="689" t="e">
        <f>+#REF!</f>
        <v>#REF!</v>
      </c>
      <c r="B87" s="711" t="e">
        <f>+#REF!</f>
        <v>#REF!</v>
      </c>
      <c r="C87" s="1264"/>
      <c r="D87" s="1519"/>
      <c r="E87" s="641"/>
      <c r="F87" s="641"/>
      <c r="G87" s="1206"/>
      <c r="H87" s="1218"/>
      <c r="I87" s="1219">
        <v>1.05</v>
      </c>
      <c r="J87" s="1218">
        <f t="shared" ref="J87:J94" si="6">+H87*I87</f>
        <v>0</v>
      </c>
    </row>
    <row r="88" spans="1:10" s="1220" customFormat="1">
      <c r="A88" s="750" t="e">
        <f>+#REF!</f>
        <v>#REF!</v>
      </c>
      <c r="B88" s="677" t="e">
        <f>+#REF!</f>
        <v>#REF!</v>
      </c>
      <c r="C88" s="1522" t="e">
        <f>#REF!</f>
        <v>#REF!</v>
      </c>
      <c r="D88" s="1520">
        <f>+D85</f>
        <v>53729.293799999999</v>
      </c>
      <c r="E88" s="633" t="e">
        <f>+#REF!</f>
        <v>#REF!</v>
      </c>
      <c r="F88" s="633" t="e">
        <f t="shared" si="5"/>
        <v>#REF!</v>
      </c>
      <c r="G88" s="1206"/>
      <c r="H88" s="1218"/>
      <c r="I88" s="1219">
        <v>1.05</v>
      </c>
      <c r="J88" s="1218">
        <f t="shared" si="6"/>
        <v>0</v>
      </c>
    </row>
    <row r="89" spans="1:10" s="1220" customFormat="1">
      <c r="A89" s="751" t="e">
        <f>+#REF!</f>
        <v>#REF!</v>
      </c>
      <c r="B89" s="753" t="e">
        <f>+#REF!</f>
        <v>#REF!</v>
      </c>
      <c r="C89" s="1523" t="e">
        <f>#REF!</f>
        <v>#REF!</v>
      </c>
      <c r="D89" s="1521">
        <f>+D86</f>
        <v>25057.368000000002</v>
      </c>
      <c r="E89" s="527" t="e">
        <f>+#REF!</f>
        <v>#REF!</v>
      </c>
      <c r="F89" s="527" t="e">
        <f t="shared" si="5"/>
        <v>#REF!</v>
      </c>
      <c r="G89" s="1206"/>
      <c r="H89" s="1218"/>
      <c r="I89" s="1219">
        <v>1.05</v>
      </c>
      <c r="J89" s="1218">
        <f t="shared" si="6"/>
        <v>0</v>
      </c>
    </row>
    <row r="90" spans="1:10" s="1220" customFormat="1">
      <c r="A90" s="689" t="e">
        <f>+#REF!</f>
        <v>#REF!</v>
      </c>
      <c r="B90" s="711" t="e">
        <f>+#REF!</f>
        <v>#REF!</v>
      </c>
      <c r="C90" s="1264"/>
      <c r="D90" s="1519"/>
      <c r="E90" s="641"/>
      <c r="F90" s="641"/>
      <c r="G90" s="1206"/>
      <c r="H90" s="1218"/>
      <c r="I90" s="1219">
        <v>1.05</v>
      </c>
      <c r="J90" s="1218">
        <f t="shared" si="6"/>
        <v>0</v>
      </c>
    </row>
    <row r="91" spans="1:10" s="1220" customFormat="1">
      <c r="A91" s="755" t="e">
        <f>+#REF!</f>
        <v>#REF!</v>
      </c>
      <c r="B91" s="678" t="e">
        <f>+#REF!</f>
        <v>#REF!</v>
      </c>
      <c r="C91" s="1522"/>
      <c r="D91" s="1520"/>
      <c r="E91" s="633"/>
      <c r="F91" s="633"/>
      <c r="G91" s="1206"/>
      <c r="H91" s="1218"/>
      <c r="I91" s="1219">
        <v>1.05</v>
      </c>
      <c r="J91" s="1218">
        <f t="shared" si="6"/>
        <v>0</v>
      </c>
    </row>
    <row r="92" spans="1:10" s="1220" customFormat="1">
      <c r="A92" s="750" t="e">
        <f>+#REF!</f>
        <v>#REF!</v>
      </c>
      <c r="B92" s="677" t="e">
        <f>+#REF!</f>
        <v>#REF!</v>
      </c>
      <c r="C92" s="1522" t="e">
        <f>#REF!</f>
        <v>#REF!</v>
      </c>
      <c r="D92" s="1520">
        <f>+J92</f>
        <v>1397.55</v>
      </c>
      <c r="E92" s="633" t="e">
        <f>+#REF!</f>
        <v>#REF!</v>
      </c>
      <c r="F92" s="633" t="e">
        <f t="shared" si="5"/>
        <v>#REF!</v>
      </c>
      <c r="G92" s="1206"/>
      <c r="H92" s="1218">
        <f>+F13+F14</f>
        <v>1331</v>
      </c>
      <c r="I92" s="1219">
        <v>1.05</v>
      </c>
      <c r="J92" s="1218">
        <f t="shared" si="6"/>
        <v>1397.55</v>
      </c>
    </row>
    <row r="93" spans="1:10" s="1220" customFormat="1">
      <c r="A93" s="750" t="e">
        <f>+#REF!</f>
        <v>#REF!</v>
      </c>
      <c r="B93" s="677" t="e">
        <f>+#REF!</f>
        <v>#REF!</v>
      </c>
      <c r="C93" s="1522" t="e">
        <f>#REF!</f>
        <v>#REF!</v>
      </c>
      <c r="D93" s="1520">
        <f>+J93</f>
        <v>10183.950000000001</v>
      </c>
      <c r="E93" s="633" t="e">
        <f>+#REF!</f>
        <v>#REF!</v>
      </c>
      <c r="F93" s="633" t="e">
        <f t="shared" si="5"/>
        <v>#REF!</v>
      </c>
      <c r="G93" s="1206"/>
      <c r="H93" s="1218">
        <f>+F13+F14+F15*2+F16*2+F17*2+20*2*50</f>
        <v>9699</v>
      </c>
      <c r="I93" s="1219">
        <v>1.05</v>
      </c>
      <c r="J93" s="1218">
        <f t="shared" si="6"/>
        <v>10183.950000000001</v>
      </c>
    </row>
    <row r="94" spans="1:10" s="1220" customFormat="1">
      <c r="A94" s="751" t="e">
        <f>+#REF!</f>
        <v>#REF!</v>
      </c>
      <c r="B94" s="753" t="e">
        <f>+#REF!</f>
        <v>#REF!</v>
      </c>
      <c r="C94" s="1523" t="e">
        <f>#REF!</f>
        <v>#REF!</v>
      </c>
      <c r="D94" s="1521">
        <f>+J94</f>
        <v>8850.4500000000007</v>
      </c>
      <c r="E94" s="527" t="e">
        <f>+#REF!</f>
        <v>#REF!</v>
      </c>
      <c r="F94" s="527" t="e">
        <f t="shared" si="5"/>
        <v>#REF!</v>
      </c>
      <c r="G94" s="1206"/>
      <c r="H94" s="1218">
        <f>+F13+F14+F15+F16*2+F17*2+20*50*2</f>
        <v>8429</v>
      </c>
      <c r="I94" s="1219">
        <v>1.05</v>
      </c>
      <c r="J94" s="1218">
        <f t="shared" si="6"/>
        <v>8850.4500000000007</v>
      </c>
    </row>
    <row r="95" spans="1:10" s="1220" customFormat="1">
      <c r="A95" s="689" t="e">
        <f>+#REF!</f>
        <v>#REF!</v>
      </c>
      <c r="B95" s="711" t="e">
        <f>+#REF!</f>
        <v>#REF!</v>
      </c>
      <c r="C95" s="1264"/>
      <c r="D95" s="1519"/>
      <c r="E95" s="641"/>
      <c r="F95" s="641"/>
      <c r="G95" s="1206"/>
      <c r="H95" s="1218"/>
      <c r="I95" s="1219"/>
      <c r="J95" s="1218"/>
    </row>
    <row r="96" spans="1:10" s="1220" customFormat="1">
      <c r="A96" s="750" t="e">
        <f>+#REF!</f>
        <v>#REF!</v>
      </c>
      <c r="B96" s="677" t="e">
        <f>+#REF!</f>
        <v>#REF!</v>
      </c>
      <c r="C96" s="1522" t="e">
        <f>#REF!</f>
        <v>#REF!</v>
      </c>
      <c r="D96" s="1520">
        <f>+D92</f>
        <v>1397.55</v>
      </c>
      <c r="E96" s="633" t="e">
        <f>+#REF!</f>
        <v>#REF!</v>
      </c>
      <c r="F96" s="633" t="e">
        <f t="shared" si="5"/>
        <v>#REF!</v>
      </c>
      <c r="G96" s="1206"/>
      <c r="H96" s="1218"/>
      <c r="I96" s="1219"/>
      <c r="J96" s="1218"/>
    </row>
    <row r="97" spans="1:12" s="1220" customFormat="1">
      <c r="A97" s="750" t="e">
        <f>+#REF!</f>
        <v>#REF!</v>
      </c>
      <c r="B97" s="677" t="e">
        <f>+#REF!</f>
        <v>#REF!</v>
      </c>
      <c r="C97" s="1522" t="e">
        <f>#REF!</f>
        <v>#REF!</v>
      </c>
      <c r="D97" s="1520">
        <f>+D93</f>
        <v>10183.950000000001</v>
      </c>
      <c r="E97" s="633" t="e">
        <f>+#REF!</f>
        <v>#REF!</v>
      </c>
      <c r="F97" s="633" t="e">
        <f t="shared" si="5"/>
        <v>#REF!</v>
      </c>
      <c r="G97" s="1206"/>
      <c r="H97" s="1218"/>
      <c r="I97" s="1219"/>
      <c r="J97" s="1218"/>
    </row>
    <row r="98" spans="1:12" s="1220" customFormat="1">
      <c r="A98" s="751" t="e">
        <f>+#REF!</f>
        <v>#REF!</v>
      </c>
      <c r="B98" s="753" t="e">
        <f>+#REF!</f>
        <v>#REF!</v>
      </c>
      <c r="C98" s="1523" t="e">
        <f>#REF!</f>
        <v>#REF!</v>
      </c>
      <c r="D98" s="1521">
        <f>+D94</f>
        <v>8850.4500000000007</v>
      </c>
      <c r="E98" s="527" t="e">
        <f>+#REF!</f>
        <v>#REF!</v>
      </c>
      <c r="F98" s="527" t="e">
        <f t="shared" si="5"/>
        <v>#REF!</v>
      </c>
      <c r="G98" s="1206"/>
      <c r="H98" s="1218"/>
      <c r="I98" s="1219"/>
      <c r="J98" s="1218"/>
    </row>
    <row r="99" spans="1:12" s="1220" customFormat="1" ht="30" customHeight="1">
      <c r="A99" s="689" t="e">
        <f>+#REF!</f>
        <v>#REF!</v>
      </c>
      <c r="B99" s="1270" t="e">
        <f>+#REF!</f>
        <v>#REF!</v>
      </c>
      <c r="C99" s="1264"/>
      <c r="D99" s="1519"/>
      <c r="E99" s="641"/>
      <c r="F99" s="641"/>
      <c r="G99" s="1206"/>
      <c r="H99" s="1218"/>
      <c r="I99" s="1219"/>
      <c r="J99" s="1218"/>
    </row>
    <row r="100" spans="1:12" s="1220" customFormat="1">
      <c r="A100" s="755" t="e">
        <f>+#REF!</f>
        <v>#REF!</v>
      </c>
      <c r="B100" s="748" t="e">
        <f>+#REF!</f>
        <v>#REF!</v>
      </c>
      <c r="C100" s="1522"/>
      <c r="D100" s="1520"/>
      <c r="E100" s="633"/>
      <c r="F100" s="633"/>
      <c r="G100" s="1206"/>
      <c r="H100" s="1218"/>
      <c r="I100" s="1219"/>
      <c r="J100" s="1218"/>
    </row>
    <row r="101" spans="1:12" s="1220" customFormat="1">
      <c r="A101" s="750" t="e">
        <f>+#REF!</f>
        <v>#REF!</v>
      </c>
      <c r="B101" s="677" t="e">
        <f>+#REF!</f>
        <v>#REF!</v>
      </c>
      <c r="C101" s="1522" t="e">
        <f>#REF!</f>
        <v>#REF!</v>
      </c>
      <c r="D101" s="1520">
        <f>+D85*0.1</f>
        <v>5372.9293800000005</v>
      </c>
      <c r="E101" s="633" t="e">
        <f>+#REF!</f>
        <v>#REF!</v>
      </c>
      <c r="F101" s="633" t="e">
        <f t="shared" si="5"/>
        <v>#REF!</v>
      </c>
      <c r="G101" s="1206"/>
      <c r="H101" s="1218"/>
      <c r="I101" s="1219"/>
      <c r="J101" s="1218"/>
    </row>
    <row r="102" spans="1:12" s="1220" customFormat="1">
      <c r="A102" s="751" t="e">
        <f>+#REF!</f>
        <v>#REF!</v>
      </c>
      <c r="B102" s="753" t="e">
        <f>+#REF!</f>
        <v>#REF!</v>
      </c>
      <c r="C102" s="1523" t="e">
        <f>#REF!</f>
        <v>#REF!</v>
      </c>
      <c r="D102" s="1521">
        <f>+D86*0.2</f>
        <v>5011.4736000000012</v>
      </c>
      <c r="E102" s="527" t="e">
        <f>+#REF!</f>
        <v>#REF!</v>
      </c>
      <c r="F102" s="527" t="e">
        <f t="shared" si="5"/>
        <v>#REF!</v>
      </c>
      <c r="G102" s="1206"/>
      <c r="H102" s="1218"/>
      <c r="I102" s="1219"/>
      <c r="J102" s="1218"/>
    </row>
    <row r="103" spans="1:12" s="1220" customFormat="1">
      <c r="A103" s="689" t="e">
        <f>+#REF!</f>
        <v>#REF!</v>
      </c>
      <c r="B103" s="1270" t="e">
        <f>+#REF!</f>
        <v>#REF!</v>
      </c>
      <c r="C103" s="1264"/>
      <c r="D103" s="1519"/>
      <c r="E103" s="641"/>
      <c r="F103" s="641"/>
      <c r="G103" s="1206"/>
      <c r="H103" s="1218"/>
      <c r="I103" s="1219"/>
      <c r="J103" s="1218"/>
    </row>
    <row r="104" spans="1:12" s="1220" customFormat="1">
      <c r="A104" s="750" t="e">
        <f>+#REF!</f>
        <v>#REF!</v>
      </c>
      <c r="B104" s="677" t="e">
        <f>+#REF!</f>
        <v>#REF!</v>
      </c>
      <c r="C104" s="1522" t="e">
        <f>#REF!</f>
        <v>#REF!</v>
      </c>
      <c r="D104" s="1520">
        <f>+D101</f>
        <v>5372.9293800000005</v>
      </c>
      <c r="E104" s="633" t="e">
        <f>+#REF!</f>
        <v>#REF!</v>
      </c>
      <c r="F104" s="633" t="e">
        <f t="shared" si="5"/>
        <v>#REF!</v>
      </c>
      <c r="G104" s="1206"/>
      <c r="H104" s="1218"/>
      <c r="I104" s="1219"/>
      <c r="J104" s="1218"/>
    </row>
    <row r="105" spans="1:12" s="1220" customFormat="1">
      <c r="A105" s="751" t="e">
        <f>+#REF!</f>
        <v>#REF!</v>
      </c>
      <c r="B105" s="753" t="e">
        <f>+#REF!</f>
        <v>#REF!</v>
      </c>
      <c r="C105" s="1523" t="e">
        <f>#REF!</f>
        <v>#REF!</v>
      </c>
      <c r="D105" s="1521">
        <f>+D102</f>
        <v>5011.4736000000012</v>
      </c>
      <c r="E105" s="527" t="e">
        <f>+#REF!</f>
        <v>#REF!</v>
      </c>
      <c r="F105" s="527" t="e">
        <f t="shared" si="5"/>
        <v>#REF!</v>
      </c>
      <c r="G105" s="1206"/>
      <c r="H105" s="1218"/>
      <c r="I105" s="1219"/>
      <c r="J105" s="1218"/>
    </row>
    <row r="106" spans="1:12" s="1220" customFormat="1" ht="18.75">
      <c r="A106" s="677"/>
      <c r="B106" s="460"/>
      <c r="C106" s="1651"/>
      <c r="D106" s="1606"/>
      <c r="E106" s="1609" t="s">
        <v>109</v>
      </c>
      <c r="F106" s="1122" t="e">
        <f>SUM(F79:F105)</f>
        <v>#REF!</v>
      </c>
      <c r="G106" s="1206"/>
      <c r="H106" s="1218"/>
      <c r="I106" s="1219"/>
      <c r="J106" s="1218"/>
    </row>
    <row r="107" spans="1:12" s="1203" customFormat="1" ht="15" customHeight="1">
      <c r="A107" s="455"/>
      <c r="B107" s="12"/>
      <c r="C107" s="13"/>
      <c r="D107" s="76"/>
      <c r="E107" s="91"/>
      <c r="F107" s="91"/>
      <c r="G107" s="1198"/>
      <c r="H107" s="1201"/>
      <c r="I107" s="1202"/>
      <c r="J107" s="1201"/>
      <c r="L107" s="1203">
        <f>5.9/2</f>
        <v>2.95</v>
      </c>
    </row>
    <row r="108" spans="1:12" s="1203" customFormat="1" ht="24.95" customHeight="1">
      <c r="A108" s="1905" t="e">
        <f>+#REF!</f>
        <v>#REF!</v>
      </c>
      <c r="B108" s="1906"/>
      <c r="C108" s="1906"/>
      <c r="D108" s="1906"/>
      <c r="E108" s="1906"/>
      <c r="F108" s="1907"/>
      <c r="G108" s="1198"/>
      <c r="H108" s="1201"/>
      <c r="I108" s="1202"/>
      <c r="J108" s="1201"/>
      <c r="L108" s="1203">
        <f>2.95*2</f>
        <v>5.9</v>
      </c>
    </row>
    <row r="109" spans="1:12" s="1220" customFormat="1">
      <c r="A109" s="745" t="e">
        <f>+#REF!</f>
        <v>#REF!</v>
      </c>
      <c r="B109" s="830" t="e">
        <f>+#REF!</f>
        <v>#REF!</v>
      </c>
      <c r="C109" s="1478"/>
      <c r="D109" s="543"/>
      <c r="E109" s="641"/>
      <c r="F109" s="1142"/>
      <c r="G109" s="1206"/>
      <c r="H109" s="1218"/>
      <c r="I109" s="1219"/>
      <c r="J109" s="1218"/>
      <c r="L109" s="1220">
        <v>6.1</v>
      </c>
    </row>
    <row r="110" spans="1:12" s="1220" customFormat="1">
      <c r="A110" s="639"/>
      <c r="B110" s="681"/>
      <c r="C110" s="1523" t="e">
        <f>#REF!</f>
        <v>#REF!</v>
      </c>
      <c r="D110" s="1521">
        <f>J110</f>
        <v>34663.200000000004</v>
      </c>
      <c r="E110" s="527" t="e">
        <f>#REF!</f>
        <v>#REF!</v>
      </c>
      <c r="F110" s="527" t="e">
        <f>+D110*E110</f>
        <v>#REF!</v>
      </c>
      <c r="G110" s="1206"/>
      <c r="H110" s="1241">
        <f>12752+14883+1217+950*2.8</f>
        <v>31512</v>
      </c>
      <c r="I110" s="1219">
        <v>1.1000000000000001</v>
      </c>
      <c r="J110" s="1218">
        <f>H110*I110</f>
        <v>34663.200000000004</v>
      </c>
      <c r="L110" s="1220">
        <f>2*9</f>
        <v>18</v>
      </c>
    </row>
    <row r="111" spans="1:12" s="1220" customFormat="1">
      <c r="A111" s="745" t="e">
        <f>+#REF!</f>
        <v>#REF!</v>
      </c>
      <c r="B111" s="830" t="e">
        <f>+#REF!</f>
        <v>#REF!</v>
      </c>
      <c r="C111" s="1478"/>
      <c r="D111" s="543"/>
      <c r="E111" s="641"/>
      <c r="F111" s="1142"/>
      <c r="G111" s="1206"/>
      <c r="H111" s="1218"/>
      <c r="I111" s="1219"/>
      <c r="J111" s="1218"/>
      <c r="L111" s="1220">
        <f>2*2</f>
        <v>4</v>
      </c>
    </row>
    <row r="112" spans="1:12" s="1220" customFormat="1">
      <c r="A112" s="639"/>
      <c r="B112" s="681"/>
      <c r="C112" s="1523" t="e">
        <f>#REF!</f>
        <v>#REF!</v>
      </c>
      <c r="D112" s="1521">
        <f>J112</f>
        <v>15865.740000000002</v>
      </c>
      <c r="E112" s="527" t="e">
        <f>#REF!</f>
        <v>#REF!</v>
      </c>
      <c r="F112" s="527" t="e">
        <f>+D112*E112</f>
        <v>#REF!</v>
      </c>
      <c r="G112" s="1206"/>
      <c r="H112" s="1241">
        <f>H110-(6.3*2.4*F8)-(4.3*2.4*F3)-(1+0.25*2+0.1*2)*(1.5+0.25*2+0.1)*F9</f>
        <v>13221.450000000003</v>
      </c>
      <c r="I112" s="1219">
        <v>1.2</v>
      </c>
      <c r="J112" s="1218">
        <f>H112*I112</f>
        <v>15865.740000000002</v>
      </c>
      <c r="L112" s="1220">
        <f>2*3</f>
        <v>6</v>
      </c>
    </row>
    <row r="113" spans="1:189" s="1220" customFormat="1">
      <c r="A113" s="745" t="e">
        <f>+#REF!</f>
        <v>#REF!</v>
      </c>
      <c r="B113" s="830" t="e">
        <f>+#REF!</f>
        <v>#REF!</v>
      </c>
      <c r="C113" s="1478"/>
      <c r="D113" s="543"/>
      <c r="E113" s="641"/>
      <c r="F113" s="1142"/>
      <c r="G113" s="1206"/>
      <c r="H113" s="1218"/>
      <c r="I113" s="1219"/>
      <c r="J113" s="1218"/>
    </row>
    <row r="114" spans="1:189" s="1220" customFormat="1">
      <c r="A114" s="639"/>
      <c r="B114" s="681"/>
      <c r="C114" s="1523" t="e">
        <f>#REF!</f>
        <v>#REF!</v>
      </c>
      <c r="D114" s="1521">
        <v>100</v>
      </c>
      <c r="E114" s="527" t="e">
        <f>#REF!</f>
        <v>#REF!</v>
      </c>
      <c r="F114" s="527" t="e">
        <f>+D114*E114</f>
        <v>#REF!</v>
      </c>
      <c r="G114" s="1206"/>
      <c r="H114" s="1218"/>
      <c r="I114" s="1219"/>
      <c r="J114" s="1218"/>
    </row>
    <row r="115" spans="1:189" s="1220" customFormat="1">
      <c r="A115" s="745" t="e">
        <f>+#REF!</f>
        <v>#REF!</v>
      </c>
      <c r="B115" s="830" t="e">
        <f>+#REF!</f>
        <v>#REF!</v>
      </c>
      <c r="C115" s="1478"/>
      <c r="D115" s="543"/>
      <c r="E115" s="641"/>
      <c r="F115" s="1142"/>
      <c r="G115" s="1206"/>
      <c r="H115" s="1218"/>
      <c r="I115" s="1219"/>
      <c r="J115" s="1218"/>
    </row>
    <row r="116" spans="1:189" s="1220" customFormat="1">
      <c r="A116" s="639"/>
      <c r="B116" s="681"/>
      <c r="C116" s="1523" t="e">
        <f>#REF!</f>
        <v>#REF!</v>
      </c>
      <c r="D116" s="1521">
        <v>350</v>
      </c>
      <c r="E116" s="527" t="e">
        <f>#REF!</f>
        <v>#REF!</v>
      </c>
      <c r="F116" s="527" t="e">
        <f>+D116*E116</f>
        <v>#REF!</v>
      </c>
      <c r="G116" s="1206"/>
      <c r="H116" s="1218"/>
      <c r="I116" s="1219"/>
      <c r="J116" s="1218">
        <f>6.2+2</f>
        <v>8.1999999999999993</v>
      </c>
      <c r="K116" s="1220">
        <f>2</f>
        <v>2</v>
      </c>
    </row>
    <row r="117" spans="1:189" s="1220" customFormat="1">
      <c r="A117" s="745" t="e">
        <f>+#REF!</f>
        <v>#REF!</v>
      </c>
      <c r="B117" s="830" t="e">
        <f>+#REF!</f>
        <v>#REF!</v>
      </c>
      <c r="C117" s="1478"/>
      <c r="D117" s="543"/>
      <c r="E117" s="641"/>
      <c r="F117" s="1142"/>
      <c r="G117" s="1206"/>
      <c r="H117" s="1218"/>
      <c r="I117" s="1219"/>
      <c r="J117" s="1218"/>
      <c r="K117" s="1220">
        <f>J116*K116/2</f>
        <v>8.1999999999999993</v>
      </c>
    </row>
    <row r="118" spans="1:189" s="1220" customFormat="1">
      <c r="A118" s="639" t="e">
        <f>+#REF!</f>
        <v>#REF!</v>
      </c>
      <c r="B118" s="681" t="e">
        <f>+#REF!</f>
        <v>#REF!</v>
      </c>
      <c r="C118" s="1523" t="e">
        <f>#REF!</f>
        <v>#REF!</v>
      </c>
      <c r="D118" s="1521">
        <f>(D122)*110</f>
        <v>33000</v>
      </c>
      <c r="E118" s="527" t="e">
        <f>#REF!</f>
        <v>#REF!</v>
      </c>
      <c r="F118" s="527" t="e">
        <f>+D118*E118</f>
        <v>#REF!</v>
      </c>
      <c r="G118" s="1206"/>
      <c r="H118" s="1218"/>
      <c r="I118" s="1219"/>
      <c r="J118" s="1218"/>
    </row>
    <row r="119" spans="1:189" s="1220" customFormat="1">
      <c r="A119" s="745" t="e">
        <f>+#REF!</f>
        <v>#REF!</v>
      </c>
      <c r="B119" s="830" t="e">
        <f>+#REF!</f>
        <v>#REF!</v>
      </c>
      <c r="C119" s="1478"/>
      <c r="D119" s="543"/>
      <c r="E119" s="641"/>
      <c r="F119" s="1142"/>
      <c r="G119" s="1206"/>
      <c r="H119" s="1218"/>
      <c r="I119" s="1219"/>
      <c r="J119" s="1218"/>
      <c r="L119" s="1220">
        <f>0.1+0.25+0.25+0.25+0.1</f>
        <v>0.95</v>
      </c>
    </row>
    <row r="120" spans="1:189" s="1220" customFormat="1">
      <c r="A120" s="639"/>
      <c r="B120" s="681"/>
      <c r="C120" s="1523" t="e">
        <f>#REF!</f>
        <v>#REF!</v>
      </c>
      <c r="D120" s="1521">
        <v>150</v>
      </c>
      <c r="E120" s="527" t="e">
        <f>#REF!</f>
        <v>#REF!</v>
      </c>
      <c r="F120" s="527" t="e">
        <f>+D120*E120</f>
        <v>#REF!</v>
      </c>
      <c r="G120" s="1206"/>
      <c r="H120" s="1218"/>
      <c r="I120" s="1219"/>
      <c r="J120" s="1218"/>
      <c r="L120" s="1220">
        <f>1*2+L119</f>
        <v>2.95</v>
      </c>
      <c r="N120" s="1220">
        <f>0.1+0.25+1.8+0.25</f>
        <v>2.4</v>
      </c>
    </row>
    <row r="121" spans="1:189" s="1220" customFormat="1">
      <c r="A121" s="745" t="e">
        <f>+#REF!</f>
        <v>#REF!</v>
      </c>
      <c r="B121" s="830" t="e">
        <f>+#REF!</f>
        <v>#REF!</v>
      </c>
      <c r="C121" s="1478"/>
      <c r="D121" s="543"/>
      <c r="E121" s="641"/>
      <c r="F121" s="1142"/>
      <c r="G121" s="1206"/>
      <c r="H121" s="1218"/>
      <c r="I121" s="1219"/>
      <c r="J121" s="1218"/>
    </row>
    <row r="122" spans="1:189" s="1220" customFormat="1">
      <c r="A122" s="639"/>
      <c r="B122" s="681"/>
      <c r="C122" s="1523" t="e">
        <f>#REF!</f>
        <v>#REF!</v>
      </c>
      <c r="D122" s="1521">
        <v>300</v>
      </c>
      <c r="E122" s="527" t="e">
        <f>#REF!</f>
        <v>#REF!</v>
      </c>
      <c r="F122" s="527" t="e">
        <f>+D122*E122</f>
        <v>#REF!</v>
      </c>
      <c r="G122" s="1206"/>
      <c r="H122" s="1218"/>
      <c r="I122" s="1219"/>
      <c r="J122" s="1218"/>
    </row>
    <row r="123" spans="1:189" s="1220" customFormat="1" ht="30" customHeight="1">
      <c r="A123" s="794" t="e">
        <f>+#REF!</f>
        <v>#REF!</v>
      </c>
      <c r="B123" s="1270" t="e">
        <f>+#REF!</f>
        <v>#REF!</v>
      </c>
      <c r="C123" s="1490"/>
      <c r="D123" s="784"/>
      <c r="E123" s="641"/>
      <c r="F123" s="641"/>
      <c r="G123" s="1206"/>
      <c r="H123" s="1218"/>
      <c r="I123" s="1219"/>
      <c r="J123" s="1218"/>
    </row>
    <row r="124" spans="1:189" s="1220" customFormat="1">
      <c r="A124" s="750" t="e">
        <f>+#REF!</f>
        <v>#REF!</v>
      </c>
      <c r="B124" s="677" t="e">
        <f>+#REF!</f>
        <v>#REF!</v>
      </c>
      <c r="C124" s="1485" t="e">
        <f>#REF!</f>
        <v>#REF!</v>
      </c>
      <c r="D124" s="757">
        <f>J124</f>
        <v>579.50750000000005</v>
      </c>
      <c r="E124" s="633" t="e">
        <f>#REF!</f>
        <v>#REF!</v>
      </c>
      <c r="F124" s="633" t="e">
        <f>+D124*E124</f>
        <v>#REF!</v>
      </c>
      <c r="G124" s="1206"/>
      <c r="H124" s="1218">
        <f>5%*J60</f>
        <v>526.82500000000005</v>
      </c>
      <c r="I124" s="1219">
        <v>1.1000000000000001</v>
      </c>
      <c r="J124" s="1218">
        <f>H124*I124</f>
        <v>579.50750000000005</v>
      </c>
    </row>
    <row r="125" spans="1:189" s="1220" customFormat="1">
      <c r="A125" s="750" t="e">
        <f>+#REF!</f>
        <v>#REF!</v>
      </c>
      <c r="B125" s="677" t="e">
        <f>+#REF!</f>
        <v>#REF!</v>
      </c>
      <c r="C125" s="1485" t="e">
        <f>#REF!</f>
        <v>#REF!</v>
      </c>
      <c r="D125" s="757">
        <f>J125</f>
        <v>463.60600000000005</v>
      </c>
      <c r="E125" s="633" t="e">
        <f>#REF!</f>
        <v>#REF!</v>
      </c>
      <c r="F125" s="633" t="e">
        <f>+D125*E125</f>
        <v>#REF!</v>
      </c>
      <c r="G125" s="1206"/>
      <c r="H125" s="1218">
        <f>2%*H60</f>
        <v>421.46000000000004</v>
      </c>
      <c r="I125" s="1219">
        <v>1.1000000000000001</v>
      </c>
      <c r="J125" s="1218">
        <f>H125*I125</f>
        <v>463.60600000000005</v>
      </c>
    </row>
    <row r="126" spans="1:189" s="1220" customFormat="1">
      <c r="A126" s="751" t="e">
        <f>+#REF!</f>
        <v>#REF!</v>
      </c>
      <c r="B126" s="753" t="e">
        <f>+#REF!</f>
        <v>#REF!</v>
      </c>
      <c r="C126" s="1408" t="e">
        <f>#REF!</f>
        <v>#REF!</v>
      </c>
      <c r="D126" s="758">
        <f>H126</f>
        <v>10</v>
      </c>
      <c r="E126" s="527" t="e">
        <f>#REF!</f>
        <v>#REF!</v>
      </c>
      <c r="F126" s="527" t="e">
        <f>+D126*E126</f>
        <v>#REF!</v>
      </c>
      <c r="G126" s="1206"/>
      <c r="H126" s="1218">
        <f>10</f>
        <v>10</v>
      </c>
      <c r="I126" s="1219"/>
      <c r="J126" s="1218"/>
    </row>
    <row r="127" spans="1:189" s="1220" customFormat="1">
      <c r="A127" s="689" t="e">
        <f>+#REF!</f>
        <v>#REF!</v>
      </c>
      <c r="B127" s="711" t="e">
        <f>+#REF!</f>
        <v>#REF!</v>
      </c>
      <c r="C127" s="1490"/>
      <c r="D127" s="784"/>
      <c r="E127" s="641"/>
      <c r="F127" s="641"/>
      <c r="G127" s="1206"/>
      <c r="H127" s="1218"/>
      <c r="I127" s="1219"/>
      <c r="J127" s="1218"/>
      <c r="L127" s="1220">
        <f>+(10+7)*2*2</f>
        <v>68</v>
      </c>
    </row>
    <row r="128" spans="1:189" s="1206" customFormat="1">
      <c r="A128" s="751" t="e">
        <f>+#REF!</f>
        <v>#REF!</v>
      </c>
      <c r="B128" s="753" t="e">
        <f>+#REF!</f>
        <v>#REF!</v>
      </c>
      <c r="C128" s="1482" t="e">
        <f>#REF!</f>
        <v>#REF!</v>
      </c>
      <c r="D128" s="758">
        <f>5*60</f>
        <v>300</v>
      </c>
      <c r="E128" s="527" t="e">
        <f>#REF!</f>
        <v>#REF!</v>
      </c>
      <c r="F128" s="527" t="e">
        <f>+D128*E128</f>
        <v>#REF!</v>
      </c>
      <c r="H128" s="1218"/>
      <c r="I128" s="1219"/>
      <c r="J128" s="1218"/>
      <c r="K128" s="1220"/>
      <c r="L128" s="1242" t="e">
        <f>+#REF!+#REF!</f>
        <v>#REF!</v>
      </c>
      <c r="M128" s="1220"/>
      <c r="N128" s="1220"/>
      <c r="O128" s="1220"/>
      <c r="P128" s="1220"/>
      <c r="Q128" s="1220"/>
      <c r="R128" s="1220"/>
      <c r="S128" s="1220"/>
      <c r="T128" s="1220"/>
      <c r="U128" s="1220"/>
      <c r="V128" s="1220"/>
      <c r="W128" s="1220"/>
      <c r="X128" s="1220"/>
      <c r="Y128" s="1220"/>
      <c r="Z128" s="1220"/>
      <c r="AA128" s="1220"/>
      <c r="AB128" s="1220"/>
      <c r="AC128" s="1220"/>
      <c r="AD128" s="1220"/>
      <c r="AE128" s="1220"/>
      <c r="AF128" s="1220"/>
      <c r="AG128" s="1220"/>
      <c r="AH128" s="1220"/>
      <c r="AI128" s="1220"/>
      <c r="AJ128" s="1220"/>
      <c r="AK128" s="1220"/>
      <c r="AL128" s="1220"/>
      <c r="AM128" s="1220"/>
      <c r="AN128" s="1220"/>
      <c r="AO128" s="1220"/>
      <c r="AP128" s="1220"/>
      <c r="AQ128" s="1220"/>
      <c r="AR128" s="1220"/>
      <c r="AS128" s="1220"/>
      <c r="AT128" s="1220"/>
      <c r="AU128" s="1220"/>
      <c r="AV128" s="1220"/>
      <c r="AW128" s="1220"/>
      <c r="AX128" s="1220"/>
      <c r="AY128" s="1220"/>
      <c r="AZ128" s="1220"/>
      <c r="BA128" s="1220"/>
      <c r="BB128" s="1220"/>
      <c r="BC128" s="1220"/>
      <c r="BD128" s="1220"/>
      <c r="BE128" s="1220"/>
      <c r="BF128" s="1220"/>
      <c r="BG128" s="1220"/>
      <c r="BH128" s="1220"/>
      <c r="BI128" s="1220"/>
      <c r="BJ128" s="1220"/>
      <c r="BK128" s="1220"/>
      <c r="BL128" s="1220"/>
      <c r="BM128" s="1220"/>
      <c r="BN128" s="1220"/>
      <c r="BO128" s="1220"/>
      <c r="BP128" s="1220"/>
      <c r="BQ128" s="1220"/>
      <c r="BR128" s="1220"/>
      <c r="BS128" s="1220"/>
      <c r="BT128" s="1220"/>
      <c r="BU128" s="1220"/>
      <c r="BV128" s="1220"/>
      <c r="BW128" s="1220"/>
      <c r="BX128" s="1220"/>
      <c r="BY128" s="1220"/>
      <c r="BZ128" s="1220"/>
      <c r="CA128" s="1220"/>
      <c r="CB128" s="1220"/>
      <c r="CC128" s="1220"/>
      <c r="CD128" s="1220"/>
      <c r="CE128" s="1220"/>
      <c r="CF128" s="1220"/>
      <c r="CG128" s="1220"/>
      <c r="CH128" s="1220"/>
      <c r="CI128" s="1220"/>
      <c r="CJ128" s="1220"/>
      <c r="CK128" s="1220"/>
      <c r="CL128" s="1220"/>
      <c r="CM128" s="1220"/>
      <c r="CN128" s="1220"/>
      <c r="CO128" s="1220"/>
      <c r="CP128" s="1220"/>
      <c r="CQ128" s="1220"/>
      <c r="CR128" s="1220"/>
      <c r="CS128" s="1220"/>
      <c r="CT128" s="1220"/>
      <c r="CU128" s="1220"/>
      <c r="CV128" s="1220"/>
      <c r="CW128" s="1220"/>
      <c r="CX128" s="1220"/>
      <c r="CY128" s="1220"/>
      <c r="CZ128" s="1220"/>
      <c r="DA128" s="1220"/>
      <c r="DB128" s="1220"/>
      <c r="DC128" s="1220"/>
      <c r="DD128" s="1220"/>
      <c r="DE128" s="1220"/>
      <c r="DF128" s="1220"/>
      <c r="DG128" s="1220"/>
      <c r="DH128" s="1220"/>
      <c r="DI128" s="1220"/>
      <c r="DJ128" s="1220"/>
      <c r="DK128" s="1220"/>
      <c r="DL128" s="1220"/>
      <c r="DM128" s="1220"/>
      <c r="DN128" s="1220"/>
      <c r="DO128" s="1220"/>
      <c r="DP128" s="1220"/>
      <c r="DQ128" s="1220"/>
      <c r="DR128" s="1220"/>
      <c r="DS128" s="1220"/>
      <c r="DT128" s="1220"/>
      <c r="DU128" s="1220"/>
      <c r="DV128" s="1220"/>
      <c r="DW128" s="1220"/>
      <c r="DX128" s="1220"/>
      <c r="DY128" s="1220"/>
      <c r="DZ128" s="1220"/>
      <c r="EA128" s="1220"/>
      <c r="EB128" s="1220"/>
      <c r="EC128" s="1220"/>
      <c r="ED128" s="1220"/>
      <c r="EE128" s="1220"/>
      <c r="EF128" s="1220"/>
      <c r="EG128" s="1220"/>
      <c r="EH128" s="1220"/>
      <c r="EI128" s="1220"/>
      <c r="EJ128" s="1220"/>
      <c r="EK128" s="1220"/>
      <c r="EL128" s="1220"/>
      <c r="EM128" s="1220"/>
      <c r="EN128" s="1220"/>
      <c r="EO128" s="1220"/>
      <c r="EP128" s="1220"/>
      <c r="EQ128" s="1220"/>
      <c r="ER128" s="1220"/>
      <c r="ES128" s="1220"/>
      <c r="ET128" s="1220"/>
      <c r="EU128" s="1220"/>
      <c r="EV128" s="1220"/>
      <c r="EW128" s="1220"/>
      <c r="EX128" s="1220"/>
      <c r="EY128" s="1220"/>
      <c r="EZ128" s="1220"/>
      <c r="FA128" s="1220"/>
      <c r="FB128" s="1220"/>
      <c r="FC128" s="1220"/>
      <c r="FD128" s="1220"/>
      <c r="FE128" s="1220"/>
      <c r="FF128" s="1220"/>
      <c r="FG128" s="1220"/>
      <c r="FH128" s="1220"/>
      <c r="FI128" s="1220"/>
      <c r="FJ128" s="1220"/>
      <c r="FK128" s="1220"/>
      <c r="FL128" s="1220"/>
      <c r="FM128" s="1220"/>
      <c r="FN128" s="1220"/>
      <c r="FO128" s="1220"/>
      <c r="FP128" s="1220"/>
      <c r="FQ128" s="1220"/>
      <c r="FR128" s="1220"/>
      <c r="FS128" s="1220"/>
      <c r="FT128" s="1220"/>
      <c r="FU128" s="1220"/>
      <c r="FV128" s="1220"/>
      <c r="FW128" s="1220"/>
      <c r="FX128" s="1220"/>
      <c r="FY128" s="1220"/>
      <c r="FZ128" s="1220"/>
      <c r="GA128" s="1220"/>
      <c r="GB128" s="1220"/>
      <c r="GC128" s="1220"/>
      <c r="GD128" s="1220"/>
      <c r="GE128" s="1220"/>
      <c r="GF128" s="1220"/>
      <c r="GG128" s="1220"/>
    </row>
    <row r="129" spans="1:189" s="1243" customFormat="1">
      <c r="A129" s="689" t="e">
        <f>+#REF!</f>
        <v>#REF!</v>
      </c>
      <c r="B129" s="1270" t="e">
        <f>+#REF!</f>
        <v>#REF!</v>
      </c>
      <c r="C129" s="1407"/>
      <c r="D129" s="662"/>
      <c r="E129" s="641"/>
      <c r="F129" s="641"/>
      <c r="H129" s="1244"/>
      <c r="I129" s="1245"/>
      <c r="J129" s="1244"/>
      <c r="K129" s="1246"/>
      <c r="L129" s="1246"/>
      <c r="M129" s="1246"/>
      <c r="N129" s="1246"/>
      <c r="O129" s="1246"/>
      <c r="P129" s="1246"/>
      <c r="Q129" s="1246"/>
      <c r="R129" s="1246"/>
      <c r="S129" s="1246"/>
      <c r="T129" s="1246"/>
      <c r="U129" s="1246"/>
      <c r="V129" s="1246"/>
      <c r="W129" s="1246"/>
      <c r="X129" s="1246"/>
      <c r="Y129" s="1246"/>
      <c r="Z129" s="1246"/>
      <c r="AA129" s="1246"/>
      <c r="AB129" s="1246"/>
      <c r="AC129" s="1246"/>
      <c r="AD129" s="1246"/>
      <c r="AE129" s="1246"/>
      <c r="AF129" s="1246"/>
      <c r="AG129" s="1246"/>
      <c r="AH129" s="1246"/>
      <c r="AI129" s="1246"/>
      <c r="AJ129" s="1246"/>
      <c r="AK129" s="1246"/>
      <c r="AL129" s="1246"/>
      <c r="AM129" s="1246"/>
      <c r="AN129" s="1246"/>
      <c r="AO129" s="1246"/>
      <c r="AP129" s="1246"/>
      <c r="AQ129" s="1246"/>
      <c r="AR129" s="1246"/>
      <c r="AS129" s="1246"/>
      <c r="AT129" s="1246"/>
      <c r="AU129" s="1246"/>
      <c r="AV129" s="1246"/>
      <c r="AW129" s="1246"/>
      <c r="AX129" s="1246"/>
      <c r="AY129" s="1246"/>
      <c r="AZ129" s="1246"/>
      <c r="BA129" s="1246"/>
      <c r="BB129" s="1246"/>
      <c r="BC129" s="1246"/>
      <c r="BD129" s="1246"/>
      <c r="BE129" s="1246"/>
      <c r="BF129" s="1246"/>
      <c r="BG129" s="1246"/>
      <c r="BH129" s="1246"/>
      <c r="BI129" s="1246"/>
      <c r="BJ129" s="1246"/>
      <c r="BK129" s="1246"/>
      <c r="BL129" s="1246"/>
      <c r="BM129" s="1246"/>
      <c r="BN129" s="1246"/>
      <c r="BO129" s="1246"/>
      <c r="BP129" s="1246"/>
      <c r="BQ129" s="1246"/>
      <c r="BR129" s="1246"/>
      <c r="BS129" s="1246"/>
      <c r="BT129" s="1246"/>
      <c r="BU129" s="1246"/>
      <c r="BV129" s="1246"/>
      <c r="BW129" s="1246"/>
      <c r="BX129" s="1246"/>
      <c r="BY129" s="1246"/>
      <c r="BZ129" s="1246"/>
      <c r="CA129" s="1246"/>
      <c r="CB129" s="1246"/>
      <c r="CC129" s="1246"/>
      <c r="CD129" s="1246"/>
      <c r="CE129" s="1246"/>
      <c r="CF129" s="1246"/>
      <c r="CG129" s="1246"/>
      <c r="CH129" s="1246"/>
      <c r="CI129" s="1246"/>
      <c r="CJ129" s="1246"/>
      <c r="CK129" s="1246"/>
      <c r="CL129" s="1246"/>
      <c r="CM129" s="1246"/>
      <c r="CN129" s="1246"/>
      <c r="CO129" s="1246"/>
      <c r="CP129" s="1246"/>
      <c r="CQ129" s="1246"/>
      <c r="CR129" s="1246"/>
      <c r="CS129" s="1246"/>
      <c r="CT129" s="1246"/>
      <c r="CU129" s="1246"/>
      <c r="CV129" s="1246"/>
      <c r="CW129" s="1246"/>
      <c r="CX129" s="1246"/>
      <c r="CY129" s="1246"/>
      <c r="CZ129" s="1246"/>
      <c r="DA129" s="1246"/>
      <c r="DB129" s="1246"/>
      <c r="DC129" s="1246"/>
      <c r="DD129" s="1246"/>
      <c r="DE129" s="1246"/>
      <c r="DF129" s="1246"/>
      <c r="DG129" s="1246"/>
      <c r="DH129" s="1246"/>
      <c r="DI129" s="1246"/>
      <c r="DJ129" s="1246"/>
      <c r="DK129" s="1246"/>
      <c r="DL129" s="1246"/>
      <c r="DM129" s="1246"/>
      <c r="DN129" s="1246"/>
      <c r="DO129" s="1246"/>
      <c r="DP129" s="1246"/>
      <c r="DQ129" s="1246"/>
      <c r="DR129" s="1246"/>
      <c r="DS129" s="1246"/>
      <c r="DT129" s="1246"/>
      <c r="DU129" s="1246"/>
      <c r="DV129" s="1246"/>
      <c r="DW129" s="1246"/>
      <c r="DX129" s="1246"/>
      <c r="DY129" s="1246"/>
      <c r="DZ129" s="1246"/>
      <c r="EA129" s="1246"/>
      <c r="EB129" s="1246"/>
      <c r="EC129" s="1246"/>
      <c r="ED129" s="1246"/>
      <c r="EE129" s="1246"/>
      <c r="EF129" s="1246"/>
      <c r="EG129" s="1246"/>
      <c r="EH129" s="1246"/>
      <c r="EI129" s="1246"/>
      <c r="EJ129" s="1246"/>
      <c r="EK129" s="1246"/>
      <c r="EL129" s="1246"/>
      <c r="EM129" s="1246"/>
      <c r="EN129" s="1246"/>
      <c r="EO129" s="1246"/>
      <c r="EP129" s="1246"/>
      <c r="EQ129" s="1246"/>
      <c r="ER129" s="1246"/>
      <c r="ES129" s="1246"/>
      <c r="ET129" s="1246"/>
      <c r="EU129" s="1246"/>
      <c r="EV129" s="1246"/>
      <c r="EW129" s="1246"/>
      <c r="EX129" s="1246"/>
      <c r="EY129" s="1246"/>
      <c r="EZ129" s="1246"/>
      <c r="FA129" s="1246"/>
      <c r="FB129" s="1246"/>
      <c r="FC129" s="1246"/>
      <c r="FD129" s="1246"/>
      <c r="FE129" s="1246"/>
      <c r="FF129" s="1246"/>
      <c r="FG129" s="1246"/>
      <c r="FH129" s="1246"/>
      <c r="FI129" s="1246"/>
      <c r="FJ129" s="1246"/>
      <c r="FK129" s="1246"/>
      <c r="FL129" s="1246"/>
      <c r="FM129" s="1246"/>
      <c r="FN129" s="1246"/>
      <c r="FO129" s="1246"/>
      <c r="FP129" s="1246"/>
      <c r="FQ129" s="1246"/>
      <c r="FR129" s="1246"/>
      <c r="FS129" s="1246"/>
      <c r="FT129" s="1246"/>
      <c r="FU129" s="1246"/>
      <c r="FV129" s="1246"/>
      <c r="FW129" s="1246"/>
      <c r="FX129" s="1246"/>
      <c r="FY129" s="1246"/>
      <c r="FZ129" s="1246"/>
      <c r="GA129" s="1246"/>
      <c r="GB129" s="1246"/>
      <c r="GC129" s="1246"/>
      <c r="GD129" s="1246"/>
      <c r="GE129" s="1246"/>
      <c r="GF129" s="1246"/>
      <c r="GG129" s="1246"/>
    </row>
    <row r="130" spans="1:189" s="1243" customFormat="1">
      <c r="A130" s="750" t="e">
        <f>+#REF!</f>
        <v>#REF!</v>
      </c>
      <c r="B130" s="677" t="e">
        <f>+#REF!</f>
        <v>#REF!</v>
      </c>
      <c r="C130" s="1485" t="e">
        <f>#REF!</f>
        <v>#REF!</v>
      </c>
      <c r="D130" s="654">
        <f>J130</f>
        <v>3748.8</v>
      </c>
      <c r="E130" s="633" t="e">
        <f>#REF!</f>
        <v>#REF!</v>
      </c>
      <c r="F130" s="633" t="e">
        <f t="shared" ref="F130:F137" si="7">+D130*E130</f>
        <v>#REF!</v>
      </c>
      <c r="H130" s="1244">
        <f>F7+43*20*2</f>
        <v>3408</v>
      </c>
      <c r="I130" s="1245">
        <v>1.1000000000000001</v>
      </c>
      <c r="J130" s="1244">
        <f t="shared" ref="J130:J137" si="8">H130*I130</f>
        <v>3748.8</v>
      </c>
      <c r="K130" s="1246"/>
      <c r="L130" s="1246"/>
      <c r="M130" s="1246"/>
      <c r="N130" s="1246"/>
      <c r="O130" s="1246"/>
      <c r="P130" s="1246"/>
      <c r="Q130" s="1246"/>
      <c r="R130" s="1246"/>
      <c r="S130" s="1246"/>
      <c r="T130" s="1246"/>
      <c r="U130" s="1246"/>
      <c r="V130" s="1246"/>
      <c r="W130" s="1246"/>
      <c r="X130" s="1246"/>
      <c r="Y130" s="1246"/>
      <c r="Z130" s="1246"/>
      <c r="AA130" s="1246"/>
      <c r="AB130" s="1246"/>
      <c r="AC130" s="1246"/>
      <c r="AD130" s="1246"/>
      <c r="AE130" s="1246"/>
      <c r="AF130" s="1246"/>
      <c r="AG130" s="1246"/>
      <c r="AH130" s="1246"/>
      <c r="AI130" s="1246"/>
      <c r="AJ130" s="1246"/>
      <c r="AK130" s="1246"/>
      <c r="AL130" s="1246"/>
      <c r="AM130" s="1246"/>
      <c r="AN130" s="1246"/>
      <c r="AO130" s="1246"/>
      <c r="AP130" s="1246"/>
      <c r="AQ130" s="1246"/>
      <c r="AR130" s="1246"/>
      <c r="AS130" s="1246"/>
      <c r="AT130" s="1246"/>
      <c r="AU130" s="1246"/>
      <c r="AV130" s="1246"/>
      <c r="AW130" s="1246"/>
      <c r="AX130" s="1246"/>
      <c r="AY130" s="1246"/>
      <c r="AZ130" s="1246"/>
      <c r="BA130" s="1246"/>
      <c r="BB130" s="1246"/>
      <c r="BC130" s="1246"/>
      <c r="BD130" s="1246"/>
      <c r="BE130" s="1246"/>
      <c r="BF130" s="1246"/>
      <c r="BG130" s="1246"/>
      <c r="BH130" s="1246"/>
      <c r="BI130" s="1246"/>
      <c r="BJ130" s="1246"/>
      <c r="BK130" s="1246"/>
      <c r="BL130" s="1246"/>
      <c r="BM130" s="1246"/>
      <c r="BN130" s="1246"/>
      <c r="BO130" s="1246"/>
      <c r="BP130" s="1246"/>
      <c r="BQ130" s="1246"/>
      <c r="BR130" s="1246"/>
      <c r="BS130" s="1246"/>
      <c r="BT130" s="1246"/>
      <c r="BU130" s="1246"/>
      <c r="BV130" s="1246"/>
      <c r="BW130" s="1246"/>
      <c r="BX130" s="1246"/>
      <c r="BY130" s="1246"/>
      <c r="BZ130" s="1246"/>
      <c r="CA130" s="1246"/>
      <c r="CB130" s="1246"/>
      <c r="CC130" s="1246"/>
      <c r="CD130" s="1246"/>
      <c r="CE130" s="1246"/>
      <c r="CF130" s="1246"/>
      <c r="CG130" s="1246"/>
      <c r="CH130" s="1246"/>
      <c r="CI130" s="1246"/>
      <c r="CJ130" s="1246"/>
      <c r="CK130" s="1246"/>
      <c r="CL130" s="1246"/>
      <c r="CM130" s="1246"/>
      <c r="CN130" s="1246"/>
      <c r="CO130" s="1246"/>
      <c r="CP130" s="1246"/>
      <c r="CQ130" s="1246"/>
      <c r="CR130" s="1246"/>
      <c r="CS130" s="1246"/>
      <c r="CT130" s="1246"/>
      <c r="CU130" s="1246"/>
      <c r="CV130" s="1246"/>
      <c r="CW130" s="1246"/>
      <c r="CX130" s="1246"/>
      <c r="CY130" s="1246"/>
      <c r="CZ130" s="1246"/>
      <c r="DA130" s="1246"/>
      <c r="DB130" s="1246"/>
      <c r="DC130" s="1246"/>
      <c r="DD130" s="1246"/>
      <c r="DE130" s="1246"/>
      <c r="DF130" s="1246"/>
      <c r="DG130" s="1246"/>
      <c r="DH130" s="1246"/>
      <c r="DI130" s="1246"/>
      <c r="DJ130" s="1246"/>
      <c r="DK130" s="1246"/>
      <c r="DL130" s="1246"/>
      <c r="DM130" s="1246"/>
      <c r="DN130" s="1246"/>
      <c r="DO130" s="1246"/>
      <c r="DP130" s="1246"/>
      <c r="DQ130" s="1246"/>
      <c r="DR130" s="1246"/>
      <c r="DS130" s="1246"/>
      <c r="DT130" s="1246"/>
      <c r="DU130" s="1246"/>
      <c r="DV130" s="1246"/>
      <c r="DW130" s="1246"/>
      <c r="DX130" s="1246"/>
      <c r="DY130" s="1246"/>
      <c r="DZ130" s="1246"/>
      <c r="EA130" s="1246"/>
      <c r="EB130" s="1246"/>
      <c r="EC130" s="1246"/>
      <c r="ED130" s="1246"/>
      <c r="EE130" s="1246"/>
      <c r="EF130" s="1246"/>
      <c r="EG130" s="1246"/>
      <c r="EH130" s="1246"/>
      <c r="EI130" s="1246"/>
      <c r="EJ130" s="1246"/>
      <c r="EK130" s="1246"/>
      <c r="EL130" s="1246"/>
      <c r="EM130" s="1246"/>
      <c r="EN130" s="1246"/>
      <c r="EO130" s="1246"/>
      <c r="EP130" s="1246"/>
      <c r="EQ130" s="1246"/>
      <c r="ER130" s="1246"/>
      <c r="ES130" s="1246"/>
      <c r="ET130" s="1246"/>
      <c r="EU130" s="1246"/>
      <c r="EV130" s="1246"/>
      <c r="EW130" s="1246"/>
      <c r="EX130" s="1246"/>
      <c r="EY130" s="1246"/>
      <c r="EZ130" s="1246"/>
      <c r="FA130" s="1246"/>
      <c r="FB130" s="1246"/>
      <c r="FC130" s="1246"/>
      <c r="FD130" s="1246"/>
      <c r="FE130" s="1246"/>
      <c r="FF130" s="1246"/>
      <c r="FG130" s="1246"/>
      <c r="FH130" s="1246"/>
      <c r="FI130" s="1246"/>
      <c r="FJ130" s="1246"/>
      <c r="FK130" s="1246"/>
      <c r="FL130" s="1246"/>
      <c r="FM130" s="1246"/>
      <c r="FN130" s="1246"/>
      <c r="FO130" s="1246"/>
      <c r="FP130" s="1246"/>
      <c r="FQ130" s="1246"/>
      <c r="FR130" s="1246"/>
      <c r="FS130" s="1246"/>
      <c r="FT130" s="1246"/>
      <c r="FU130" s="1246"/>
      <c r="FV130" s="1246"/>
      <c r="FW130" s="1246"/>
      <c r="FX130" s="1246"/>
      <c r="FY130" s="1246"/>
      <c r="FZ130" s="1246"/>
      <c r="GA130" s="1246"/>
      <c r="GB130" s="1246"/>
      <c r="GC130" s="1246"/>
      <c r="GD130" s="1246"/>
      <c r="GE130" s="1246"/>
      <c r="GF130" s="1246"/>
      <c r="GG130" s="1246"/>
    </row>
    <row r="131" spans="1:189" s="1243" customFormat="1">
      <c r="A131" s="750" t="e">
        <f>+#REF!</f>
        <v>#REF!</v>
      </c>
      <c r="B131" s="677" t="e">
        <f>+#REF!</f>
        <v>#REF!</v>
      </c>
      <c r="C131" s="1485" t="e">
        <f>#REF!</f>
        <v>#REF!</v>
      </c>
      <c r="D131" s="654">
        <f t="shared" ref="D131:D137" si="9">J131</f>
        <v>1100</v>
      </c>
      <c r="E131" s="633" t="e">
        <f>#REF!</f>
        <v>#REF!</v>
      </c>
      <c r="F131" s="633" t="e">
        <f t="shared" si="7"/>
        <v>#REF!</v>
      </c>
      <c r="H131" s="1244">
        <f>F6</f>
        <v>1000</v>
      </c>
      <c r="I131" s="1245">
        <v>1.1000000000000001</v>
      </c>
      <c r="J131" s="1244">
        <f t="shared" si="8"/>
        <v>1100</v>
      </c>
      <c r="K131" s="1246"/>
      <c r="L131" s="1246"/>
      <c r="M131" s="1246"/>
      <c r="N131" s="1246"/>
      <c r="O131" s="1246"/>
      <c r="P131" s="1246"/>
      <c r="Q131" s="1246"/>
      <c r="R131" s="1246"/>
      <c r="S131" s="1246"/>
      <c r="T131" s="1246"/>
      <c r="U131" s="1246"/>
      <c r="V131" s="1246"/>
      <c r="W131" s="1246"/>
      <c r="X131" s="1246"/>
      <c r="Y131" s="1246"/>
      <c r="Z131" s="1246"/>
      <c r="AA131" s="1246"/>
      <c r="AB131" s="1246"/>
      <c r="AC131" s="1246"/>
      <c r="AD131" s="1246"/>
      <c r="AE131" s="1246"/>
      <c r="AF131" s="1246"/>
      <c r="AG131" s="1246"/>
      <c r="AH131" s="1246"/>
      <c r="AI131" s="1246"/>
      <c r="AJ131" s="1246"/>
      <c r="AK131" s="1246"/>
      <c r="AL131" s="1246"/>
      <c r="AM131" s="1246"/>
      <c r="AN131" s="1246"/>
      <c r="AO131" s="1246"/>
      <c r="AP131" s="1246"/>
      <c r="AQ131" s="1246"/>
      <c r="AR131" s="1246"/>
      <c r="AS131" s="1246"/>
      <c r="AT131" s="1246"/>
      <c r="AU131" s="1246"/>
      <c r="AV131" s="1246"/>
      <c r="AW131" s="1246"/>
      <c r="AX131" s="1246"/>
      <c r="AY131" s="1246"/>
      <c r="AZ131" s="1246"/>
      <c r="BA131" s="1246"/>
      <c r="BB131" s="1246"/>
      <c r="BC131" s="1246"/>
      <c r="BD131" s="1246"/>
      <c r="BE131" s="1246"/>
      <c r="BF131" s="1246"/>
      <c r="BG131" s="1246"/>
      <c r="BH131" s="1246"/>
      <c r="BI131" s="1246"/>
      <c r="BJ131" s="1246"/>
      <c r="BK131" s="1246"/>
      <c r="BL131" s="1246"/>
      <c r="BM131" s="1246"/>
      <c r="BN131" s="1246"/>
      <c r="BO131" s="1246"/>
      <c r="BP131" s="1246"/>
      <c r="BQ131" s="1246"/>
      <c r="BR131" s="1246"/>
      <c r="BS131" s="1246"/>
      <c r="BT131" s="1246"/>
      <c r="BU131" s="1246"/>
      <c r="BV131" s="1246"/>
      <c r="BW131" s="1246"/>
      <c r="BX131" s="1246"/>
      <c r="BY131" s="1246"/>
      <c r="BZ131" s="1246"/>
      <c r="CA131" s="1246"/>
      <c r="CB131" s="1246"/>
      <c r="CC131" s="1246"/>
      <c r="CD131" s="1246"/>
      <c r="CE131" s="1246"/>
      <c r="CF131" s="1246"/>
      <c r="CG131" s="1246"/>
      <c r="CH131" s="1246"/>
      <c r="CI131" s="1246"/>
      <c r="CJ131" s="1246"/>
      <c r="CK131" s="1246"/>
      <c r="CL131" s="1246"/>
      <c r="CM131" s="1246"/>
      <c r="CN131" s="1246"/>
      <c r="CO131" s="1246"/>
      <c r="CP131" s="1246"/>
      <c r="CQ131" s="1246"/>
      <c r="CR131" s="1246"/>
      <c r="CS131" s="1246"/>
      <c r="CT131" s="1246"/>
      <c r="CU131" s="1246"/>
      <c r="CV131" s="1246"/>
      <c r="CW131" s="1246"/>
      <c r="CX131" s="1246"/>
      <c r="CY131" s="1246"/>
      <c r="CZ131" s="1246"/>
      <c r="DA131" s="1246"/>
      <c r="DB131" s="1246"/>
      <c r="DC131" s="1246"/>
      <c r="DD131" s="1246"/>
      <c r="DE131" s="1246"/>
      <c r="DF131" s="1246"/>
      <c r="DG131" s="1246"/>
      <c r="DH131" s="1246"/>
      <c r="DI131" s="1246"/>
      <c r="DJ131" s="1246"/>
      <c r="DK131" s="1246"/>
      <c r="DL131" s="1246"/>
      <c r="DM131" s="1246"/>
      <c r="DN131" s="1246"/>
      <c r="DO131" s="1246"/>
      <c r="DP131" s="1246"/>
      <c r="DQ131" s="1246"/>
      <c r="DR131" s="1246"/>
      <c r="DS131" s="1246"/>
      <c r="DT131" s="1246"/>
      <c r="DU131" s="1246"/>
      <c r="DV131" s="1246"/>
      <c r="DW131" s="1246"/>
      <c r="DX131" s="1246"/>
      <c r="DY131" s="1246"/>
      <c r="DZ131" s="1246"/>
      <c r="EA131" s="1246"/>
      <c r="EB131" s="1246"/>
      <c r="EC131" s="1246"/>
      <c r="ED131" s="1246"/>
      <c r="EE131" s="1246"/>
      <c r="EF131" s="1246"/>
      <c r="EG131" s="1246"/>
      <c r="EH131" s="1246"/>
      <c r="EI131" s="1246"/>
      <c r="EJ131" s="1246"/>
      <c r="EK131" s="1246"/>
      <c r="EL131" s="1246"/>
      <c r="EM131" s="1246"/>
      <c r="EN131" s="1246"/>
      <c r="EO131" s="1246"/>
      <c r="EP131" s="1246"/>
      <c r="EQ131" s="1246"/>
      <c r="ER131" s="1246"/>
      <c r="ES131" s="1246"/>
      <c r="ET131" s="1246"/>
      <c r="EU131" s="1246"/>
      <c r="EV131" s="1246"/>
      <c r="EW131" s="1246"/>
      <c r="EX131" s="1246"/>
      <c r="EY131" s="1246"/>
      <c r="EZ131" s="1246"/>
      <c r="FA131" s="1246"/>
      <c r="FB131" s="1246"/>
      <c r="FC131" s="1246"/>
      <c r="FD131" s="1246"/>
      <c r="FE131" s="1246"/>
      <c r="FF131" s="1246"/>
      <c r="FG131" s="1246"/>
      <c r="FH131" s="1246"/>
      <c r="FI131" s="1246"/>
      <c r="FJ131" s="1246"/>
      <c r="FK131" s="1246"/>
      <c r="FL131" s="1246"/>
      <c r="FM131" s="1246"/>
      <c r="FN131" s="1246"/>
      <c r="FO131" s="1246"/>
      <c r="FP131" s="1246"/>
      <c r="FQ131" s="1246"/>
      <c r="FR131" s="1246"/>
      <c r="FS131" s="1246"/>
      <c r="FT131" s="1246"/>
      <c r="FU131" s="1246"/>
      <c r="FV131" s="1246"/>
      <c r="FW131" s="1246"/>
      <c r="FX131" s="1246"/>
      <c r="FY131" s="1246"/>
      <c r="FZ131" s="1246"/>
      <c r="GA131" s="1246"/>
      <c r="GB131" s="1246"/>
      <c r="GC131" s="1246"/>
      <c r="GD131" s="1246"/>
      <c r="GE131" s="1246"/>
      <c r="GF131" s="1246"/>
      <c r="GG131" s="1246"/>
    </row>
    <row r="132" spans="1:189" s="1243" customFormat="1">
      <c r="A132" s="750" t="e">
        <f>+#REF!</f>
        <v>#REF!</v>
      </c>
      <c r="B132" s="677" t="e">
        <f>+#REF!</f>
        <v>#REF!</v>
      </c>
      <c r="C132" s="1485" t="s">
        <v>1</v>
      </c>
      <c r="D132" s="654">
        <f t="shared" si="9"/>
        <v>2388.1000000000004</v>
      </c>
      <c r="E132" s="633" t="e">
        <f>#REF!</f>
        <v>#REF!</v>
      </c>
      <c r="F132" s="633" t="e">
        <f t="shared" si="7"/>
        <v>#REF!</v>
      </c>
      <c r="H132" s="1244">
        <f>F5</f>
        <v>2171</v>
      </c>
      <c r="I132" s="1245">
        <v>1.1000000000000001</v>
      </c>
      <c r="J132" s="1244">
        <f t="shared" si="8"/>
        <v>2388.1000000000004</v>
      </c>
      <c r="K132" s="1246"/>
      <c r="L132" s="1246"/>
      <c r="M132" s="1246"/>
      <c r="N132" s="1246"/>
      <c r="O132" s="1246"/>
      <c r="P132" s="1246"/>
      <c r="Q132" s="1246"/>
      <c r="R132" s="1246"/>
      <c r="S132" s="1246"/>
      <c r="T132" s="1246"/>
      <c r="U132" s="1246"/>
      <c r="V132" s="1246"/>
      <c r="W132" s="1246"/>
      <c r="X132" s="1246"/>
      <c r="Y132" s="1246"/>
      <c r="Z132" s="1246"/>
      <c r="AA132" s="1246"/>
      <c r="AB132" s="1246"/>
      <c r="AC132" s="1246"/>
      <c r="AD132" s="1246"/>
      <c r="AE132" s="1246"/>
      <c r="AF132" s="1246"/>
      <c r="AG132" s="1246"/>
      <c r="AH132" s="1246"/>
      <c r="AI132" s="1246"/>
      <c r="AJ132" s="1246"/>
      <c r="AK132" s="1246"/>
      <c r="AL132" s="1246"/>
      <c r="AM132" s="1246"/>
      <c r="AN132" s="1246"/>
      <c r="AO132" s="1246"/>
      <c r="AP132" s="1246"/>
      <c r="AQ132" s="1246"/>
      <c r="AR132" s="1246"/>
      <c r="AS132" s="1246"/>
      <c r="AT132" s="1246"/>
      <c r="AU132" s="1246"/>
      <c r="AV132" s="1246"/>
      <c r="AW132" s="1246"/>
      <c r="AX132" s="1246"/>
      <c r="AY132" s="1246"/>
      <c r="AZ132" s="1246"/>
      <c r="BA132" s="1246"/>
      <c r="BB132" s="1246"/>
      <c r="BC132" s="1246"/>
      <c r="BD132" s="1246"/>
      <c r="BE132" s="1246"/>
      <c r="BF132" s="1246"/>
      <c r="BG132" s="1246"/>
      <c r="BH132" s="1246"/>
      <c r="BI132" s="1246"/>
      <c r="BJ132" s="1246"/>
      <c r="BK132" s="1246"/>
      <c r="BL132" s="1246"/>
      <c r="BM132" s="1246"/>
      <c r="BN132" s="1246"/>
      <c r="BO132" s="1246"/>
      <c r="BP132" s="1246"/>
      <c r="BQ132" s="1246"/>
      <c r="BR132" s="1246"/>
      <c r="BS132" s="1246"/>
      <c r="BT132" s="1246"/>
      <c r="BU132" s="1246"/>
      <c r="BV132" s="1246"/>
      <c r="BW132" s="1246"/>
      <c r="BX132" s="1246"/>
      <c r="BY132" s="1246"/>
      <c r="BZ132" s="1246"/>
      <c r="CA132" s="1246"/>
      <c r="CB132" s="1246"/>
      <c r="CC132" s="1246"/>
      <c r="CD132" s="1246"/>
      <c r="CE132" s="1246"/>
      <c r="CF132" s="1246"/>
      <c r="CG132" s="1246"/>
      <c r="CH132" s="1246"/>
      <c r="CI132" s="1246"/>
      <c r="CJ132" s="1246"/>
      <c r="CK132" s="1246"/>
      <c r="CL132" s="1246"/>
      <c r="CM132" s="1246"/>
      <c r="CN132" s="1246"/>
      <c r="CO132" s="1246"/>
      <c r="CP132" s="1246"/>
      <c r="CQ132" s="1246"/>
      <c r="CR132" s="1246"/>
      <c r="CS132" s="1246"/>
      <c r="CT132" s="1246"/>
      <c r="CU132" s="1246"/>
      <c r="CV132" s="1246"/>
      <c r="CW132" s="1246"/>
      <c r="CX132" s="1246"/>
      <c r="CY132" s="1246"/>
      <c r="CZ132" s="1246"/>
      <c r="DA132" s="1246"/>
      <c r="DB132" s="1246"/>
      <c r="DC132" s="1246"/>
      <c r="DD132" s="1246"/>
      <c r="DE132" s="1246"/>
      <c r="DF132" s="1246"/>
      <c r="DG132" s="1246"/>
      <c r="DH132" s="1246"/>
      <c r="DI132" s="1246"/>
      <c r="DJ132" s="1246"/>
      <c r="DK132" s="1246"/>
      <c r="DL132" s="1246"/>
      <c r="DM132" s="1246"/>
      <c r="DN132" s="1246"/>
      <c r="DO132" s="1246"/>
      <c r="DP132" s="1246"/>
      <c r="DQ132" s="1246"/>
      <c r="DR132" s="1246"/>
      <c r="DS132" s="1246"/>
      <c r="DT132" s="1246"/>
      <c r="DU132" s="1246"/>
      <c r="DV132" s="1246"/>
      <c r="DW132" s="1246"/>
      <c r="DX132" s="1246"/>
      <c r="DY132" s="1246"/>
      <c r="DZ132" s="1246"/>
      <c r="EA132" s="1246"/>
      <c r="EB132" s="1246"/>
      <c r="EC132" s="1246"/>
      <c r="ED132" s="1246"/>
      <c r="EE132" s="1246"/>
      <c r="EF132" s="1246"/>
      <c r="EG132" s="1246"/>
      <c r="EH132" s="1246"/>
      <c r="EI132" s="1246"/>
      <c r="EJ132" s="1246"/>
      <c r="EK132" s="1246"/>
      <c r="EL132" s="1246"/>
      <c r="EM132" s="1246"/>
      <c r="EN132" s="1246"/>
      <c r="EO132" s="1246"/>
      <c r="EP132" s="1246"/>
      <c r="EQ132" s="1246"/>
      <c r="ER132" s="1246"/>
      <c r="ES132" s="1246"/>
      <c r="ET132" s="1246"/>
      <c r="EU132" s="1246"/>
      <c r="EV132" s="1246"/>
      <c r="EW132" s="1246"/>
      <c r="EX132" s="1246"/>
      <c r="EY132" s="1246"/>
      <c r="EZ132" s="1246"/>
      <c r="FA132" s="1246"/>
      <c r="FB132" s="1246"/>
      <c r="FC132" s="1246"/>
      <c r="FD132" s="1246"/>
      <c r="FE132" s="1246"/>
      <c r="FF132" s="1246"/>
      <c r="FG132" s="1246"/>
      <c r="FH132" s="1246"/>
      <c r="FI132" s="1246"/>
      <c r="FJ132" s="1246"/>
      <c r="FK132" s="1246"/>
      <c r="FL132" s="1246"/>
      <c r="FM132" s="1246"/>
      <c r="FN132" s="1246"/>
      <c r="FO132" s="1246"/>
      <c r="FP132" s="1246"/>
      <c r="FQ132" s="1246"/>
      <c r="FR132" s="1246"/>
      <c r="FS132" s="1246"/>
      <c r="FT132" s="1246"/>
      <c r="FU132" s="1246"/>
      <c r="FV132" s="1246"/>
      <c r="FW132" s="1246"/>
      <c r="FX132" s="1246"/>
      <c r="FY132" s="1246"/>
      <c r="FZ132" s="1246"/>
      <c r="GA132" s="1246"/>
      <c r="GB132" s="1246"/>
      <c r="GC132" s="1246"/>
      <c r="GD132" s="1246"/>
      <c r="GE132" s="1246"/>
      <c r="GF132" s="1246"/>
      <c r="GG132" s="1246"/>
    </row>
    <row r="133" spans="1:189" s="1243" customFormat="1">
      <c r="A133" s="677" t="e">
        <f>+#REF!</f>
        <v>#REF!</v>
      </c>
      <c r="B133" s="677" t="e">
        <f>+#REF!</f>
        <v>#REF!</v>
      </c>
      <c r="C133" s="1485"/>
      <c r="D133" s="654">
        <f>+J133</f>
        <v>1028.5</v>
      </c>
      <c r="E133" s="633" t="e">
        <f>+#REF!</f>
        <v>#REF!</v>
      </c>
      <c r="F133" s="633" t="e">
        <f t="shared" si="7"/>
        <v>#REF!</v>
      </c>
      <c r="H133" s="1244">
        <v>935</v>
      </c>
      <c r="I133" s="1245">
        <v>1.1000000000000001</v>
      </c>
      <c r="J133" s="1244">
        <f t="shared" si="8"/>
        <v>1028.5</v>
      </c>
      <c r="K133" s="1246"/>
      <c r="L133" s="1246"/>
      <c r="M133" s="1246"/>
      <c r="N133" s="1246"/>
      <c r="O133" s="1246"/>
      <c r="P133" s="1246"/>
      <c r="Q133" s="1246"/>
      <c r="R133" s="1246"/>
      <c r="S133" s="1246"/>
      <c r="T133" s="1246"/>
      <c r="U133" s="1246"/>
      <c r="V133" s="1246"/>
      <c r="W133" s="1246"/>
      <c r="X133" s="1246"/>
      <c r="Y133" s="1246"/>
      <c r="Z133" s="1246"/>
      <c r="AA133" s="1246"/>
      <c r="AB133" s="1246"/>
      <c r="AC133" s="1246"/>
      <c r="AD133" s="1246"/>
      <c r="AE133" s="1246"/>
      <c r="AF133" s="1246"/>
      <c r="AG133" s="1246"/>
      <c r="AH133" s="1246"/>
      <c r="AI133" s="1246"/>
      <c r="AJ133" s="1246"/>
      <c r="AK133" s="1246"/>
      <c r="AL133" s="1246"/>
      <c r="AM133" s="1246"/>
      <c r="AN133" s="1246"/>
      <c r="AO133" s="1246"/>
      <c r="AP133" s="1246"/>
      <c r="AQ133" s="1246"/>
      <c r="AR133" s="1246"/>
      <c r="AS133" s="1246"/>
      <c r="AT133" s="1246"/>
      <c r="AU133" s="1246"/>
      <c r="AV133" s="1246"/>
      <c r="AW133" s="1246"/>
      <c r="AX133" s="1246"/>
      <c r="AY133" s="1246"/>
      <c r="AZ133" s="1246"/>
      <c r="BA133" s="1246"/>
      <c r="BB133" s="1246"/>
      <c r="BC133" s="1246"/>
      <c r="BD133" s="1246"/>
      <c r="BE133" s="1246"/>
      <c r="BF133" s="1246"/>
      <c r="BG133" s="1246"/>
      <c r="BH133" s="1246"/>
      <c r="BI133" s="1246"/>
      <c r="BJ133" s="1246"/>
      <c r="BK133" s="1246"/>
      <c r="BL133" s="1246"/>
      <c r="BM133" s="1246"/>
      <c r="BN133" s="1246"/>
      <c r="BO133" s="1246"/>
      <c r="BP133" s="1246"/>
      <c r="BQ133" s="1246"/>
      <c r="BR133" s="1246"/>
      <c r="BS133" s="1246"/>
      <c r="BT133" s="1246"/>
      <c r="BU133" s="1246"/>
      <c r="BV133" s="1246"/>
      <c r="BW133" s="1246"/>
      <c r="BX133" s="1246"/>
      <c r="BY133" s="1246"/>
      <c r="BZ133" s="1246"/>
      <c r="CA133" s="1246"/>
      <c r="CB133" s="1246"/>
      <c r="CC133" s="1246"/>
      <c r="CD133" s="1246"/>
      <c r="CE133" s="1246"/>
      <c r="CF133" s="1246"/>
      <c r="CG133" s="1246"/>
      <c r="CH133" s="1246"/>
      <c r="CI133" s="1246"/>
      <c r="CJ133" s="1246"/>
      <c r="CK133" s="1246"/>
      <c r="CL133" s="1246"/>
      <c r="CM133" s="1246"/>
      <c r="CN133" s="1246"/>
      <c r="CO133" s="1246"/>
      <c r="CP133" s="1246"/>
      <c r="CQ133" s="1246"/>
      <c r="CR133" s="1246"/>
      <c r="CS133" s="1246"/>
      <c r="CT133" s="1246"/>
      <c r="CU133" s="1246"/>
      <c r="CV133" s="1246"/>
      <c r="CW133" s="1246"/>
      <c r="CX133" s="1246"/>
      <c r="CY133" s="1246"/>
      <c r="CZ133" s="1246"/>
      <c r="DA133" s="1246"/>
      <c r="DB133" s="1246"/>
      <c r="DC133" s="1246"/>
      <c r="DD133" s="1246"/>
      <c r="DE133" s="1246"/>
      <c r="DF133" s="1246"/>
      <c r="DG133" s="1246"/>
      <c r="DH133" s="1246"/>
      <c r="DI133" s="1246"/>
      <c r="DJ133" s="1246"/>
      <c r="DK133" s="1246"/>
      <c r="DL133" s="1246"/>
      <c r="DM133" s="1246"/>
      <c r="DN133" s="1246"/>
      <c r="DO133" s="1246"/>
      <c r="DP133" s="1246"/>
      <c r="DQ133" s="1246"/>
      <c r="DR133" s="1246"/>
      <c r="DS133" s="1246"/>
      <c r="DT133" s="1246"/>
      <c r="DU133" s="1246"/>
      <c r="DV133" s="1246"/>
      <c r="DW133" s="1246"/>
      <c r="DX133" s="1246"/>
      <c r="DY133" s="1246"/>
      <c r="DZ133" s="1246"/>
      <c r="EA133" s="1246"/>
      <c r="EB133" s="1246"/>
      <c r="EC133" s="1246"/>
      <c r="ED133" s="1246"/>
      <c r="EE133" s="1246"/>
      <c r="EF133" s="1246"/>
      <c r="EG133" s="1246"/>
      <c r="EH133" s="1246"/>
      <c r="EI133" s="1246"/>
      <c r="EJ133" s="1246"/>
      <c r="EK133" s="1246"/>
      <c r="EL133" s="1246"/>
      <c r="EM133" s="1246"/>
      <c r="EN133" s="1246"/>
      <c r="EO133" s="1246"/>
      <c r="EP133" s="1246"/>
      <c r="EQ133" s="1246"/>
      <c r="ER133" s="1246"/>
      <c r="ES133" s="1246"/>
      <c r="ET133" s="1246"/>
      <c r="EU133" s="1246"/>
      <c r="EV133" s="1246"/>
      <c r="EW133" s="1246"/>
      <c r="EX133" s="1246"/>
      <c r="EY133" s="1246"/>
      <c r="EZ133" s="1246"/>
      <c r="FA133" s="1246"/>
      <c r="FB133" s="1246"/>
      <c r="FC133" s="1246"/>
      <c r="FD133" s="1246"/>
      <c r="FE133" s="1246"/>
      <c r="FF133" s="1246"/>
      <c r="FG133" s="1246"/>
      <c r="FH133" s="1246"/>
      <c r="FI133" s="1246"/>
      <c r="FJ133" s="1246"/>
      <c r="FK133" s="1246"/>
      <c r="FL133" s="1246"/>
      <c r="FM133" s="1246"/>
      <c r="FN133" s="1246"/>
      <c r="FO133" s="1246"/>
      <c r="FP133" s="1246"/>
      <c r="FQ133" s="1246"/>
      <c r="FR133" s="1246"/>
      <c r="FS133" s="1246"/>
      <c r="FT133" s="1246"/>
      <c r="FU133" s="1246"/>
      <c r="FV133" s="1246"/>
      <c r="FW133" s="1246"/>
      <c r="FX133" s="1246"/>
      <c r="FY133" s="1246"/>
      <c r="FZ133" s="1246"/>
      <c r="GA133" s="1246"/>
      <c r="GB133" s="1246"/>
      <c r="GC133" s="1246"/>
      <c r="GD133" s="1246"/>
      <c r="GE133" s="1246"/>
      <c r="GF133" s="1246"/>
      <c r="GG133" s="1246"/>
    </row>
    <row r="134" spans="1:189" s="1243" customFormat="1">
      <c r="A134" s="750" t="e">
        <f>+#REF!</f>
        <v>#REF!</v>
      </c>
      <c r="B134" s="677" t="e">
        <f>+#REF!</f>
        <v>#REF!</v>
      </c>
      <c r="C134" s="1485" t="e">
        <f>#REF!</f>
        <v>#REF!</v>
      </c>
      <c r="D134" s="654">
        <f t="shared" si="9"/>
        <v>299</v>
      </c>
      <c r="E134" s="633" t="e">
        <f>+#REF!</f>
        <v>#REF!</v>
      </c>
      <c r="F134" s="633" t="e">
        <f t="shared" si="7"/>
        <v>#REF!</v>
      </c>
      <c r="H134" s="1244">
        <f>F4</f>
        <v>230</v>
      </c>
      <c r="I134" s="1245">
        <v>1.3</v>
      </c>
      <c r="J134" s="1244">
        <f t="shared" si="8"/>
        <v>299</v>
      </c>
      <c r="K134" s="1246"/>
      <c r="L134" s="1246"/>
      <c r="M134" s="1246"/>
      <c r="N134" s="1246"/>
      <c r="O134" s="1246"/>
      <c r="P134" s="1246"/>
      <c r="Q134" s="1246"/>
      <c r="R134" s="1246"/>
      <c r="S134" s="1246"/>
      <c r="T134" s="1246"/>
      <c r="U134" s="1246"/>
      <c r="V134" s="1246"/>
      <c r="W134" s="1246"/>
      <c r="X134" s="1246"/>
      <c r="Y134" s="1246"/>
      <c r="Z134" s="1246"/>
      <c r="AA134" s="1246"/>
      <c r="AB134" s="1246"/>
      <c r="AC134" s="1246"/>
      <c r="AD134" s="1246"/>
      <c r="AE134" s="1246"/>
      <c r="AF134" s="1246"/>
      <c r="AG134" s="1246"/>
      <c r="AH134" s="1246"/>
      <c r="AI134" s="1246"/>
      <c r="AJ134" s="1246"/>
      <c r="AK134" s="1246"/>
      <c r="AL134" s="1246"/>
      <c r="AM134" s="1246"/>
      <c r="AN134" s="1246"/>
      <c r="AO134" s="1246"/>
      <c r="AP134" s="1246"/>
      <c r="AQ134" s="1246"/>
      <c r="AR134" s="1246"/>
      <c r="AS134" s="1246"/>
      <c r="AT134" s="1246"/>
      <c r="AU134" s="1246"/>
      <c r="AV134" s="1246"/>
      <c r="AW134" s="1246"/>
      <c r="AX134" s="1246"/>
      <c r="AY134" s="1246"/>
      <c r="AZ134" s="1246"/>
      <c r="BA134" s="1246"/>
      <c r="BB134" s="1246"/>
      <c r="BC134" s="1246"/>
      <c r="BD134" s="1246"/>
      <c r="BE134" s="1246"/>
      <c r="BF134" s="1246"/>
      <c r="BG134" s="1246"/>
      <c r="BH134" s="1246"/>
      <c r="BI134" s="1246"/>
      <c r="BJ134" s="1246"/>
      <c r="BK134" s="1246"/>
      <c r="BL134" s="1246"/>
      <c r="BM134" s="1246"/>
      <c r="BN134" s="1246"/>
      <c r="BO134" s="1246"/>
      <c r="BP134" s="1246"/>
      <c r="BQ134" s="1246"/>
      <c r="BR134" s="1246"/>
      <c r="BS134" s="1246"/>
      <c r="BT134" s="1246"/>
      <c r="BU134" s="1246"/>
      <c r="BV134" s="1246"/>
      <c r="BW134" s="1246"/>
      <c r="BX134" s="1246"/>
      <c r="BY134" s="1246"/>
      <c r="BZ134" s="1246"/>
      <c r="CA134" s="1246"/>
      <c r="CB134" s="1246"/>
      <c r="CC134" s="1246"/>
      <c r="CD134" s="1246"/>
      <c r="CE134" s="1246"/>
      <c r="CF134" s="1246"/>
      <c r="CG134" s="1246"/>
      <c r="CH134" s="1246"/>
      <c r="CI134" s="1246"/>
      <c r="CJ134" s="1246"/>
      <c r="CK134" s="1246"/>
      <c r="CL134" s="1246"/>
      <c r="CM134" s="1246"/>
      <c r="CN134" s="1246"/>
      <c r="CO134" s="1246"/>
      <c r="CP134" s="1246"/>
      <c r="CQ134" s="1246"/>
      <c r="CR134" s="1246"/>
      <c r="CS134" s="1246"/>
      <c r="CT134" s="1246"/>
      <c r="CU134" s="1246"/>
      <c r="CV134" s="1246"/>
      <c r="CW134" s="1246"/>
      <c r="CX134" s="1246"/>
      <c r="CY134" s="1246"/>
      <c r="CZ134" s="1246"/>
      <c r="DA134" s="1246"/>
      <c r="DB134" s="1246"/>
      <c r="DC134" s="1246"/>
      <c r="DD134" s="1246"/>
      <c r="DE134" s="1246"/>
      <c r="DF134" s="1246"/>
      <c r="DG134" s="1246"/>
      <c r="DH134" s="1246"/>
      <c r="DI134" s="1246"/>
      <c r="DJ134" s="1246"/>
      <c r="DK134" s="1246"/>
      <c r="DL134" s="1246"/>
      <c r="DM134" s="1246"/>
      <c r="DN134" s="1246"/>
      <c r="DO134" s="1246"/>
      <c r="DP134" s="1246"/>
      <c r="DQ134" s="1246"/>
      <c r="DR134" s="1246"/>
      <c r="DS134" s="1246"/>
      <c r="DT134" s="1246"/>
      <c r="DU134" s="1246"/>
      <c r="DV134" s="1246"/>
      <c r="DW134" s="1246"/>
      <c r="DX134" s="1246"/>
      <c r="DY134" s="1246"/>
      <c r="DZ134" s="1246"/>
      <c r="EA134" s="1246"/>
      <c r="EB134" s="1246"/>
      <c r="EC134" s="1246"/>
      <c r="ED134" s="1246"/>
      <c r="EE134" s="1246"/>
      <c r="EF134" s="1246"/>
      <c r="EG134" s="1246"/>
      <c r="EH134" s="1246"/>
      <c r="EI134" s="1246"/>
      <c r="EJ134" s="1246"/>
      <c r="EK134" s="1246"/>
      <c r="EL134" s="1246"/>
      <c r="EM134" s="1246"/>
      <c r="EN134" s="1246"/>
      <c r="EO134" s="1246"/>
      <c r="EP134" s="1246"/>
      <c r="EQ134" s="1246"/>
      <c r="ER134" s="1246"/>
      <c r="ES134" s="1246"/>
      <c r="ET134" s="1246"/>
      <c r="EU134" s="1246"/>
      <c r="EV134" s="1246"/>
      <c r="EW134" s="1246"/>
      <c r="EX134" s="1246"/>
      <c r="EY134" s="1246"/>
      <c r="EZ134" s="1246"/>
      <c r="FA134" s="1246"/>
      <c r="FB134" s="1246"/>
      <c r="FC134" s="1246"/>
      <c r="FD134" s="1246"/>
      <c r="FE134" s="1246"/>
      <c r="FF134" s="1246"/>
      <c r="FG134" s="1246"/>
      <c r="FH134" s="1246"/>
      <c r="FI134" s="1246"/>
      <c r="FJ134" s="1246"/>
      <c r="FK134" s="1246"/>
      <c r="FL134" s="1246"/>
      <c r="FM134" s="1246"/>
      <c r="FN134" s="1246"/>
      <c r="FO134" s="1246"/>
      <c r="FP134" s="1246"/>
      <c r="FQ134" s="1246"/>
      <c r="FR134" s="1246"/>
      <c r="FS134" s="1246"/>
      <c r="FT134" s="1246"/>
      <c r="FU134" s="1246"/>
      <c r="FV134" s="1246"/>
      <c r="FW134" s="1246"/>
      <c r="FX134" s="1246"/>
      <c r="FY134" s="1246"/>
      <c r="FZ134" s="1246"/>
      <c r="GA134" s="1246"/>
      <c r="GB134" s="1246"/>
      <c r="GC134" s="1246"/>
      <c r="GD134" s="1246"/>
      <c r="GE134" s="1246"/>
      <c r="GF134" s="1246"/>
      <c r="GG134" s="1246"/>
    </row>
    <row r="135" spans="1:189" s="1243" customFormat="1">
      <c r="A135" s="639" t="e">
        <f>+#REF!</f>
        <v>#REF!</v>
      </c>
      <c r="B135" s="681" t="e">
        <f>+#REF!</f>
        <v>#REF!</v>
      </c>
      <c r="C135" s="1523" t="e">
        <f>#REF!</f>
        <v>#REF!</v>
      </c>
      <c r="D135" s="1521">
        <f t="shared" si="9"/>
        <v>984.50000000000011</v>
      </c>
      <c r="E135" s="547" t="e">
        <f>+#REF!</f>
        <v>#REF!</v>
      </c>
      <c r="F135" s="547" t="e">
        <f t="shared" si="7"/>
        <v>#REF!</v>
      </c>
      <c r="H135" s="1244">
        <f>F3</f>
        <v>895</v>
      </c>
      <c r="I135" s="1245">
        <v>1.1000000000000001</v>
      </c>
      <c r="J135" s="1244">
        <f t="shared" si="8"/>
        <v>984.50000000000011</v>
      </c>
      <c r="K135" s="1246"/>
      <c r="L135" s="1246"/>
      <c r="M135" s="1246"/>
      <c r="N135" s="1246"/>
      <c r="O135" s="1246"/>
      <c r="P135" s="1246"/>
      <c r="Q135" s="1246"/>
      <c r="R135" s="1246"/>
      <c r="S135" s="1246"/>
      <c r="T135" s="1246"/>
      <c r="U135" s="1246"/>
      <c r="V135" s="1246"/>
      <c r="W135" s="1246"/>
      <c r="X135" s="1246"/>
      <c r="Y135" s="1246"/>
      <c r="Z135" s="1246"/>
      <c r="AA135" s="1246"/>
      <c r="AB135" s="1246"/>
      <c r="AC135" s="1246"/>
      <c r="AD135" s="1246"/>
      <c r="AE135" s="1246"/>
      <c r="AF135" s="1246"/>
      <c r="AG135" s="1246"/>
      <c r="AH135" s="1246"/>
      <c r="AI135" s="1246"/>
      <c r="AJ135" s="1246"/>
      <c r="AK135" s="1246"/>
      <c r="AL135" s="1246"/>
      <c r="AM135" s="1246"/>
      <c r="AN135" s="1246"/>
      <c r="AO135" s="1246"/>
      <c r="AP135" s="1246"/>
      <c r="AQ135" s="1246"/>
      <c r="AR135" s="1246"/>
      <c r="AS135" s="1246"/>
      <c r="AT135" s="1246"/>
      <c r="AU135" s="1246"/>
      <c r="AV135" s="1246"/>
      <c r="AW135" s="1246"/>
      <c r="AX135" s="1246"/>
      <c r="AY135" s="1246"/>
      <c r="AZ135" s="1246"/>
      <c r="BA135" s="1246"/>
      <c r="BB135" s="1246"/>
      <c r="BC135" s="1246"/>
      <c r="BD135" s="1246"/>
      <c r="BE135" s="1246"/>
      <c r="BF135" s="1246"/>
      <c r="BG135" s="1246"/>
      <c r="BH135" s="1246"/>
      <c r="BI135" s="1246"/>
      <c r="BJ135" s="1246"/>
      <c r="BK135" s="1246"/>
      <c r="BL135" s="1246"/>
      <c r="BM135" s="1246"/>
      <c r="BN135" s="1246"/>
      <c r="BO135" s="1246"/>
      <c r="BP135" s="1246"/>
      <c r="BQ135" s="1246"/>
      <c r="BR135" s="1246"/>
      <c r="BS135" s="1246"/>
      <c r="BT135" s="1246"/>
      <c r="BU135" s="1246"/>
      <c r="BV135" s="1246"/>
      <c r="BW135" s="1246"/>
      <c r="BX135" s="1246"/>
      <c r="BY135" s="1246"/>
      <c r="BZ135" s="1246"/>
      <c r="CA135" s="1246"/>
      <c r="CB135" s="1246"/>
      <c r="CC135" s="1246"/>
      <c r="CD135" s="1246"/>
      <c r="CE135" s="1246"/>
      <c r="CF135" s="1246"/>
      <c r="CG135" s="1246"/>
      <c r="CH135" s="1246"/>
      <c r="CI135" s="1246"/>
      <c r="CJ135" s="1246"/>
      <c r="CK135" s="1246"/>
      <c r="CL135" s="1246"/>
      <c r="CM135" s="1246"/>
      <c r="CN135" s="1246"/>
      <c r="CO135" s="1246"/>
      <c r="CP135" s="1246"/>
      <c r="CQ135" s="1246"/>
      <c r="CR135" s="1246"/>
      <c r="CS135" s="1246"/>
      <c r="CT135" s="1246"/>
      <c r="CU135" s="1246"/>
      <c r="CV135" s="1246"/>
      <c r="CW135" s="1246"/>
      <c r="CX135" s="1246"/>
      <c r="CY135" s="1246"/>
      <c r="CZ135" s="1246"/>
      <c r="DA135" s="1246"/>
      <c r="DB135" s="1246"/>
      <c r="DC135" s="1246"/>
      <c r="DD135" s="1246"/>
      <c r="DE135" s="1246"/>
      <c r="DF135" s="1246"/>
      <c r="DG135" s="1246"/>
      <c r="DH135" s="1246"/>
      <c r="DI135" s="1246"/>
      <c r="DJ135" s="1246"/>
      <c r="DK135" s="1246"/>
      <c r="DL135" s="1246"/>
      <c r="DM135" s="1246"/>
      <c r="DN135" s="1246"/>
      <c r="DO135" s="1246"/>
      <c r="DP135" s="1246"/>
      <c r="DQ135" s="1246"/>
      <c r="DR135" s="1246"/>
      <c r="DS135" s="1246"/>
      <c r="DT135" s="1246"/>
      <c r="DU135" s="1246"/>
      <c r="DV135" s="1246"/>
      <c r="DW135" s="1246"/>
      <c r="DX135" s="1246"/>
      <c r="DY135" s="1246"/>
      <c r="DZ135" s="1246"/>
      <c r="EA135" s="1246"/>
      <c r="EB135" s="1246"/>
      <c r="EC135" s="1246"/>
      <c r="ED135" s="1246"/>
      <c r="EE135" s="1246"/>
      <c r="EF135" s="1246"/>
      <c r="EG135" s="1246"/>
      <c r="EH135" s="1246"/>
      <c r="EI135" s="1246"/>
      <c r="EJ135" s="1246"/>
      <c r="EK135" s="1246"/>
      <c r="EL135" s="1246"/>
      <c r="EM135" s="1246"/>
      <c r="EN135" s="1246"/>
      <c r="EO135" s="1246"/>
      <c r="EP135" s="1246"/>
      <c r="EQ135" s="1246"/>
      <c r="ER135" s="1246"/>
      <c r="ES135" s="1246"/>
      <c r="ET135" s="1246"/>
      <c r="EU135" s="1246"/>
      <c r="EV135" s="1246"/>
      <c r="EW135" s="1246"/>
      <c r="EX135" s="1246"/>
      <c r="EY135" s="1246"/>
      <c r="EZ135" s="1246"/>
      <c r="FA135" s="1246"/>
      <c r="FB135" s="1246"/>
      <c r="FC135" s="1246"/>
      <c r="FD135" s="1246"/>
      <c r="FE135" s="1246"/>
      <c r="FF135" s="1246"/>
      <c r="FG135" s="1246"/>
      <c r="FH135" s="1246"/>
      <c r="FI135" s="1246"/>
      <c r="FJ135" s="1246"/>
      <c r="FK135" s="1246"/>
      <c r="FL135" s="1246"/>
      <c r="FM135" s="1246"/>
      <c r="FN135" s="1246"/>
      <c r="FO135" s="1246"/>
      <c r="FP135" s="1246"/>
      <c r="FQ135" s="1246"/>
      <c r="FR135" s="1246"/>
      <c r="FS135" s="1246"/>
      <c r="FT135" s="1246"/>
      <c r="FU135" s="1246"/>
      <c r="FV135" s="1246"/>
      <c r="FW135" s="1246"/>
      <c r="FX135" s="1246"/>
      <c r="FY135" s="1246"/>
      <c r="FZ135" s="1246"/>
      <c r="GA135" s="1246"/>
      <c r="GB135" s="1246"/>
      <c r="GC135" s="1246"/>
      <c r="GD135" s="1246"/>
      <c r="GE135" s="1246"/>
      <c r="GF135" s="1246"/>
      <c r="GG135" s="1246"/>
    </row>
    <row r="136" spans="1:189" s="1243" customFormat="1">
      <c r="A136" s="745" t="e">
        <f>+#REF!</f>
        <v>#REF!</v>
      </c>
      <c r="B136" s="830" t="e">
        <f>+#REF!</f>
        <v>#REF!</v>
      </c>
      <c r="C136" s="1264"/>
      <c r="D136" s="1519"/>
      <c r="E136" s="544"/>
      <c r="F136" s="544"/>
      <c r="H136" s="1244"/>
      <c r="I136" s="1245"/>
      <c r="J136" s="1244"/>
      <c r="K136" s="1246"/>
      <c r="L136" s="1246"/>
      <c r="M136" s="1246"/>
      <c r="N136" s="1246"/>
      <c r="O136" s="1246"/>
      <c r="P136" s="1246"/>
      <c r="Q136" s="1246"/>
      <c r="R136" s="1246"/>
      <c r="S136" s="1246"/>
      <c r="T136" s="1246"/>
      <c r="U136" s="1246"/>
      <c r="V136" s="1246"/>
      <c r="W136" s="1246"/>
      <c r="X136" s="1246"/>
      <c r="Y136" s="1246"/>
      <c r="Z136" s="1246"/>
      <c r="AA136" s="1246"/>
      <c r="AB136" s="1246"/>
      <c r="AC136" s="1246"/>
      <c r="AD136" s="1246"/>
      <c r="AE136" s="1246"/>
      <c r="AF136" s="1246"/>
      <c r="AG136" s="1246"/>
      <c r="AH136" s="1246"/>
      <c r="AI136" s="1246"/>
      <c r="AJ136" s="1246"/>
      <c r="AK136" s="1246"/>
      <c r="AL136" s="1246"/>
      <c r="AM136" s="1246"/>
      <c r="AN136" s="1246"/>
      <c r="AO136" s="1246"/>
      <c r="AP136" s="1246"/>
      <c r="AQ136" s="1246"/>
      <c r="AR136" s="1246"/>
      <c r="AS136" s="1246"/>
      <c r="AT136" s="1246"/>
      <c r="AU136" s="1246"/>
      <c r="AV136" s="1246"/>
      <c r="AW136" s="1246"/>
      <c r="AX136" s="1246"/>
      <c r="AY136" s="1246"/>
      <c r="AZ136" s="1246"/>
      <c r="BA136" s="1246"/>
      <c r="BB136" s="1246"/>
      <c r="BC136" s="1246"/>
      <c r="BD136" s="1246"/>
      <c r="BE136" s="1246"/>
      <c r="BF136" s="1246"/>
      <c r="BG136" s="1246"/>
      <c r="BH136" s="1246"/>
      <c r="BI136" s="1246"/>
      <c r="BJ136" s="1246"/>
      <c r="BK136" s="1246"/>
      <c r="BL136" s="1246"/>
      <c r="BM136" s="1246"/>
      <c r="BN136" s="1246"/>
      <c r="BO136" s="1246"/>
      <c r="BP136" s="1246"/>
      <c r="BQ136" s="1246"/>
      <c r="BR136" s="1246"/>
      <c r="BS136" s="1246"/>
      <c r="BT136" s="1246"/>
      <c r="BU136" s="1246"/>
      <c r="BV136" s="1246"/>
      <c r="BW136" s="1246"/>
      <c r="BX136" s="1246"/>
      <c r="BY136" s="1246"/>
      <c r="BZ136" s="1246"/>
      <c r="CA136" s="1246"/>
      <c r="CB136" s="1246"/>
      <c r="CC136" s="1246"/>
      <c r="CD136" s="1246"/>
      <c r="CE136" s="1246"/>
      <c r="CF136" s="1246"/>
      <c r="CG136" s="1246"/>
      <c r="CH136" s="1246"/>
      <c r="CI136" s="1246"/>
      <c r="CJ136" s="1246"/>
      <c r="CK136" s="1246"/>
      <c r="CL136" s="1246"/>
      <c r="CM136" s="1246"/>
      <c r="CN136" s="1246"/>
      <c r="CO136" s="1246"/>
      <c r="CP136" s="1246"/>
      <c r="CQ136" s="1246"/>
      <c r="CR136" s="1246"/>
      <c r="CS136" s="1246"/>
      <c r="CT136" s="1246"/>
      <c r="CU136" s="1246"/>
      <c r="CV136" s="1246"/>
      <c r="CW136" s="1246"/>
      <c r="CX136" s="1246"/>
      <c r="CY136" s="1246"/>
      <c r="CZ136" s="1246"/>
      <c r="DA136" s="1246"/>
      <c r="DB136" s="1246"/>
      <c r="DC136" s="1246"/>
      <c r="DD136" s="1246"/>
      <c r="DE136" s="1246"/>
      <c r="DF136" s="1246"/>
      <c r="DG136" s="1246"/>
      <c r="DH136" s="1246"/>
      <c r="DI136" s="1246"/>
      <c r="DJ136" s="1246"/>
      <c r="DK136" s="1246"/>
      <c r="DL136" s="1246"/>
      <c r="DM136" s="1246"/>
      <c r="DN136" s="1246"/>
      <c r="DO136" s="1246"/>
      <c r="DP136" s="1246"/>
      <c r="DQ136" s="1246"/>
      <c r="DR136" s="1246"/>
      <c r="DS136" s="1246"/>
      <c r="DT136" s="1246"/>
      <c r="DU136" s="1246"/>
      <c r="DV136" s="1246"/>
      <c r="DW136" s="1246"/>
      <c r="DX136" s="1246"/>
      <c r="DY136" s="1246"/>
      <c r="DZ136" s="1246"/>
      <c r="EA136" s="1246"/>
      <c r="EB136" s="1246"/>
      <c r="EC136" s="1246"/>
      <c r="ED136" s="1246"/>
      <c r="EE136" s="1246"/>
      <c r="EF136" s="1246"/>
      <c r="EG136" s="1246"/>
      <c r="EH136" s="1246"/>
      <c r="EI136" s="1246"/>
      <c r="EJ136" s="1246"/>
      <c r="EK136" s="1246"/>
      <c r="EL136" s="1246"/>
      <c r="EM136" s="1246"/>
      <c r="EN136" s="1246"/>
      <c r="EO136" s="1246"/>
      <c r="EP136" s="1246"/>
      <c r="EQ136" s="1246"/>
      <c r="ER136" s="1246"/>
      <c r="ES136" s="1246"/>
      <c r="ET136" s="1246"/>
      <c r="EU136" s="1246"/>
      <c r="EV136" s="1246"/>
      <c r="EW136" s="1246"/>
      <c r="EX136" s="1246"/>
      <c r="EY136" s="1246"/>
      <c r="EZ136" s="1246"/>
      <c r="FA136" s="1246"/>
      <c r="FB136" s="1246"/>
      <c r="FC136" s="1246"/>
      <c r="FD136" s="1246"/>
      <c r="FE136" s="1246"/>
      <c r="FF136" s="1246"/>
      <c r="FG136" s="1246"/>
      <c r="FH136" s="1246"/>
      <c r="FI136" s="1246"/>
      <c r="FJ136" s="1246"/>
      <c r="FK136" s="1246"/>
      <c r="FL136" s="1246"/>
      <c r="FM136" s="1246"/>
      <c r="FN136" s="1246"/>
      <c r="FO136" s="1246"/>
      <c r="FP136" s="1246"/>
      <c r="FQ136" s="1246"/>
      <c r="FR136" s="1246"/>
      <c r="FS136" s="1246"/>
      <c r="FT136" s="1246"/>
      <c r="FU136" s="1246"/>
      <c r="FV136" s="1246"/>
      <c r="FW136" s="1246"/>
      <c r="FX136" s="1246"/>
      <c r="FY136" s="1246"/>
      <c r="FZ136" s="1246"/>
      <c r="GA136" s="1246"/>
      <c r="GB136" s="1246"/>
      <c r="GC136" s="1246"/>
      <c r="GD136" s="1246"/>
      <c r="GE136" s="1246"/>
      <c r="GF136" s="1246"/>
      <c r="GG136" s="1246"/>
    </row>
    <row r="137" spans="1:189" s="1243" customFormat="1">
      <c r="A137" s="750" t="e">
        <f>+#REF!</f>
        <v>#REF!</v>
      </c>
      <c r="B137" s="677" t="e">
        <f>+#REF!</f>
        <v>#REF!</v>
      </c>
      <c r="C137" s="1485" t="e">
        <f>#REF!</f>
        <v>#REF!</v>
      </c>
      <c r="D137" s="654">
        <f t="shared" si="9"/>
        <v>540.75</v>
      </c>
      <c r="E137" s="633" t="e">
        <f>+#REF!</f>
        <v>#REF!</v>
      </c>
      <c r="F137" s="633" t="e">
        <f t="shared" si="7"/>
        <v>#REF!</v>
      </c>
      <c r="H137" s="1244">
        <f>F8</f>
        <v>515</v>
      </c>
      <c r="I137" s="1245">
        <v>1.05</v>
      </c>
      <c r="J137" s="1244">
        <f t="shared" si="8"/>
        <v>540.75</v>
      </c>
      <c r="K137" s="1246"/>
      <c r="L137" s="1246"/>
      <c r="M137" s="1246"/>
      <c r="N137" s="1246"/>
      <c r="O137" s="1246"/>
      <c r="P137" s="1246"/>
      <c r="Q137" s="1246"/>
      <c r="R137" s="1246"/>
      <c r="S137" s="1246"/>
      <c r="T137" s="1246"/>
      <c r="U137" s="1246"/>
      <c r="V137" s="1246"/>
      <c r="W137" s="1246"/>
      <c r="X137" s="1246"/>
      <c r="Y137" s="1246"/>
      <c r="Z137" s="1246"/>
      <c r="AA137" s="1246"/>
      <c r="AB137" s="1246"/>
      <c r="AC137" s="1246"/>
      <c r="AD137" s="1246"/>
      <c r="AE137" s="1246"/>
      <c r="AF137" s="1246"/>
      <c r="AG137" s="1246"/>
      <c r="AH137" s="1246"/>
      <c r="AI137" s="1246"/>
      <c r="AJ137" s="1246"/>
      <c r="AK137" s="1246"/>
      <c r="AL137" s="1246"/>
      <c r="AM137" s="1246"/>
      <c r="AN137" s="1246"/>
      <c r="AO137" s="1246"/>
      <c r="AP137" s="1246"/>
      <c r="AQ137" s="1246"/>
      <c r="AR137" s="1246"/>
      <c r="AS137" s="1246"/>
      <c r="AT137" s="1246"/>
      <c r="AU137" s="1246"/>
      <c r="AV137" s="1246"/>
      <c r="AW137" s="1246"/>
      <c r="AX137" s="1246"/>
      <c r="AY137" s="1246"/>
      <c r="AZ137" s="1246"/>
      <c r="BA137" s="1246"/>
      <c r="BB137" s="1246"/>
      <c r="BC137" s="1246"/>
      <c r="BD137" s="1246"/>
      <c r="BE137" s="1246"/>
      <c r="BF137" s="1246"/>
      <c r="BG137" s="1246"/>
      <c r="BH137" s="1246"/>
      <c r="BI137" s="1246"/>
      <c r="BJ137" s="1246"/>
      <c r="BK137" s="1246"/>
      <c r="BL137" s="1246"/>
      <c r="BM137" s="1246"/>
      <c r="BN137" s="1246"/>
      <c r="BO137" s="1246"/>
      <c r="BP137" s="1246"/>
      <c r="BQ137" s="1246"/>
      <c r="BR137" s="1246"/>
      <c r="BS137" s="1246"/>
      <c r="BT137" s="1246"/>
      <c r="BU137" s="1246"/>
      <c r="BV137" s="1246"/>
      <c r="BW137" s="1246"/>
      <c r="BX137" s="1246"/>
      <c r="BY137" s="1246"/>
      <c r="BZ137" s="1246"/>
      <c r="CA137" s="1246"/>
      <c r="CB137" s="1246"/>
      <c r="CC137" s="1246"/>
      <c r="CD137" s="1246"/>
      <c r="CE137" s="1246"/>
      <c r="CF137" s="1246"/>
      <c r="CG137" s="1246"/>
      <c r="CH137" s="1246"/>
      <c r="CI137" s="1246"/>
      <c r="CJ137" s="1246"/>
      <c r="CK137" s="1246"/>
      <c r="CL137" s="1246"/>
      <c r="CM137" s="1246"/>
      <c r="CN137" s="1246"/>
      <c r="CO137" s="1246"/>
      <c r="CP137" s="1246"/>
      <c r="CQ137" s="1246"/>
      <c r="CR137" s="1246"/>
      <c r="CS137" s="1246"/>
      <c r="CT137" s="1246"/>
      <c r="CU137" s="1246"/>
      <c r="CV137" s="1246"/>
      <c r="CW137" s="1246"/>
      <c r="CX137" s="1246"/>
      <c r="CY137" s="1246"/>
      <c r="CZ137" s="1246"/>
      <c r="DA137" s="1246"/>
      <c r="DB137" s="1246"/>
      <c r="DC137" s="1246"/>
      <c r="DD137" s="1246"/>
      <c r="DE137" s="1246"/>
      <c r="DF137" s="1246"/>
      <c r="DG137" s="1246"/>
      <c r="DH137" s="1246"/>
      <c r="DI137" s="1246"/>
      <c r="DJ137" s="1246"/>
      <c r="DK137" s="1246"/>
      <c r="DL137" s="1246"/>
      <c r="DM137" s="1246"/>
      <c r="DN137" s="1246"/>
      <c r="DO137" s="1246"/>
      <c r="DP137" s="1246"/>
      <c r="DQ137" s="1246"/>
      <c r="DR137" s="1246"/>
      <c r="DS137" s="1246"/>
      <c r="DT137" s="1246"/>
      <c r="DU137" s="1246"/>
      <c r="DV137" s="1246"/>
      <c r="DW137" s="1246"/>
      <c r="DX137" s="1246"/>
      <c r="DY137" s="1246"/>
      <c r="DZ137" s="1246"/>
      <c r="EA137" s="1246"/>
      <c r="EB137" s="1246"/>
      <c r="EC137" s="1246"/>
      <c r="ED137" s="1246"/>
      <c r="EE137" s="1246"/>
      <c r="EF137" s="1246"/>
      <c r="EG137" s="1246"/>
      <c r="EH137" s="1246"/>
      <c r="EI137" s="1246"/>
      <c r="EJ137" s="1246"/>
      <c r="EK137" s="1246"/>
      <c r="EL137" s="1246"/>
      <c r="EM137" s="1246"/>
      <c r="EN137" s="1246"/>
      <c r="EO137" s="1246"/>
      <c r="EP137" s="1246"/>
      <c r="EQ137" s="1246"/>
      <c r="ER137" s="1246"/>
      <c r="ES137" s="1246"/>
      <c r="ET137" s="1246"/>
      <c r="EU137" s="1246"/>
      <c r="EV137" s="1246"/>
      <c r="EW137" s="1246"/>
      <c r="EX137" s="1246"/>
      <c r="EY137" s="1246"/>
      <c r="EZ137" s="1246"/>
      <c r="FA137" s="1246"/>
      <c r="FB137" s="1246"/>
      <c r="FC137" s="1246"/>
      <c r="FD137" s="1246"/>
      <c r="FE137" s="1246"/>
      <c r="FF137" s="1246"/>
      <c r="FG137" s="1246"/>
      <c r="FH137" s="1246"/>
      <c r="FI137" s="1246"/>
      <c r="FJ137" s="1246"/>
      <c r="FK137" s="1246"/>
      <c r="FL137" s="1246"/>
      <c r="FM137" s="1246"/>
      <c r="FN137" s="1246"/>
      <c r="FO137" s="1246"/>
      <c r="FP137" s="1246"/>
      <c r="FQ137" s="1246"/>
      <c r="FR137" s="1246"/>
      <c r="FS137" s="1246"/>
      <c r="FT137" s="1246"/>
      <c r="FU137" s="1246"/>
      <c r="FV137" s="1246"/>
      <c r="FW137" s="1246"/>
      <c r="FX137" s="1246"/>
      <c r="FY137" s="1246"/>
      <c r="FZ137" s="1246"/>
      <c r="GA137" s="1246"/>
      <c r="GB137" s="1246"/>
      <c r="GC137" s="1246"/>
      <c r="GD137" s="1246"/>
      <c r="GE137" s="1246"/>
      <c r="GF137" s="1246"/>
      <c r="GG137" s="1246"/>
    </row>
    <row r="138" spans="1:189" s="1243" customFormat="1">
      <c r="A138" s="750" t="e">
        <f>+#REF!</f>
        <v>#REF!</v>
      </c>
      <c r="B138" s="677" t="e">
        <f>+#REF!</f>
        <v>#REF!</v>
      </c>
      <c r="C138" s="1485" t="e">
        <f>#REF!</f>
        <v>#REF!</v>
      </c>
      <c r="D138" s="654">
        <f>J138</f>
        <v>372.75</v>
      </c>
      <c r="E138" s="633" t="e">
        <f>#REF!</f>
        <v>#REF!</v>
      </c>
      <c r="F138" s="633" t="e">
        <f>+D138*E138</f>
        <v>#REF!</v>
      </c>
      <c r="H138" s="1244">
        <f>F9</f>
        <v>355</v>
      </c>
      <c r="I138" s="1245">
        <v>1.05</v>
      </c>
      <c r="J138" s="1244">
        <f>H138*I138</f>
        <v>372.75</v>
      </c>
      <c r="K138" s="1246"/>
      <c r="L138" s="1246"/>
      <c r="M138" s="1246"/>
      <c r="N138" s="1246"/>
      <c r="O138" s="1246"/>
      <c r="P138" s="1246"/>
      <c r="Q138" s="1246"/>
      <c r="R138" s="1246"/>
      <c r="S138" s="1246"/>
      <c r="T138" s="1246"/>
      <c r="U138" s="1246"/>
      <c r="V138" s="1246"/>
      <c r="W138" s="1246"/>
      <c r="X138" s="1246"/>
      <c r="Y138" s="1246"/>
      <c r="Z138" s="1246"/>
      <c r="AA138" s="1246"/>
      <c r="AB138" s="1246"/>
      <c r="AC138" s="1246"/>
      <c r="AD138" s="1246"/>
      <c r="AE138" s="1246"/>
      <c r="AF138" s="1246"/>
      <c r="AG138" s="1246"/>
      <c r="AH138" s="1246"/>
      <c r="AI138" s="1246"/>
      <c r="AJ138" s="1246"/>
      <c r="AK138" s="1246"/>
      <c r="AL138" s="1246"/>
      <c r="AM138" s="1246"/>
      <c r="AN138" s="1246"/>
      <c r="AO138" s="1246"/>
      <c r="AP138" s="1246"/>
      <c r="AQ138" s="1246"/>
      <c r="AR138" s="1246"/>
      <c r="AS138" s="1246"/>
      <c r="AT138" s="1246"/>
      <c r="AU138" s="1246"/>
      <c r="AV138" s="1246"/>
      <c r="AW138" s="1246"/>
      <c r="AX138" s="1246"/>
      <c r="AY138" s="1246"/>
      <c r="AZ138" s="1246"/>
      <c r="BA138" s="1246"/>
      <c r="BB138" s="1246"/>
      <c r="BC138" s="1246"/>
      <c r="BD138" s="1246"/>
      <c r="BE138" s="1246"/>
      <c r="BF138" s="1246"/>
      <c r="BG138" s="1246"/>
      <c r="BH138" s="1246"/>
      <c r="BI138" s="1246"/>
      <c r="BJ138" s="1246"/>
      <c r="BK138" s="1246"/>
      <c r="BL138" s="1246"/>
      <c r="BM138" s="1246"/>
      <c r="BN138" s="1246"/>
      <c r="BO138" s="1246"/>
      <c r="BP138" s="1246"/>
      <c r="BQ138" s="1246"/>
      <c r="BR138" s="1246"/>
      <c r="BS138" s="1246"/>
      <c r="BT138" s="1246"/>
      <c r="BU138" s="1246"/>
      <c r="BV138" s="1246"/>
      <c r="BW138" s="1246"/>
      <c r="BX138" s="1246"/>
      <c r="BY138" s="1246"/>
      <c r="BZ138" s="1246"/>
      <c r="CA138" s="1246"/>
      <c r="CB138" s="1246"/>
      <c r="CC138" s="1246"/>
      <c r="CD138" s="1246"/>
      <c r="CE138" s="1246"/>
      <c r="CF138" s="1246"/>
      <c r="CG138" s="1246"/>
      <c r="CH138" s="1246"/>
      <c r="CI138" s="1246"/>
      <c r="CJ138" s="1246"/>
      <c r="CK138" s="1246"/>
      <c r="CL138" s="1246"/>
      <c r="CM138" s="1246"/>
      <c r="CN138" s="1246"/>
      <c r="CO138" s="1246"/>
      <c r="CP138" s="1246"/>
      <c r="CQ138" s="1246"/>
      <c r="CR138" s="1246"/>
      <c r="CS138" s="1246"/>
      <c r="CT138" s="1246"/>
      <c r="CU138" s="1246"/>
      <c r="CV138" s="1246"/>
      <c r="CW138" s="1246"/>
      <c r="CX138" s="1246"/>
      <c r="CY138" s="1246"/>
      <c r="CZ138" s="1246"/>
      <c r="DA138" s="1246"/>
      <c r="DB138" s="1246"/>
      <c r="DC138" s="1246"/>
      <c r="DD138" s="1246"/>
      <c r="DE138" s="1246"/>
      <c r="DF138" s="1246"/>
      <c r="DG138" s="1246"/>
      <c r="DH138" s="1246"/>
      <c r="DI138" s="1246"/>
      <c r="DJ138" s="1246"/>
      <c r="DK138" s="1246"/>
      <c r="DL138" s="1246"/>
      <c r="DM138" s="1246"/>
      <c r="DN138" s="1246"/>
      <c r="DO138" s="1246"/>
      <c r="DP138" s="1246"/>
      <c r="DQ138" s="1246"/>
      <c r="DR138" s="1246"/>
      <c r="DS138" s="1246"/>
      <c r="DT138" s="1246"/>
      <c r="DU138" s="1246"/>
      <c r="DV138" s="1246"/>
      <c r="DW138" s="1246"/>
      <c r="DX138" s="1246"/>
      <c r="DY138" s="1246"/>
      <c r="DZ138" s="1246"/>
      <c r="EA138" s="1246"/>
      <c r="EB138" s="1246"/>
      <c r="EC138" s="1246"/>
      <c r="ED138" s="1246"/>
      <c r="EE138" s="1246"/>
      <c r="EF138" s="1246"/>
      <c r="EG138" s="1246"/>
      <c r="EH138" s="1246"/>
      <c r="EI138" s="1246"/>
      <c r="EJ138" s="1246"/>
      <c r="EK138" s="1246"/>
      <c r="EL138" s="1246"/>
      <c r="EM138" s="1246"/>
      <c r="EN138" s="1246"/>
      <c r="EO138" s="1246"/>
      <c r="EP138" s="1246"/>
      <c r="EQ138" s="1246"/>
      <c r="ER138" s="1246"/>
      <c r="ES138" s="1246"/>
      <c r="ET138" s="1246"/>
      <c r="EU138" s="1246"/>
      <c r="EV138" s="1246"/>
      <c r="EW138" s="1246"/>
      <c r="EX138" s="1246"/>
      <c r="EY138" s="1246"/>
      <c r="EZ138" s="1246"/>
      <c r="FA138" s="1246"/>
      <c r="FB138" s="1246"/>
      <c r="FC138" s="1246"/>
      <c r="FD138" s="1246"/>
      <c r="FE138" s="1246"/>
      <c r="FF138" s="1246"/>
      <c r="FG138" s="1246"/>
      <c r="FH138" s="1246"/>
      <c r="FI138" s="1246"/>
      <c r="FJ138" s="1246"/>
      <c r="FK138" s="1246"/>
      <c r="FL138" s="1246"/>
      <c r="FM138" s="1246"/>
      <c r="FN138" s="1246"/>
      <c r="FO138" s="1246"/>
      <c r="FP138" s="1246"/>
      <c r="FQ138" s="1246"/>
      <c r="FR138" s="1246"/>
      <c r="FS138" s="1246"/>
      <c r="FT138" s="1246"/>
      <c r="FU138" s="1246"/>
      <c r="FV138" s="1246"/>
      <c r="FW138" s="1246"/>
      <c r="FX138" s="1246"/>
      <c r="FY138" s="1246"/>
      <c r="FZ138" s="1246"/>
      <c r="GA138" s="1246"/>
      <c r="GB138" s="1246"/>
      <c r="GC138" s="1246"/>
      <c r="GD138" s="1246"/>
      <c r="GE138" s="1246"/>
      <c r="GF138" s="1246"/>
      <c r="GG138" s="1246"/>
    </row>
    <row r="139" spans="1:189" s="1243" customFormat="1">
      <c r="A139" s="750" t="e">
        <f>+#REF!</f>
        <v>#REF!</v>
      </c>
      <c r="B139" s="677" t="e">
        <f>+#REF!</f>
        <v>#REF!</v>
      </c>
      <c r="C139" s="1485" t="e">
        <f>#REF!</f>
        <v>#REF!</v>
      </c>
      <c r="D139" s="654">
        <f>+J139</f>
        <v>336</v>
      </c>
      <c r="E139" s="633" t="e">
        <f>+#REF!</f>
        <v>#REF!</v>
      </c>
      <c r="F139" s="633" t="e">
        <f>+D139*E139</f>
        <v>#REF!</v>
      </c>
      <c r="H139" s="1244">
        <f>+F10</f>
        <v>320</v>
      </c>
      <c r="I139" s="1245">
        <v>1.05</v>
      </c>
      <c r="J139" s="1244">
        <f>H139*I139</f>
        <v>336</v>
      </c>
      <c r="K139" s="1246"/>
      <c r="L139" s="1246"/>
      <c r="M139" s="1246"/>
      <c r="N139" s="1246"/>
      <c r="O139" s="1246"/>
      <c r="P139" s="1246"/>
      <c r="Q139" s="1246"/>
      <c r="R139" s="1246"/>
      <c r="S139" s="1246"/>
      <c r="T139" s="1246"/>
      <c r="U139" s="1246"/>
      <c r="V139" s="1246"/>
      <c r="W139" s="1246"/>
      <c r="X139" s="1246"/>
      <c r="Y139" s="1246"/>
      <c r="Z139" s="1246"/>
      <c r="AA139" s="1246"/>
      <c r="AB139" s="1246"/>
      <c r="AC139" s="1246"/>
      <c r="AD139" s="1246"/>
      <c r="AE139" s="1246"/>
      <c r="AF139" s="1246"/>
      <c r="AG139" s="1246"/>
      <c r="AH139" s="1246"/>
      <c r="AI139" s="1246"/>
      <c r="AJ139" s="1246"/>
      <c r="AK139" s="1246"/>
      <c r="AL139" s="1246"/>
      <c r="AM139" s="1246"/>
      <c r="AN139" s="1246"/>
      <c r="AO139" s="1246"/>
      <c r="AP139" s="1246"/>
      <c r="AQ139" s="1246"/>
      <c r="AR139" s="1246"/>
      <c r="AS139" s="1246"/>
      <c r="AT139" s="1246"/>
      <c r="AU139" s="1246"/>
      <c r="AV139" s="1246"/>
      <c r="AW139" s="1246"/>
      <c r="AX139" s="1246"/>
      <c r="AY139" s="1246"/>
      <c r="AZ139" s="1246"/>
      <c r="BA139" s="1246"/>
      <c r="BB139" s="1246"/>
      <c r="BC139" s="1246"/>
      <c r="BD139" s="1246"/>
      <c r="BE139" s="1246"/>
      <c r="BF139" s="1246"/>
      <c r="BG139" s="1246"/>
      <c r="BH139" s="1246"/>
      <c r="BI139" s="1246"/>
      <c r="BJ139" s="1246"/>
      <c r="BK139" s="1246"/>
      <c r="BL139" s="1246"/>
      <c r="BM139" s="1246"/>
      <c r="BN139" s="1246"/>
      <c r="BO139" s="1246"/>
      <c r="BP139" s="1246"/>
      <c r="BQ139" s="1246"/>
      <c r="BR139" s="1246"/>
      <c r="BS139" s="1246"/>
      <c r="BT139" s="1246"/>
      <c r="BU139" s="1246"/>
      <c r="BV139" s="1246"/>
      <c r="BW139" s="1246"/>
      <c r="BX139" s="1246"/>
      <c r="BY139" s="1246"/>
      <c r="BZ139" s="1246"/>
      <c r="CA139" s="1246"/>
      <c r="CB139" s="1246"/>
      <c r="CC139" s="1246"/>
      <c r="CD139" s="1246"/>
      <c r="CE139" s="1246"/>
      <c r="CF139" s="1246"/>
      <c r="CG139" s="1246"/>
      <c r="CH139" s="1246"/>
      <c r="CI139" s="1246"/>
      <c r="CJ139" s="1246"/>
      <c r="CK139" s="1246"/>
      <c r="CL139" s="1246"/>
      <c r="CM139" s="1246"/>
      <c r="CN139" s="1246"/>
      <c r="CO139" s="1246"/>
      <c r="CP139" s="1246"/>
      <c r="CQ139" s="1246"/>
      <c r="CR139" s="1246"/>
      <c r="CS139" s="1246"/>
      <c r="CT139" s="1246"/>
      <c r="CU139" s="1246"/>
      <c r="CV139" s="1246"/>
      <c r="CW139" s="1246"/>
      <c r="CX139" s="1246"/>
      <c r="CY139" s="1246"/>
      <c r="CZ139" s="1246"/>
      <c r="DA139" s="1246"/>
      <c r="DB139" s="1246"/>
      <c r="DC139" s="1246"/>
      <c r="DD139" s="1246"/>
      <c r="DE139" s="1246"/>
      <c r="DF139" s="1246"/>
      <c r="DG139" s="1246"/>
      <c r="DH139" s="1246"/>
      <c r="DI139" s="1246"/>
      <c r="DJ139" s="1246"/>
      <c r="DK139" s="1246"/>
      <c r="DL139" s="1246"/>
      <c r="DM139" s="1246"/>
      <c r="DN139" s="1246"/>
      <c r="DO139" s="1246"/>
      <c r="DP139" s="1246"/>
      <c r="DQ139" s="1246"/>
      <c r="DR139" s="1246"/>
      <c r="DS139" s="1246"/>
      <c r="DT139" s="1246"/>
      <c r="DU139" s="1246"/>
      <c r="DV139" s="1246"/>
      <c r="DW139" s="1246"/>
      <c r="DX139" s="1246"/>
      <c r="DY139" s="1246"/>
      <c r="DZ139" s="1246"/>
      <c r="EA139" s="1246"/>
      <c r="EB139" s="1246"/>
      <c r="EC139" s="1246"/>
      <c r="ED139" s="1246"/>
      <c r="EE139" s="1246"/>
      <c r="EF139" s="1246"/>
      <c r="EG139" s="1246"/>
      <c r="EH139" s="1246"/>
      <c r="EI139" s="1246"/>
      <c r="EJ139" s="1246"/>
      <c r="EK139" s="1246"/>
      <c r="EL139" s="1246"/>
      <c r="EM139" s="1246"/>
      <c r="EN139" s="1246"/>
      <c r="EO139" s="1246"/>
      <c r="EP139" s="1246"/>
      <c r="EQ139" s="1246"/>
      <c r="ER139" s="1246"/>
      <c r="ES139" s="1246"/>
      <c r="ET139" s="1246"/>
      <c r="EU139" s="1246"/>
      <c r="EV139" s="1246"/>
      <c r="EW139" s="1246"/>
      <c r="EX139" s="1246"/>
      <c r="EY139" s="1246"/>
      <c r="EZ139" s="1246"/>
      <c r="FA139" s="1246"/>
      <c r="FB139" s="1246"/>
      <c r="FC139" s="1246"/>
      <c r="FD139" s="1246"/>
      <c r="FE139" s="1246"/>
      <c r="FF139" s="1246"/>
      <c r="FG139" s="1246"/>
      <c r="FH139" s="1246"/>
      <c r="FI139" s="1246"/>
      <c r="FJ139" s="1246"/>
      <c r="FK139" s="1246"/>
      <c r="FL139" s="1246"/>
      <c r="FM139" s="1246"/>
      <c r="FN139" s="1246"/>
      <c r="FO139" s="1246"/>
      <c r="FP139" s="1246"/>
      <c r="FQ139" s="1246"/>
      <c r="FR139" s="1246"/>
      <c r="FS139" s="1246"/>
      <c r="FT139" s="1246"/>
      <c r="FU139" s="1246"/>
      <c r="FV139" s="1246"/>
      <c r="FW139" s="1246"/>
      <c r="FX139" s="1246"/>
      <c r="FY139" s="1246"/>
      <c r="FZ139" s="1246"/>
      <c r="GA139" s="1246"/>
      <c r="GB139" s="1246"/>
      <c r="GC139" s="1246"/>
      <c r="GD139" s="1246"/>
      <c r="GE139" s="1246"/>
      <c r="GF139" s="1246"/>
      <c r="GG139" s="1246"/>
    </row>
    <row r="140" spans="1:189" s="1243" customFormat="1">
      <c r="A140" s="751" t="e">
        <f>+#REF!</f>
        <v>#REF!</v>
      </c>
      <c r="B140" s="753" t="e">
        <f>+#REF!</f>
        <v>#REF!</v>
      </c>
      <c r="C140" s="1408" t="e">
        <f>#REF!</f>
        <v>#REF!</v>
      </c>
      <c r="D140" s="648">
        <f>+J140</f>
        <v>483</v>
      </c>
      <c r="E140" s="527" t="e">
        <f>+#REF!</f>
        <v>#REF!</v>
      </c>
      <c r="F140" s="527" t="e">
        <f>+D140*E140</f>
        <v>#REF!</v>
      </c>
      <c r="H140" s="1244">
        <f>+F11</f>
        <v>460</v>
      </c>
      <c r="I140" s="1245">
        <v>1.05</v>
      </c>
      <c r="J140" s="1244">
        <f>H140*I140</f>
        <v>483</v>
      </c>
      <c r="K140" s="1246"/>
      <c r="L140" s="1246"/>
      <c r="M140" s="1246"/>
      <c r="N140" s="1246"/>
      <c r="O140" s="1246"/>
      <c r="P140" s="1246"/>
      <c r="Q140" s="1246"/>
      <c r="R140" s="1246"/>
      <c r="S140" s="1246"/>
      <c r="T140" s="1246"/>
      <c r="U140" s="1246"/>
      <c r="V140" s="1246"/>
      <c r="W140" s="1246"/>
      <c r="X140" s="1246"/>
      <c r="Y140" s="1246"/>
      <c r="Z140" s="1246"/>
      <c r="AA140" s="1246"/>
      <c r="AB140" s="1246"/>
      <c r="AC140" s="1246"/>
      <c r="AD140" s="1246"/>
      <c r="AE140" s="1246"/>
      <c r="AF140" s="1246"/>
      <c r="AG140" s="1246"/>
      <c r="AH140" s="1246"/>
      <c r="AI140" s="1246"/>
      <c r="AJ140" s="1246"/>
      <c r="AK140" s="1246"/>
      <c r="AL140" s="1246"/>
      <c r="AM140" s="1246"/>
      <c r="AN140" s="1246"/>
      <c r="AO140" s="1246"/>
      <c r="AP140" s="1246"/>
      <c r="AQ140" s="1246"/>
      <c r="AR140" s="1246"/>
      <c r="AS140" s="1246"/>
      <c r="AT140" s="1246"/>
      <c r="AU140" s="1246"/>
      <c r="AV140" s="1246"/>
      <c r="AW140" s="1246"/>
      <c r="AX140" s="1246"/>
      <c r="AY140" s="1246"/>
      <c r="AZ140" s="1246"/>
      <c r="BA140" s="1246"/>
      <c r="BB140" s="1246"/>
      <c r="BC140" s="1246"/>
      <c r="BD140" s="1246"/>
      <c r="BE140" s="1246"/>
      <c r="BF140" s="1246"/>
      <c r="BG140" s="1246"/>
      <c r="BH140" s="1246"/>
      <c r="BI140" s="1246"/>
      <c r="BJ140" s="1246"/>
      <c r="BK140" s="1246"/>
      <c r="BL140" s="1246"/>
      <c r="BM140" s="1246"/>
      <c r="BN140" s="1246"/>
      <c r="BO140" s="1246"/>
      <c r="BP140" s="1246"/>
      <c r="BQ140" s="1246"/>
      <c r="BR140" s="1246"/>
      <c r="BS140" s="1246"/>
      <c r="BT140" s="1246"/>
      <c r="BU140" s="1246"/>
      <c r="BV140" s="1246"/>
      <c r="BW140" s="1246"/>
      <c r="BX140" s="1246"/>
      <c r="BY140" s="1246"/>
      <c r="BZ140" s="1246"/>
      <c r="CA140" s="1246"/>
      <c r="CB140" s="1246"/>
      <c r="CC140" s="1246"/>
      <c r="CD140" s="1246"/>
      <c r="CE140" s="1246"/>
      <c r="CF140" s="1246"/>
      <c r="CG140" s="1246"/>
      <c r="CH140" s="1246"/>
      <c r="CI140" s="1246"/>
      <c r="CJ140" s="1246"/>
      <c r="CK140" s="1246"/>
      <c r="CL140" s="1246"/>
      <c r="CM140" s="1246"/>
      <c r="CN140" s="1246"/>
      <c r="CO140" s="1246"/>
      <c r="CP140" s="1246"/>
      <c r="CQ140" s="1246"/>
      <c r="CR140" s="1246"/>
      <c r="CS140" s="1246"/>
      <c r="CT140" s="1246"/>
      <c r="CU140" s="1246"/>
      <c r="CV140" s="1246"/>
      <c r="CW140" s="1246"/>
      <c r="CX140" s="1246"/>
      <c r="CY140" s="1246"/>
      <c r="CZ140" s="1246"/>
      <c r="DA140" s="1246"/>
      <c r="DB140" s="1246"/>
      <c r="DC140" s="1246"/>
      <c r="DD140" s="1246"/>
      <c r="DE140" s="1246"/>
      <c r="DF140" s="1246"/>
      <c r="DG140" s="1246"/>
      <c r="DH140" s="1246"/>
      <c r="DI140" s="1246"/>
      <c r="DJ140" s="1246"/>
      <c r="DK140" s="1246"/>
      <c r="DL140" s="1246"/>
      <c r="DM140" s="1246"/>
      <c r="DN140" s="1246"/>
      <c r="DO140" s="1246"/>
      <c r="DP140" s="1246"/>
      <c r="DQ140" s="1246"/>
      <c r="DR140" s="1246"/>
      <c r="DS140" s="1246"/>
      <c r="DT140" s="1246"/>
      <c r="DU140" s="1246"/>
      <c r="DV140" s="1246"/>
      <c r="DW140" s="1246"/>
      <c r="DX140" s="1246"/>
      <c r="DY140" s="1246"/>
      <c r="DZ140" s="1246"/>
      <c r="EA140" s="1246"/>
      <c r="EB140" s="1246"/>
      <c r="EC140" s="1246"/>
      <c r="ED140" s="1246"/>
      <c r="EE140" s="1246"/>
      <c r="EF140" s="1246"/>
      <c r="EG140" s="1246"/>
      <c r="EH140" s="1246"/>
      <c r="EI140" s="1246"/>
      <c r="EJ140" s="1246"/>
      <c r="EK140" s="1246"/>
      <c r="EL140" s="1246"/>
      <c r="EM140" s="1246"/>
      <c r="EN140" s="1246"/>
      <c r="EO140" s="1246"/>
      <c r="EP140" s="1246"/>
      <c r="EQ140" s="1246"/>
      <c r="ER140" s="1246"/>
      <c r="ES140" s="1246"/>
      <c r="ET140" s="1246"/>
      <c r="EU140" s="1246"/>
      <c r="EV140" s="1246"/>
      <c r="EW140" s="1246"/>
      <c r="EX140" s="1246"/>
      <c r="EY140" s="1246"/>
      <c r="EZ140" s="1246"/>
      <c r="FA140" s="1246"/>
      <c r="FB140" s="1246"/>
      <c r="FC140" s="1246"/>
      <c r="FD140" s="1246"/>
      <c r="FE140" s="1246"/>
      <c r="FF140" s="1246"/>
      <c r="FG140" s="1246"/>
      <c r="FH140" s="1246"/>
      <c r="FI140" s="1246"/>
      <c r="FJ140" s="1246"/>
      <c r="FK140" s="1246"/>
      <c r="FL140" s="1246"/>
      <c r="FM140" s="1246"/>
      <c r="FN140" s="1246"/>
      <c r="FO140" s="1246"/>
      <c r="FP140" s="1246"/>
      <c r="FQ140" s="1246"/>
      <c r="FR140" s="1246"/>
      <c r="FS140" s="1246"/>
      <c r="FT140" s="1246"/>
      <c r="FU140" s="1246"/>
      <c r="FV140" s="1246"/>
      <c r="FW140" s="1246"/>
      <c r="FX140" s="1246"/>
      <c r="FY140" s="1246"/>
      <c r="FZ140" s="1246"/>
      <c r="GA140" s="1246"/>
      <c r="GB140" s="1246"/>
      <c r="GC140" s="1246"/>
      <c r="GD140" s="1246"/>
      <c r="GE140" s="1246"/>
      <c r="GF140" s="1246"/>
      <c r="GG140" s="1246"/>
    </row>
    <row r="141" spans="1:189" s="1248" customFormat="1">
      <c r="A141" s="689" t="e">
        <f>+#REF!</f>
        <v>#REF!</v>
      </c>
      <c r="B141" s="711" t="e">
        <f>+#REF!</f>
        <v>#REF!</v>
      </c>
      <c r="C141" s="1407"/>
      <c r="D141" s="662"/>
      <c r="E141" s="641"/>
      <c r="F141" s="641"/>
      <c r="G141" s="1243"/>
      <c r="H141" s="1244"/>
      <c r="I141" s="1245"/>
      <c r="J141" s="1244"/>
      <c r="K141" s="1247"/>
      <c r="L141" s="1247"/>
      <c r="M141" s="1247"/>
      <c r="N141" s="1247"/>
      <c r="O141" s="1247"/>
      <c r="P141" s="1247"/>
      <c r="Q141" s="1247"/>
      <c r="R141" s="1247"/>
      <c r="S141" s="1247"/>
      <c r="T141" s="1247"/>
      <c r="U141" s="1247"/>
      <c r="V141" s="1247"/>
      <c r="W141" s="1247"/>
      <c r="X141" s="1247"/>
      <c r="Y141" s="1247"/>
      <c r="Z141" s="1247"/>
      <c r="AA141" s="1247"/>
      <c r="AB141" s="1247"/>
      <c r="AC141" s="1247"/>
      <c r="AD141" s="1247"/>
      <c r="AE141" s="1247"/>
      <c r="AF141" s="1247"/>
      <c r="AG141" s="1247"/>
      <c r="AH141" s="1247"/>
      <c r="AI141" s="1247"/>
      <c r="AJ141" s="1247"/>
      <c r="AK141" s="1247"/>
      <c r="AL141" s="1247"/>
      <c r="AM141" s="1247"/>
      <c r="AN141" s="1247"/>
      <c r="AO141" s="1247"/>
      <c r="AP141" s="1247"/>
      <c r="AQ141" s="1247"/>
      <c r="AR141" s="1247"/>
      <c r="AS141" s="1247"/>
      <c r="AT141" s="1247"/>
      <c r="AU141" s="1247"/>
      <c r="AV141" s="1247"/>
      <c r="AW141" s="1247"/>
      <c r="AX141" s="1247"/>
      <c r="AY141" s="1247"/>
      <c r="AZ141" s="1247"/>
      <c r="BA141" s="1247"/>
      <c r="BB141" s="1247"/>
      <c r="BC141" s="1247"/>
      <c r="BD141" s="1247"/>
      <c r="BE141" s="1247"/>
      <c r="BF141" s="1247"/>
      <c r="BG141" s="1247"/>
      <c r="BH141" s="1247"/>
      <c r="BI141" s="1247"/>
      <c r="BJ141" s="1247"/>
      <c r="BK141" s="1247"/>
      <c r="BL141" s="1247"/>
      <c r="BM141" s="1247"/>
      <c r="BN141" s="1247"/>
      <c r="BO141" s="1247"/>
      <c r="BP141" s="1247"/>
      <c r="BQ141" s="1247"/>
      <c r="BR141" s="1247"/>
      <c r="BS141" s="1247"/>
      <c r="BT141" s="1247"/>
      <c r="BU141" s="1247"/>
      <c r="BV141" s="1247"/>
      <c r="BW141" s="1247"/>
      <c r="BX141" s="1247"/>
      <c r="BY141" s="1247"/>
      <c r="BZ141" s="1247"/>
      <c r="CA141" s="1247"/>
      <c r="CB141" s="1247"/>
      <c r="CC141" s="1247"/>
      <c r="CD141" s="1247"/>
      <c r="CE141" s="1247"/>
      <c r="CF141" s="1247"/>
      <c r="CG141" s="1247"/>
      <c r="CH141" s="1247"/>
      <c r="CI141" s="1247"/>
      <c r="CJ141" s="1247"/>
      <c r="CK141" s="1247"/>
      <c r="CL141" s="1247"/>
      <c r="CM141" s="1247"/>
      <c r="CN141" s="1247"/>
      <c r="CO141" s="1247"/>
      <c r="CP141" s="1247"/>
      <c r="CQ141" s="1247"/>
      <c r="CR141" s="1247"/>
      <c r="CS141" s="1247"/>
      <c r="CT141" s="1247"/>
      <c r="CU141" s="1247"/>
      <c r="CV141" s="1247"/>
      <c r="CW141" s="1247"/>
      <c r="CX141" s="1247"/>
      <c r="CY141" s="1247"/>
      <c r="CZ141" s="1247"/>
      <c r="DA141" s="1247"/>
      <c r="DB141" s="1247"/>
      <c r="DC141" s="1247"/>
      <c r="DD141" s="1247"/>
      <c r="DE141" s="1247"/>
      <c r="DF141" s="1247"/>
      <c r="DG141" s="1247"/>
      <c r="DH141" s="1247"/>
      <c r="DI141" s="1247"/>
      <c r="DJ141" s="1247"/>
      <c r="DK141" s="1247"/>
      <c r="DL141" s="1247"/>
      <c r="DM141" s="1247"/>
      <c r="DN141" s="1247"/>
      <c r="DO141" s="1247"/>
      <c r="DP141" s="1247"/>
      <c r="DQ141" s="1247"/>
      <c r="DR141" s="1247"/>
      <c r="DS141" s="1247"/>
      <c r="DT141" s="1247"/>
      <c r="DU141" s="1247"/>
      <c r="DV141" s="1247"/>
      <c r="DW141" s="1247"/>
      <c r="DX141" s="1247"/>
      <c r="DY141" s="1247"/>
      <c r="DZ141" s="1247"/>
      <c r="EA141" s="1247"/>
      <c r="EB141" s="1247"/>
      <c r="EC141" s="1247"/>
      <c r="ED141" s="1247"/>
      <c r="EE141" s="1247"/>
      <c r="EF141" s="1247"/>
      <c r="EG141" s="1247"/>
      <c r="EH141" s="1247"/>
      <c r="EI141" s="1247"/>
      <c r="EJ141" s="1247"/>
      <c r="EK141" s="1247"/>
      <c r="EL141" s="1247"/>
      <c r="EM141" s="1247"/>
      <c r="EN141" s="1247"/>
      <c r="EO141" s="1247"/>
      <c r="EP141" s="1247"/>
      <c r="EQ141" s="1247"/>
      <c r="ER141" s="1247"/>
      <c r="ES141" s="1247"/>
      <c r="ET141" s="1247"/>
      <c r="EU141" s="1247"/>
      <c r="EV141" s="1247"/>
      <c r="EW141" s="1247"/>
      <c r="EX141" s="1247"/>
      <c r="EY141" s="1247"/>
      <c r="EZ141" s="1247"/>
      <c r="FA141" s="1247"/>
      <c r="FB141" s="1247"/>
      <c r="FC141" s="1247"/>
      <c r="FD141" s="1247"/>
      <c r="FE141" s="1247"/>
      <c r="FF141" s="1247"/>
      <c r="FG141" s="1247"/>
      <c r="FH141" s="1247"/>
      <c r="FI141" s="1247"/>
      <c r="FJ141" s="1247"/>
      <c r="FK141" s="1247"/>
      <c r="FL141" s="1247"/>
      <c r="FM141" s="1247"/>
      <c r="FN141" s="1247"/>
      <c r="FO141" s="1247"/>
      <c r="FP141" s="1247"/>
      <c r="FQ141" s="1247"/>
      <c r="FR141" s="1247"/>
      <c r="FS141" s="1247"/>
      <c r="FT141" s="1247"/>
      <c r="FU141" s="1247"/>
      <c r="FV141" s="1247"/>
      <c r="FW141" s="1247"/>
      <c r="FX141" s="1247"/>
      <c r="FY141" s="1247"/>
      <c r="FZ141" s="1247"/>
      <c r="GA141" s="1247"/>
      <c r="GB141" s="1247"/>
      <c r="GC141" s="1247"/>
      <c r="GD141" s="1247"/>
      <c r="GE141" s="1247"/>
      <c r="GF141" s="1247"/>
      <c r="GG141" s="1247"/>
    </row>
    <row r="142" spans="1:189" s="1243" customFormat="1">
      <c r="A142" s="750" t="e">
        <f>+#REF!</f>
        <v>#REF!</v>
      </c>
      <c r="B142" s="677" t="e">
        <f>+#REF!</f>
        <v>#REF!</v>
      </c>
      <c r="C142" s="1408" t="e">
        <f>#REF!</f>
        <v>#REF!</v>
      </c>
      <c r="D142" s="648">
        <f>J142</f>
        <v>429.00000000000006</v>
      </c>
      <c r="E142" s="547" t="e">
        <f>#REF!</f>
        <v>#REF!</v>
      </c>
      <c r="F142" s="527" t="e">
        <f>+D142*E142</f>
        <v>#REF!</v>
      </c>
      <c r="H142" s="1244">
        <f>F12</f>
        <v>390</v>
      </c>
      <c r="I142" s="1245">
        <v>1.1000000000000001</v>
      </c>
      <c r="J142" s="1244">
        <f>H142*I142</f>
        <v>429.00000000000006</v>
      </c>
      <c r="K142" s="1246"/>
      <c r="L142" s="1246"/>
      <c r="M142" s="1246"/>
      <c r="N142" s="1246"/>
      <c r="O142" s="1246"/>
      <c r="P142" s="1246"/>
      <c r="Q142" s="1246"/>
      <c r="R142" s="1246"/>
      <c r="S142" s="1246"/>
      <c r="T142" s="1246"/>
      <c r="U142" s="1246"/>
      <c r="V142" s="1246"/>
      <c r="W142" s="1246"/>
      <c r="X142" s="1246"/>
      <c r="Y142" s="1246"/>
      <c r="Z142" s="1246"/>
      <c r="AA142" s="1246"/>
      <c r="AB142" s="1246"/>
      <c r="AC142" s="1246"/>
      <c r="AD142" s="1246"/>
      <c r="AE142" s="1246"/>
      <c r="AF142" s="1246"/>
      <c r="AG142" s="1246"/>
      <c r="AH142" s="1246"/>
      <c r="AI142" s="1246"/>
      <c r="AJ142" s="1246"/>
      <c r="AK142" s="1246"/>
      <c r="AL142" s="1246"/>
      <c r="AM142" s="1246"/>
      <c r="AN142" s="1246"/>
      <c r="AO142" s="1246"/>
      <c r="AP142" s="1246"/>
      <c r="AQ142" s="1246"/>
      <c r="AR142" s="1246"/>
      <c r="AS142" s="1246"/>
      <c r="AT142" s="1246"/>
      <c r="AU142" s="1246"/>
      <c r="AV142" s="1246"/>
      <c r="AW142" s="1246"/>
      <c r="AX142" s="1246"/>
      <c r="AY142" s="1246"/>
      <c r="AZ142" s="1246"/>
      <c r="BA142" s="1246"/>
      <c r="BB142" s="1246"/>
      <c r="BC142" s="1246"/>
      <c r="BD142" s="1246"/>
      <c r="BE142" s="1246"/>
      <c r="BF142" s="1246"/>
      <c r="BG142" s="1246"/>
      <c r="BH142" s="1246"/>
      <c r="BI142" s="1246"/>
      <c r="BJ142" s="1246"/>
      <c r="BK142" s="1246"/>
      <c r="BL142" s="1246"/>
      <c r="BM142" s="1246"/>
      <c r="BN142" s="1246"/>
      <c r="BO142" s="1246"/>
      <c r="BP142" s="1246"/>
      <c r="BQ142" s="1246"/>
      <c r="BR142" s="1246"/>
      <c r="BS142" s="1246"/>
      <c r="BT142" s="1246"/>
      <c r="BU142" s="1246"/>
      <c r="BV142" s="1246"/>
      <c r="BW142" s="1246"/>
      <c r="BX142" s="1246"/>
      <c r="BY142" s="1246"/>
      <c r="BZ142" s="1246"/>
      <c r="CA142" s="1246"/>
      <c r="CB142" s="1246"/>
      <c r="CC142" s="1246"/>
      <c r="CD142" s="1246"/>
      <c r="CE142" s="1246"/>
      <c r="CF142" s="1246"/>
      <c r="CG142" s="1246"/>
      <c r="CH142" s="1246"/>
      <c r="CI142" s="1246"/>
      <c r="CJ142" s="1246"/>
      <c r="CK142" s="1246"/>
      <c r="CL142" s="1246"/>
      <c r="CM142" s="1246"/>
      <c r="CN142" s="1246"/>
      <c r="CO142" s="1246"/>
      <c r="CP142" s="1246"/>
      <c r="CQ142" s="1246"/>
      <c r="CR142" s="1246"/>
      <c r="CS142" s="1246"/>
      <c r="CT142" s="1246"/>
      <c r="CU142" s="1246"/>
      <c r="CV142" s="1246"/>
      <c r="CW142" s="1246"/>
      <c r="CX142" s="1246"/>
      <c r="CY142" s="1246"/>
      <c r="CZ142" s="1246"/>
      <c r="DA142" s="1246"/>
      <c r="DB142" s="1246"/>
      <c r="DC142" s="1246"/>
      <c r="DD142" s="1246"/>
      <c r="DE142" s="1246"/>
      <c r="DF142" s="1246"/>
      <c r="DG142" s="1246"/>
      <c r="DH142" s="1246"/>
      <c r="DI142" s="1246"/>
      <c r="DJ142" s="1246"/>
      <c r="DK142" s="1246"/>
      <c r="DL142" s="1246"/>
      <c r="DM142" s="1246"/>
      <c r="DN142" s="1246"/>
      <c r="DO142" s="1246"/>
      <c r="DP142" s="1246"/>
      <c r="DQ142" s="1246"/>
      <c r="DR142" s="1246"/>
      <c r="DS142" s="1246"/>
      <c r="DT142" s="1246"/>
      <c r="DU142" s="1246"/>
      <c r="DV142" s="1246"/>
      <c r="DW142" s="1246"/>
      <c r="DX142" s="1246"/>
      <c r="DY142" s="1246"/>
      <c r="DZ142" s="1246"/>
      <c r="EA142" s="1246"/>
      <c r="EB142" s="1246"/>
      <c r="EC142" s="1246"/>
      <c r="ED142" s="1246"/>
      <c r="EE142" s="1246"/>
      <c r="EF142" s="1246"/>
      <c r="EG142" s="1246"/>
      <c r="EH142" s="1246"/>
      <c r="EI142" s="1246"/>
      <c r="EJ142" s="1246"/>
      <c r="EK142" s="1246"/>
      <c r="EL142" s="1246"/>
      <c r="EM142" s="1246"/>
      <c r="EN142" s="1246"/>
      <c r="EO142" s="1246"/>
      <c r="EP142" s="1246"/>
      <c r="EQ142" s="1246"/>
      <c r="ER142" s="1246"/>
      <c r="ES142" s="1246"/>
      <c r="ET142" s="1246"/>
      <c r="EU142" s="1246"/>
      <c r="EV142" s="1246"/>
      <c r="EW142" s="1246"/>
      <c r="EX142" s="1246"/>
      <c r="EY142" s="1246"/>
      <c r="EZ142" s="1246"/>
      <c r="FA142" s="1246"/>
      <c r="FB142" s="1246"/>
      <c r="FC142" s="1246"/>
      <c r="FD142" s="1246"/>
      <c r="FE142" s="1246"/>
      <c r="FF142" s="1246"/>
      <c r="FG142" s="1246"/>
      <c r="FH142" s="1246"/>
      <c r="FI142" s="1246"/>
      <c r="FJ142" s="1246"/>
      <c r="FK142" s="1246"/>
      <c r="FL142" s="1246"/>
      <c r="FM142" s="1246"/>
      <c r="FN142" s="1246"/>
      <c r="FO142" s="1246"/>
      <c r="FP142" s="1246"/>
      <c r="FQ142" s="1246"/>
      <c r="FR142" s="1246"/>
      <c r="FS142" s="1246"/>
      <c r="FT142" s="1246"/>
      <c r="FU142" s="1246"/>
      <c r="FV142" s="1246"/>
      <c r="FW142" s="1246"/>
      <c r="FX142" s="1246"/>
      <c r="FY142" s="1246"/>
      <c r="FZ142" s="1246"/>
      <c r="GA142" s="1246"/>
      <c r="GB142" s="1246"/>
      <c r="GC142" s="1246"/>
      <c r="GD142" s="1246"/>
      <c r="GE142" s="1246"/>
      <c r="GF142" s="1246"/>
      <c r="GG142" s="1246"/>
    </row>
    <row r="143" spans="1:189" s="1248" customFormat="1">
      <c r="A143" s="689" t="e">
        <f>+#REF!</f>
        <v>#REF!</v>
      </c>
      <c r="B143" s="711" t="e">
        <f>+#REF!</f>
        <v>#REF!</v>
      </c>
      <c r="C143" s="1485"/>
      <c r="D143" s="654"/>
      <c r="E143" s="633"/>
      <c r="F143" s="633"/>
      <c r="G143" s="1243"/>
      <c r="H143" s="1244"/>
      <c r="I143" s="1245"/>
      <c r="J143" s="1244"/>
      <c r="K143" s="1247"/>
      <c r="L143" s="1247"/>
      <c r="M143" s="1247"/>
      <c r="N143" s="1247"/>
      <c r="O143" s="1247"/>
      <c r="P143" s="1247"/>
      <c r="Q143" s="1247"/>
      <c r="R143" s="1247"/>
      <c r="S143" s="1247"/>
      <c r="T143" s="1247"/>
      <c r="U143" s="1247"/>
      <c r="V143" s="1247"/>
      <c r="W143" s="1247"/>
      <c r="X143" s="1247"/>
      <c r="Y143" s="1247"/>
      <c r="Z143" s="1247"/>
      <c r="AA143" s="1247"/>
      <c r="AB143" s="1247"/>
      <c r="AC143" s="1247"/>
      <c r="AD143" s="1247"/>
      <c r="AE143" s="1247"/>
      <c r="AF143" s="1247"/>
      <c r="AG143" s="1247"/>
      <c r="AH143" s="1247"/>
      <c r="AI143" s="1247"/>
      <c r="AJ143" s="1247"/>
      <c r="AK143" s="1247"/>
      <c r="AL143" s="1247"/>
      <c r="AM143" s="1247"/>
      <c r="AN143" s="1247"/>
      <c r="AO143" s="1247"/>
      <c r="AP143" s="1247"/>
      <c r="AQ143" s="1247"/>
      <c r="AR143" s="1247"/>
      <c r="AS143" s="1247"/>
      <c r="AT143" s="1247"/>
      <c r="AU143" s="1247"/>
      <c r="AV143" s="1247"/>
      <c r="AW143" s="1247"/>
      <c r="AX143" s="1247"/>
      <c r="AY143" s="1247"/>
      <c r="AZ143" s="1247"/>
      <c r="BA143" s="1247"/>
      <c r="BB143" s="1247"/>
      <c r="BC143" s="1247"/>
      <c r="BD143" s="1247"/>
      <c r="BE143" s="1247"/>
      <c r="BF143" s="1247"/>
      <c r="BG143" s="1247"/>
      <c r="BH143" s="1247"/>
      <c r="BI143" s="1247"/>
      <c r="BJ143" s="1247"/>
      <c r="BK143" s="1247"/>
      <c r="BL143" s="1247"/>
      <c r="BM143" s="1247"/>
      <c r="BN143" s="1247"/>
      <c r="BO143" s="1247"/>
      <c r="BP143" s="1247"/>
      <c r="BQ143" s="1247"/>
      <c r="BR143" s="1247"/>
      <c r="BS143" s="1247"/>
      <c r="BT143" s="1247"/>
      <c r="BU143" s="1247"/>
      <c r="BV143" s="1247"/>
      <c r="BW143" s="1247"/>
      <c r="BX143" s="1247"/>
      <c r="BY143" s="1247"/>
      <c r="BZ143" s="1247"/>
      <c r="CA143" s="1247"/>
      <c r="CB143" s="1247"/>
      <c r="CC143" s="1247"/>
      <c r="CD143" s="1247"/>
      <c r="CE143" s="1247"/>
      <c r="CF143" s="1247"/>
      <c r="CG143" s="1247"/>
      <c r="CH143" s="1247"/>
      <c r="CI143" s="1247"/>
      <c r="CJ143" s="1247"/>
      <c r="CK143" s="1247"/>
      <c r="CL143" s="1247"/>
      <c r="CM143" s="1247"/>
      <c r="CN143" s="1247"/>
      <c r="CO143" s="1247"/>
      <c r="CP143" s="1247"/>
      <c r="CQ143" s="1247"/>
      <c r="CR143" s="1247"/>
      <c r="CS143" s="1247"/>
      <c r="CT143" s="1247"/>
      <c r="CU143" s="1247"/>
      <c r="CV143" s="1247"/>
      <c r="CW143" s="1247"/>
      <c r="CX143" s="1247"/>
      <c r="CY143" s="1247"/>
      <c r="CZ143" s="1247"/>
      <c r="DA143" s="1247"/>
      <c r="DB143" s="1247"/>
      <c r="DC143" s="1247"/>
      <c r="DD143" s="1247"/>
      <c r="DE143" s="1247"/>
      <c r="DF143" s="1247"/>
      <c r="DG143" s="1247"/>
      <c r="DH143" s="1247"/>
      <c r="DI143" s="1247"/>
      <c r="DJ143" s="1247"/>
      <c r="DK143" s="1247"/>
      <c r="DL143" s="1247"/>
      <c r="DM143" s="1247"/>
      <c r="DN143" s="1247"/>
      <c r="DO143" s="1247"/>
      <c r="DP143" s="1247"/>
      <c r="DQ143" s="1247"/>
      <c r="DR143" s="1247"/>
      <c r="DS143" s="1247"/>
      <c r="DT143" s="1247"/>
      <c r="DU143" s="1247"/>
      <c r="DV143" s="1247"/>
      <c r="DW143" s="1247"/>
      <c r="DX143" s="1247"/>
      <c r="DY143" s="1247"/>
      <c r="DZ143" s="1247"/>
      <c r="EA143" s="1247"/>
      <c r="EB143" s="1247"/>
      <c r="EC143" s="1247"/>
      <c r="ED143" s="1247"/>
      <c r="EE143" s="1247"/>
      <c r="EF143" s="1247"/>
      <c r="EG143" s="1247"/>
      <c r="EH143" s="1247"/>
      <c r="EI143" s="1247"/>
      <c r="EJ143" s="1247"/>
      <c r="EK143" s="1247"/>
      <c r="EL143" s="1247"/>
      <c r="EM143" s="1247"/>
      <c r="EN143" s="1247"/>
      <c r="EO143" s="1247"/>
      <c r="EP143" s="1247"/>
      <c r="EQ143" s="1247"/>
      <c r="ER143" s="1247"/>
      <c r="ES143" s="1247"/>
      <c r="ET143" s="1247"/>
      <c r="EU143" s="1247"/>
      <c r="EV143" s="1247"/>
      <c r="EW143" s="1247"/>
      <c r="EX143" s="1247"/>
      <c r="EY143" s="1247"/>
      <c r="EZ143" s="1247"/>
      <c r="FA143" s="1247"/>
      <c r="FB143" s="1247"/>
      <c r="FC143" s="1247"/>
      <c r="FD143" s="1247"/>
      <c r="FE143" s="1247"/>
      <c r="FF143" s="1247"/>
      <c r="FG143" s="1247"/>
      <c r="FH143" s="1247"/>
      <c r="FI143" s="1247"/>
      <c r="FJ143" s="1247"/>
      <c r="FK143" s="1247"/>
      <c r="FL143" s="1247"/>
      <c r="FM143" s="1247"/>
      <c r="FN143" s="1247"/>
      <c r="FO143" s="1247"/>
      <c r="FP143" s="1247"/>
      <c r="FQ143" s="1247"/>
      <c r="FR143" s="1247"/>
      <c r="FS143" s="1247"/>
      <c r="FT143" s="1247"/>
      <c r="FU143" s="1247"/>
      <c r="FV143" s="1247"/>
      <c r="FW143" s="1247"/>
      <c r="FX143" s="1247"/>
      <c r="FY143" s="1247"/>
      <c r="FZ143" s="1247"/>
      <c r="GA143" s="1247"/>
      <c r="GB143" s="1247"/>
      <c r="GC143" s="1247"/>
      <c r="GD143" s="1247"/>
      <c r="GE143" s="1247"/>
      <c r="GF143" s="1247"/>
      <c r="GG143" s="1247"/>
    </row>
    <row r="144" spans="1:189" s="1243" customFormat="1">
      <c r="A144" s="639"/>
      <c r="B144" s="681"/>
      <c r="C144" s="1408" t="e">
        <f>#REF!</f>
        <v>#REF!</v>
      </c>
      <c r="D144" s="648">
        <v>1</v>
      </c>
      <c r="E144" s="547" t="e">
        <f>#REF!</f>
        <v>#REF!</v>
      </c>
      <c r="F144" s="527" t="e">
        <f>+D144*E144</f>
        <v>#REF!</v>
      </c>
      <c r="H144" s="1244">
        <v>0</v>
      </c>
      <c r="I144" s="1245">
        <v>1</v>
      </c>
      <c r="J144" s="1244">
        <f>H144*I144</f>
        <v>0</v>
      </c>
      <c r="K144" s="1246"/>
      <c r="L144" s="1246"/>
      <c r="M144" s="1246"/>
      <c r="N144" s="1246"/>
      <c r="O144" s="1246"/>
      <c r="P144" s="1246"/>
      <c r="Q144" s="1246"/>
      <c r="R144" s="1246"/>
      <c r="S144" s="1246"/>
      <c r="T144" s="1246"/>
      <c r="U144" s="1246"/>
      <c r="V144" s="1246"/>
      <c r="W144" s="1246"/>
      <c r="X144" s="1246"/>
      <c r="Y144" s="1246"/>
      <c r="Z144" s="1246"/>
      <c r="AA144" s="1246"/>
      <c r="AB144" s="1246"/>
      <c r="AC144" s="1246"/>
      <c r="AD144" s="1246"/>
      <c r="AE144" s="1246"/>
      <c r="AF144" s="1246"/>
      <c r="AG144" s="1246"/>
      <c r="AH144" s="1246"/>
      <c r="AI144" s="1246"/>
      <c r="AJ144" s="1246"/>
      <c r="AK144" s="1246"/>
      <c r="AL144" s="1246"/>
      <c r="AM144" s="1246"/>
      <c r="AN144" s="1246"/>
      <c r="AO144" s="1246"/>
      <c r="AP144" s="1246"/>
      <c r="AQ144" s="1246"/>
      <c r="AR144" s="1246"/>
      <c r="AS144" s="1246"/>
      <c r="AT144" s="1246"/>
      <c r="AU144" s="1246"/>
      <c r="AV144" s="1246"/>
      <c r="AW144" s="1246"/>
      <c r="AX144" s="1246"/>
      <c r="AY144" s="1246"/>
      <c r="AZ144" s="1246"/>
      <c r="BA144" s="1246"/>
      <c r="BB144" s="1246"/>
      <c r="BC144" s="1246"/>
      <c r="BD144" s="1246"/>
      <c r="BE144" s="1246"/>
      <c r="BF144" s="1246"/>
      <c r="BG144" s="1246"/>
      <c r="BH144" s="1246"/>
      <c r="BI144" s="1246"/>
      <c r="BJ144" s="1246"/>
      <c r="BK144" s="1246"/>
      <c r="BL144" s="1246"/>
      <c r="BM144" s="1246"/>
      <c r="BN144" s="1246"/>
      <c r="BO144" s="1246"/>
      <c r="BP144" s="1246"/>
      <c r="BQ144" s="1246"/>
      <c r="BR144" s="1246"/>
      <c r="BS144" s="1246"/>
      <c r="BT144" s="1246"/>
      <c r="BU144" s="1246"/>
      <c r="BV144" s="1246"/>
      <c r="BW144" s="1246"/>
      <c r="BX144" s="1246"/>
      <c r="BY144" s="1246"/>
      <c r="BZ144" s="1246"/>
      <c r="CA144" s="1246"/>
      <c r="CB144" s="1246"/>
      <c r="CC144" s="1246"/>
      <c r="CD144" s="1246"/>
      <c r="CE144" s="1246"/>
      <c r="CF144" s="1246"/>
      <c r="CG144" s="1246"/>
      <c r="CH144" s="1246"/>
      <c r="CI144" s="1246"/>
      <c r="CJ144" s="1246"/>
      <c r="CK144" s="1246"/>
      <c r="CL144" s="1246"/>
      <c r="CM144" s="1246"/>
      <c r="CN144" s="1246"/>
      <c r="CO144" s="1246"/>
      <c r="CP144" s="1246"/>
      <c r="CQ144" s="1246"/>
      <c r="CR144" s="1246"/>
      <c r="CS144" s="1246"/>
      <c r="CT144" s="1246"/>
      <c r="CU144" s="1246"/>
      <c r="CV144" s="1246"/>
      <c r="CW144" s="1246"/>
      <c r="CX144" s="1246"/>
      <c r="CY144" s="1246"/>
      <c r="CZ144" s="1246"/>
      <c r="DA144" s="1246"/>
      <c r="DB144" s="1246"/>
      <c r="DC144" s="1246"/>
      <c r="DD144" s="1246"/>
      <c r="DE144" s="1246"/>
      <c r="DF144" s="1246"/>
      <c r="DG144" s="1246"/>
      <c r="DH144" s="1246"/>
      <c r="DI144" s="1246"/>
      <c r="DJ144" s="1246"/>
      <c r="DK144" s="1246"/>
      <c r="DL144" s="1246"/>
      <c r="DM144" s="1246"/>
      <c r="DN144" s="1246"/>
      <c r="DO144" s="1246"/>
      <c r="DP144" s="1246"/>
      <c r="DQ144" s="1246"/>
      <c r="DR144" s="1246"/>
      <c r="DS144" s="1246"/>
      <c r="DT144" s="1246"/>
      <c r="DU144" s="1246"/>
      <c r="DV144" s="1246"/>
      <c r="DW144" s="1246"/>
      <c r="DX144" s="1246"/>
      <c r="DY144" s="1246"/>
      <c r="DZ144" s="1246"/>
      <c r="EA144" s="1246"/>
      <c r="EB144" s="1246"/>
      <c r="EC144" s="1246"/>
      <c r="ED144" s="1246"/>
      <c r="EE144" s="1246"/>
      <c r="EF144" s="1246"/>
      <c r="EG144" s="1246"/>
      <c r="EH144" s="1246"/>
      <c r="EI144" s="1246"/>
      <c r="EJ144" s="1246"/>
      <c r="EK144" s="1246"/>
      <c r="EL144" s="1246"/>
      <c r="EM144" s="1246"/>
      <c r="EN144" s="1246"/>
      <c r="EO144" s="1246"/>
      <c r="EP144" s="1246"/>
      <c r="EQ144" s="1246"/>
      <c r="ER144" s="1246"/>
      <c r="ES144" s="1246"/>
      <c r="ET144" s="1246"/>
      <c r="EU144" s="1246"/>
      <c r="EV144" s="1246"/>
      <c r="EW144" s="1246"/>
      <c r="EX144" s="1246"/>
      <c r="EY144" s="1246"/>
      <c r="EZ144" s="1246"/>
      <c r="FA144" s="1246"/>
      <c r="FB144" s="1246"/>
      <c r="FC144" s="1246"/>
      <c r="FD144" s="1246"/>
      <c r="FE144" s="1246"/>
      <c r="FF144" s="1246"/>
      <c r="FG144" s="1246"/>
      <c r="FH144" s="1246"/>
      <c r="FI144" s="1246"/>
      <c r="FJ144" s="1246"/>
      <c r="FK144" s="1246"/>
      <c r="FL144" s="1246"/>
      <c r="FM144" s="1246"/>
      <c r="FN144" s="1246"/>
      <c r="FO144" s="1246"/>
      <c r="FP144" s="1246"/>
      <c r="FQ144" s="1246"/>
      <c r="FR144" s="1246"/>
      <c r="FS144" s="1246"/>
      <c r="FT144" s="1246"/>
      <c r="FU144" s="1246"/>
      <c r="FV144" s="1246"/>
      <c r="FW144" s="1246"/>
      <c r="FX144" s="1246"/>
      <c r="FY144" s="1246"/>
      <c r="FZ144" s="1246"/>
      <c r="GA144" s="1246"/>
      <c r="GB144" s="1246"/>
      <c r="GC144" s="1246"/>
      <c r="GD144" s="1246"/>
      <c r="GE144" s="1246"/>
      <c r="GF144" s="1246"/>
      <c r="GG144" s="1246"/>
    </row>
    <row r="145" spans="1:189" s="1243" customFormat="1">
      <c r="A145" s="689" t="e">
        <f>+#REF!</f>
        <v>#REF!</v>
      </c>
      <c r="B145" s="711" t="e">
        <f>+#REF!</f>
        <v>#REF!</v>
      </c>
      <c r="C145" s="1407"/>
      <c r="D145" s="662"/>
      <c r="E145" s="641"/>
      <c r="F145" s="641"/>
      <c r="H145" s="1244"/>
      <c r="I145" s="1245"/>
      <c r="J145" s="1244"/>
      <c r="K145" s="1249" t="e">
        <f>+#REF!/#REF!</f>
        <v>#REF!</v>
      </c>
      <c r="L145" s="1246">
        <v>3</v>
      </c>
      <c r="M145" s="1246"/>
      <c r="N145" s="1246"/>
      <c r="O145" s="1246"/>
      <c r="P145" s="1246"/>
      <c r="Q145" s="1246"/>
      <c r="R145" s="1246"/>
      <c r="S145" s="1246"/>
      <c r="T145" s="1246"/>
      <c r="U145" s="1246"/>
      <c r="V145" s="1246"/>
      <c r="W145" s="1246"/>
      <c r="X145" s="1246"/>
      <c r="Y145" s="1246"/>
      <c r="Z145" s="1246"/>
      <c r="AA145" s="1246"/>
      <c r="AB145" s="1246"/>
      <c r="AC145" s="1246"/>
      <c r="AD145" s="1246"/>
      <c r="AE145" s="1246"/>
      <c r="AF145" s="1246"/>
      <c r="AG145" s="1246"/>
      <c r="AH145" s="1246"/>
      <c r="AI145" s="1246"/>
      <c r="AJ145" s="1246"/>
      <c r="AK145" s="1246"/>
      <c r="AL145" s="1246"/>
      <c r="AM145" s="1246"/>
      <c r="AN145" s="1246"/>
      <c r="AO145" s="1246"/>
      <c r="AP145" s="1246"/>
      <c r="AQ145" s="1246"/>
      <c r="AR145" s="1246"/>
      <c r="AS145" s="1246"/>
      <c r="AT145" s="1246"/>
      <c r="AU145" s="1246"/>
      <c r="AV145" s="1246"/>
      <c r="AW145" s="1246"/>
      <c r="AX145" s="1246"/>
      <c r="AY145" s="1246"/>
      <c r="AZ145" s="1246"/>
      <c r="BA145" s="1246"/>
      <c r="BB145" s="1246"/>
      <c r="BC145" s="1246"/>
      <c r="BD145" s="1246"/>
      <c r="BE145" s="1246"/>
      <c r="BF145" s="1246"/>
      <c r="BG145" s="1246"/>
      <c r="BH145" s="1246"/>
      <c r="BI145" s="1246"/>
      <c r="BJ145" s="1246"/>
      <c r="BK145" s="1246"/>
      <c r="BL145" s="1246"/>
      <c r="BM145" s="1246"/>
      <c r="BN145" s="1246"/>
      <c r="BO145" s="1246"/>
      <c r="BP145" s="1246"/>
      <c r="BQ145" s="1246"/>
      <c r="BR145" s="1246"/>
      <c r="BS145" s="1246"/>
      <c r="BT145" s="1246"/>
      <c r="BU145" s="1246"/>
      <c r="BV145" s="1246"/>
      <c r="BW145" s="1246"/>
      <c r="BX145" s="1246"/>
      <c r="BY145" s="1246"/>
      <c r="BZ145" s="1246"/>
      <c r="CA145" s="1246"/>
      <c r="CB145" s="1246"/>
      <c r="CC145" s="1246"/>
      <c r="CD145" s="1246"/>
      <c r="CE145" s="1246"/>
      <c r="CF145" s="1246"/>
      <c r="CG145" s="1246"/>
      <c r="CH145" s="1246"/>
      <c r="CI145" s="1246"/>
      <c r="CJ145" s="1246"/>
      <c r="CK145" s="1246"/>
      <c r="CL145" s="1246"/>
      <c r="CM145" s="1246"/>
      <c r="CN145" s="1246"/>
      <c r="CO145" s="1246"/>
      <c r="CP145" s="1246"/>
      <c r="CQ145" s="1246"/>
      <c r="CR145" s="1246"/>
      <c r="CS145" s="1246"/>
      <c r="CT145" s="1246"/>
      <c r="CU145" s="1246"/>
      <c r="CV145" s="1246"/>
      <c r="CW145" s="1246"/>
      <c r="CX145" s="1246"/>
      <c r="CY145" s="1246"/>
      <c r="CZ145" s="1246"/>
      <c r="DA145" s="1246"/>
      <c r="DB145" s="1246"/>
      <c r="DC145" s="1246"/>
      <c r="DD145" s="1246"/>
      <c r="DE145" s="1246"/>
      <c r="DF145" s="1246"/>
      <c r="DG145" s="1246"/>
      <c r="DH145" s="1246"/>
      <c r="DI145" s="1246"/>
      <c r="DJ145" s="1246"/>
      <c r="DK145" s="1246"/>
      <c r="DL145" s="1246"/>
      <c r="DM145" s="1246"/>
      <c r="DN145" s="1246"/>
      <c r="DO145" s="1246"/>
      <c r="DP145" s="1246"/>
      <c r="DQ145" s="1246"/>
      <c r="DR145" s="1246"/>
      <c r="DS145" s="1246"/>
      <c r="DT145" s="1246"/>
      <c r="DU145" s="1246"/>
      <c r="DV145" s="1246"/>
      <c r="DW145" s="1246"/>
      <c r="DX145" s="1246"/>
      <c r="DY145" s="1246"/>
      <c r="DZ145" s="1246"/>
      <c r="EA145" s="1246"/>
      <c r="EB145" s="1246"/>
      <c r="EC145" s="1246"/>
      <c r="ED145" s="1246"/>
      <c r="EE145" s="1246"/>
      <c r="EF145" s="1246"/>
      <c r="EG145" s="1246"/>
      <c r="EH145" s="1246"/>
      <c r="EI145" s="1246"/>
      <c r="EJ145" s="1246"/>
      <c r="EK145" s="1246"/>
      <c r="EL145" s="1246"/>
      <c r="EM145" s="1246"/>
      <c r="EN145" s="1246"/>
      <c r="EO145" s="1246"/>
      <c r="EP145" s="1246"/>
      <c r="EQ145" s="1246"/>
      <c r="ER145" s="1246"/>
      <c r="ES145" s="1246"/>
      <c r="ET145" s="1246"/>
      <c r="EU145" s="1246"/>
      <c r="EV145" s="1246"/>
      <c r="EW145" s="1246"/>
      <c r="EX145" s="1246"/>
      <c r="EY145" s="1246"/>
      <c r="EZ145" s="1246"/>
      <c r="FA145" s="1246"/>
      <c r="FB145" s="1246"/>
      <c r="FC145" s="1246"/>
      <c r="FD145" s="1246"/>
      <c r="FE145" s="1246"/>
      <c r="FF145" s="1246"/>
      <c r="FG145" s="1246"/>
      <c r="FH145" s="1246"/>
      <c r="FI145" s="1246"/>
      <c r="FJ145" s="1246"/>
      <c r="FK145" s="1246"/>
      <c r="FL145" s="1246"/>
      <c r="FM145" s="1246"/>
      <c r="FN145" s="1246"/>
      <c r="FO145" s="1246"/>
      <c r="FP145" s="1246"/>
      <c r="FQ145" s="1246"/>
      <c r="FR145" s="1246"/>
      <c r="FS145" s="1246"/>
      <c r="FT145" s="1246"/>
      <c r="FU145" s="1246"/>
      <c r="FV145" s="1246"/>
      <c r="FW145" s="1246"/>
      <c r="FX145" s="1246"/>
      <c r="FY145" s="1246"/>
      <c r="FZ145" s="1246"/>
      <c r="GA145" s="1246"/>
      <c r="GB145" s="1246"/>
      <c r="GC145" s="1246"/>
      <c r="GD145" s="1246"/>
      <c r="GE145" s="1246"/>
      <c r="GF145" s="1246"/>
      <c r="GG145" s="1246"/>
    </row>
    <row r="146" spans="1:189" s="1243" customFormat="1" ht="30" customHeight="1">
      <c r="A146" s="785" t="e">
        <f>+#REF!</f>
        <v>#REF!</v>
      </c>
      <c r="B146" s="764" t="e">
        <f>+#REF!</f>
        <v>#REF!</v>
      </c>
      <c r="C146" s="1485" t="e">
        <f>#REF!</f>
        <v>#REF!</v>
      </c>
      <c r="D146" s="654">
        <f>J146</f>
        <v>58.553000000000004</v>
      </c>
      <c r="E146" s="633" t="e">
        <f>#REF!</f>
        <v>#REF!</v>
      </c>
      <c r="F146" s="633" t="e">
        <f>+D146*E146</f>
        <v>#REF!</v>
      </c>
      <c r="H146" s="1244">
        <f>SUM(D137:D142)/50+10</f>
        <v>53.23</v>
      </c>
      <c r="I146" s="1245">
        <v>1.1000000000000001</v>
      </c>
      <c r="J146" s="1244">
        <f>H146*I146</f>
        <v>58.553000000000004</v>
      </c>
      <c r="K146" s="1246"/>
      <c r="L146" s="1250" t="e">
        <f>+#REF!/#REF!*L145</f>
        <v>#REF!</v>
      </c>
      <c r="M146" s="1246"/>
      <c r="N146" s="1246"/>
      <c r="O146" s="1246"/>
      <c r="P146" s="1246"/>
      <c r="Q146" s="1246"/>
      <c r="R146" s="1246"/>
      <c r="S146" s="1246"/>
      <c r="T146" s="1246"/>
      <c r="U146" s="1246"/>
      <c r="V146" s="1246"/>
      <c r="W146" s="1246"/>
      <c r="X146" s="1246"/>
      <c r="Y146" s="1246"/>
      <c r="Z146" s="1246"/>
      <c r="AA146" s="1246"/>
      <c r="AB146" s="1246"/>
      <c r="AC146" s="1246"/>
      <c r="AD146" s="1246"/>
      <c r="AE146" s="1246"/>
      <c r="AF146" s="1246"/>
      <c r="AG146" s="1246"/>
      <c r="AH146" s="1246"/>
      <c r="AI146" s="1246"/>
      <c r="AJ146" s="1246"/>
      <c r="AK146" s="1246"/>
      <c r="AL146" s="1246"/>
      <c r="AM146" s="1246"/>
      <c r="AN146" s="1246"/>
      <c r="AO146" s="1246"/>
      <c r="AP146" s="1246"/>
      <c r="AQ146" s="1246"/>
      <c r="AR146" s="1246"/>
      <c r="AS146" s="1246"/>
      <c r="AT146" s="1246"/>
      <c r="AU146" s="1246"/>
      <c r="AV146" s="1246"/>
      <c r="AW146" s="1246"/>
      <c r="AX146" s="1246"/>
      <c r="AY146" s="1246"/>
      <c r="AZ146" s="1246"/>
      <c r="BA146" s="1246"/>
      <c r="BB146" s="1246"/>
      <c r="BC146" s="1246"/>
      <c r="BD146" s="1246"/>
      <c r="BE146" s="1246"/>
      <c r="BF146" s="1246"/>
      <c r="BG146" s="1246"/>
      <c r="BH146" s="1246"/>
      <c r="BI146" s="1246"/>
      <c r="BJ146" s="1246"/>
      <c r="BK146" s="1246"/>
      <c r="BL146" s="1246"/>
      <c r="BM146" s="1246"/>
      <c r="BN146" s="1246"/>
      <c r="BO146" s="1246"/>
      <c r="BP146" s="1246"/>
      <c r="BQ146" s="1246"/>
      <c r="BR146" s="1246"/>
      <c r="BS146" s="1246"/>
      <c r="BT146" s="1246"/>
      <c r="BU146" s="1246"/>
      <c r="BV146" s="1246"/>
      <c r="BW146" s="1246"/>
      <c r="BX146" s="1246"/>
      <c r="BY146" s="1246"/>
      <c r="BZ146" s="1246"/>
      <c r="CA146" s="1246"/>
      <c r="CB146" s="1246"/>
      <c r="CC146" s="1246"/>
      <c r="CD146" s="1246"/>
      <c r="CE146" s="1246"/>
      <c r="CF146" s="1246"/>
      <c r="CG146" s="1246"/>
      <c r="CH146" s="1246"/>
      <c r="CI146" s="1246"/>
      <c r="CJ146" s="1246"/>
      <c r="CK146" s="1246"/>
      <c r="CL146" s="1246"/>
      <c r="CM146" s="1246"/>
      <c r="CN146" s="1246"/>
      <c r="CO146" s="1246"/>
      <c r="CP146" s="1246"/>
      <c r="CQ146" s="1246"/>
      <c r="CR146" s="1246"/>
      <c r="CS146" s="1246"/>
      <c r="CT146" s="1246"/>
      <c r="CU146" s="1246"/>
      <c r="CV146" s="1246"/>
      <c r="CW146" s="1246"/>
      <c r="CX146" s="1246"/>
      <c r="CY146" s="1246"/>
      <c r="CZ146" s="1246"/>
      <c r="DA146" s="1246"/>
      <c r="DB146" s="1246"/>
      <c r="DC146" s="1246"/>
      <c r="DD146" s="1246"/>
      <c r="DE146" s="1246"/>
      <c r="DF146" s="1246"/>
      <c r="DG146" s="1246"/>
      <c r="DH146" s="1246"/>
      <c r="DI146" s="1246"/>
      <c r="DJ146" s="1246"/>
      <c r="DK146" s="1246"/>
      <c r="DL146" s="1246"/>
      <c r="DM146" s="1246"/>
      <c r="DN146" s="1246"/>
      <c r="DO146" s="1246"/>
      <c r="DP146" s="1246"/>
      <c r="DQ146" s="1246"/>
      <c r="DR146" s="1246"/>
      <c r="DS146" s="1246"/>
      <c r="DT146" s="1246"/>
      <c r="DU146" s="1246"/>
      <c r="DV146" s="1246"/>
      <c r="DW146" s="1246"/>
      <c r="DX146" s="1246"/>
      <c r="DY146" s="1246"/>
      <c r="DZ146" s="1246"/>
      <c r="EA146" s="1246"/>
      <c r="EB146" s="1246"/>
      <c r="EC146" s="1246"/>
      <c r="ED146" s="1246"/>
      <c r="EE146" s="1246"/>
      <c r="EF146" s="1246"/>
      <c r="EG146" s="1246"/>
      <c r="EH146" s="1246"/>
      <c r="EI146" s="1246"/>
      <c r="EJ146" s="1246"/>
      <c r="EK146" s="1246"/>
      <c r="EL146" s="1246"/>
      <c r="EM146" s="1246"/>
      <c r="EN146" s="1246"/>
      <c r="EO146" s="1246"/>
      <c r="EP146" s="1246"/>
      <c r="EQ146" s="1246"/>
      <c r="ER146" s="1246"/>
      <c r="ES146" s="1246"/>
      <c r="ET146" s="1246"/>
      <c r="EU146" s="1246"/>
      <c r="EV146" s="1246"/>
      <c r="EW146" s="1246"/>
      <c r="EX146" s="1246"/>
      <c r="EY146" s="1246"/>
      <c r="EZ146" s="1246"/>
      <c r="FA146" s="1246"/>
      <c r="FB146" s="1246"/>
      <c r="FC146" s="1246"/>
      <c r="FD146" s="1246"/>
      <c r="FE146" s="1246"/>
      <c r="FF146" s="1246"/>
      <c r="FG146" s="1246"/>
      <c r="FH146" s="1246"/>
      <c r="FI146" s="1246"/>
      <c r="FJ146" s="1246"/>
      <c r="FK146" s="1246"/>
      <c r="FL146" s="1246"/>
      <c r="FM146" s="1246"/>
      <c r="FN146" s="1246"/>
      <c r="FO146" s="1246"/>
      <c r="FP146" s="1246"/>
      <c r="FQ146" s="1246"/>
      <c r="FR146" s="1246"/>
      <c r="FS146" s="1246"/>
      <c r="FT146" s="1246"/>
      <c r="FU146" s="1246"/>
      <c r="FV146" s="1246"/>
      <c r="FW146" s="1246"/>
      <c r="FX146" s="1246"/>
      <c r="FY146" s="1246"/>
      <c r="FZ146" s="1246"/>
      <c r="GA146" s="1246"/>
      <c r="GB146" s="1246"/>
      <c r="GC146" s="1246"/>
      <c r="GD146" s="1246"/>
      <c r="GE146" s="1246"/>
      <c r="GF146" s="1246"/>
      <c r="GG146" s="1246"/>
    </row>
    <row r="147" spans="1:189" s="1243" customFormat="1">
      <c r="A147" s="785" t="e">
        <f>+#REF!</f>
        <v>#REF!</v>
      </c>
      <c r="B147" s="764" t="e">
        <f>+#REF!</f>
        <v>#REF!</v>
      </c>
      <c r="C147" s="1485" t="e">
        <f>#REF!</f>
        <v>#REF!</v>
      </c>
      <c r="D147" s="654">
        <f>J147</f>
        <v>840.30320000000017</v>
      </c>
      <c r="E147" s="633" t="e">
        <f>#REF!</f>
        <v>#REF!</v>
      </c>
      <c r="F147" s="633" t="e">
        <f>+D147*E147</f>
        <v>#REF!</v>
      </c>
      <c r="H147" s="1244">
        <f>SUM(J130:J135)/12.5</f>
        <v>763.91200000000015</v>
      </c>
      <c r="I147" s="1245">
        <v>1.1000000000000001</v>
      </c>
      <c r="J147" s="1244">
        <f>H147*I147</f>
        <v>840.30320000000017</v>
      </c>
      <c r="K147" s="1246"/>
      <c r="L147" s="1246"/>
      <c r="M147" s="1246"/>
      <c r="N147" s="1246"/>
      <c r="O147" s="1246"/>
      <c r="P147" s="1246"/>
      <c r="Q147" s="1246"/>
      <c r="R147" s="1246"/>
      <c r="S147" s="1246"/>
      <c r="T147" s="1246"/>
      <c r="U147" s="1246"/>
      <c r="V147" s="1246"/>
      <c r="W147" s="1246"/>
      <c r="X147" s="1246"/>
      <c r="Y147" s="1246"/>
      <c r="Z147" s="1246"/>
      <c r="AA147" s="1246"/>
      <c r="AB147" s="1246"/>
      <c r="AC147" s="1246"/>
      <c r="AD147" s="1246"/>
      <c r="AE147" s="1246"/>
      <c r="AF147" s="1246"/>
      <c r="AG147" s="1246"/>
      <c r="AH147" s="1246"/>
      <c r="AI147" s="1246"/>
      <c r="AJ147" s="1246"/>
      <c r="AK147" s="1246"/>
      <c r="AL147" s="1246"/>
      <c r="AM147" s="1246"/>
      <c r="AN147" s="1246"/>
      <c r="AO147" s="1246"/>
      <c r="AP147" s="1246"/>
      <c r="AQ147" s="1246"/>
      <c r="AR147" s="1246"/>
      <c r="AS147" s="1246"/>
      <c r="AT147" s="1246"/>
      <c r="AU147" s="1246"/>
      <c r="AV147" s="1246"/>
      <c r="AW147" s="1246"/>
      <c r="AX147" s="1246"/>
      <c r="AY147" s="1246"/>
      <c r="AZ147" s="1246"/>
      <c r="BA147" s="1246"/>
      <c r="BB147" s="1246"/>
      <c r="BC147" s="1246"/>
      <c r="BD147" s="1246"/>
      <c r="BE147" s="1246"/>
      <c r="BF147" s="1246"/>
      <c r="BG147" s="1246"/>
      <c r="BH147" s="1246"/>
      <c r="BI147" s="1246"/>
      <c r="BJ147" s="1246"/>
      <c r="BK147" s="1246"/>
      <c r="BL147" s="1246"/>
      <c r="BM147" s="1246"/>
      <c r="BN147" s="1246"/>
      <c r="BO147" s="1246"/>
      <c r="BP147" s="1246"/>
      <c r="BQ147" s="1246"/>
      <c r="BR147" s="1246"/>
      <c r="BS147" s="1246"/>
      <c r="BT147" s="1246"/>
      <c r="BU147" s="1246"/>
      <c r="BV147" s="1246"/>
      <c r="BW147" s="1246"/>
      <c r="BX147" s="1246"/>
      <c r="BY147" s="1246"/>
      <c r="BZ147" s="1246"/>
      <c r="CA147" s="1246"/>
      <c r="CB147" s="1246"/>
      <c r="CC147" s="1246"/>
      <c r="CD147" s="1246"/>
      <c r="CE147" s="1246"/>
      <c r="CF147" s="1246"/>
      <c r="CG147" s="1246"/>
      <c r="CH147" s="1246"/>
      <c r="CI147" s="1246"/>
      <c r="CJ147" s="1246"/>
      <c r="CK147" s="1246"/>
      <c r="CL147" s="1246"/>
      <c r="CM147" s="1246"/>
      <c r="CN147" s="1246"/>
      <c r="CO147" s="1246"/>
      <c r="CP147" s="1246"/>
      <c r="CQ147" s="1246"/>
      <c r="CR147" s="1246"/>
      <c r="CS147" s="1246"/>
      <c r="CT147" s="1246"/>
      <c r="CU147" s="1246"/>
      <c r="CV147" s="1246"/>
      <c r="CW147" s="1246"/>
      <c r="CX147" s="1246"/>
      <c r="CY147" s="1246"/>
      <c r="CZ147" s="1246"/>
      <c r="DA147" s="1246"/>
      <c r="DB147" s="1246"/>
      <c r="DC147" s="1246"/>
      <c r="DD147" s="1246"/>
      <c r="DE147" s="1246"/>
      <c r="DF147" s="1246"/>
      <c r="DG147" s="1246"/>
      <c r="DH147" s="1246"/>
      <c r="DI147" s="1246"/>
      <c r="DJ147" s="1246"/>
      <c r="DK147" s="1246"/>
      <c r="DL147" s="1246"/>
      <c r="DM147" s="1246"/>
      <c r="DN147" s="1246"/>
      <c r="DO147" s="1246"/>
      <c r="DP147" s="1246"/>
      <c r="DQ147" s="1246"/>
      <c r="DR147" s="1246"/>
      <c r="DS147" s="1246"/>
      <c r="DT147" s="1246"/>
      <c r="DU147" s="1246"/>
      <c r="DV147" s="1246"/>
      <c r="DW147" s="1246"/>
      <c r="DX147" s="1246"/>
      <c r="DY147" s="1246"/>
      <c r="DZ147" s="1246"/>
      <c r="EA147" s="1246"/>
      <c r="EB147" s="1246"/>
      <c r="EC147" s="1246"/>
      <c r="ED147" s="1246"/>
      <c r="EE147" s="1246"/>
      <c r="EF147" s="1246"/>
      <c r="EG147" s="1246"/>
      <c r="EH147" s="1246"/>
      <c r="EI147" s="1246"/>
      <c r="EJ147" s="1246"/>
      <c r="EK147" s="1246"/>
      <c r="EL147" s="1246"/>
      <c r="EM147" s="1246"/>
      <c r="EN147" s="1246"/>
      <c r="EO147" s="1246"/>
      <c r="EP147" s="1246"/>
      <c r="EQ147" s="1246"/>
      <c r="ER147" s="1246"/>
      <c r="ES147" s="1246"/>
      <c r="ET147" s="1246"/>
      <c r="EU147" s="1246"/>
      <c r="EV147" s="1246"/>
      <c r="EW147" s="1246"/>
      <c r="EX147" s="1246"/>
      <c r="EY147" s="1246"/>
      <c r="EZ147" s="1246"/>
      <c r="FA147" s="1246"/>
      <c r="FB147" s="1246"/>
      <c r="FC147" s="1246"/>
      <c r="FD147" s="1246"/>
      <c r="FE147" s="1246"/>
      <c r="FF147" s="1246"/>
      <c r="FG147" s="1246"/>
      <c r="FH147" s="1246"/>
      <c r="FI147" s="1246"/>
      <c r="FJ147" s="1246"/>
      <c r="FK147" s="1246"/>
      <c r="FL147" s="1246"/>
      <c r="FM147" s="1246"/>
      <c r="FN147" s="1246"/>
      <c r="FO147" s="1246"/>
      <c r="FP147" s="1246"/>
      <c r="FQ147" s="1246"/>
      <c r="FR147" s="1246"/>
      <c r="FS147" s="1246"/>
      <c r="FT147" s="1246"/>
      <c r="FU147" s="1246"/>
      <c r="FV147" s="1246"/>
      <c r="FW147" s="1246"/>
      <c r="FX147" s="1246"/>
      <c r="FY147" s="1246"/>
      <c r="FZ147" s="1246"/>
      <c r="GA147" s="1246"/>
      <c r="GB147" s="1246"/>
      <c r="GC147" s="1246"/>
      <c r="GD147" s="1246"/>
      <c r="GE147" s="1246"/>
      <c r="GF147" s="1246"/>
      <c r="GG147" s="1246"/>
    </row>
    <row r="148" spans="1:189" s="1243" customFormat="1">
      <c r="A148" s="639" t="e">
        <f>+#REF!</f>
        <v>#REF!</v>
      </c>
      <c r="B148" s="681" t="e">
        <f>+#REF!</f>
        <v>#REF!</v>
      </c>
      <c r="C148" s="1408" t="e">
        <f>#REF!</f>
        <v>#REF!</v>
      </c>
      <c r="D148" s="648">
        <v>1</v>
      </c>
      <c r="E148" s="527" t="e">
        <f>+#REF!</f>
        <v>#REF!</v>
      </c>
      <c r="F148" s="527" t="e">
        <f>+D148*E148</f>
        <v>#REF!</v>
      </c>
      <c r="H148" s="1244"/>
      <c r="I148" s="1245"/>
      <c r="J148" s="1244"/>
      <c r="K148" s="1246"/>
      <c r="L148" s="1246"/>
      <c r="M148" s="1246"/>
      <c r="N148" s="1246"/>
      <c r="O148" s="1246"/>
      <c r="P148" s="1246"/>
      <c r="Q148" s="1246"/>
      <c r="R148" s="1246"/>
      <c r="S148" s="1246"/>
      <c r="T148" s="1246"/>
      <c r="U148" s="1246"/>
      <c r="V148" s="1246"/>
      <c r="W148" s="1246"/>
      <c r="X148" s="1246"/>
      <c r="Y148" s="1246"/>
      <c r="Z148" s="1246"/>
      <c r="AA148" s="1246"/>
      <c r="AB148" s="1246"/>
      <c r="AC148" s="1246"/>
      <c r="AD148" s="1246"/>
      <c r="AE148" s="1246"/>
      <c r="AF148" s="1246"/>
      <c r="AG148" s="1246"/>
      <c r="AH148" s="1246"/>
      <c r="AI148" s="1246"/>
      <c r="AJ148" s="1246"/>
      <c r="AK148" s="1246"/>
      <c r="AL148" s="1246"/>
      <c r="AM148" s="1246"/>
      <c r="AN148" s="1246"/>
      <c r="AO148" s="1246"/>
      <c r="AP148" s="1246"/>
      <c r="AQ148" s="1246"/>
      <c r="AR148" s="1246"/>
      <c r="AS148" s="1246"/>
      <c r="AT148" s="1246"/>
      <c r="AU148" s="1246"/>
      <c r="AV148" s="1246"/>
      <c r="AW148" s="1246"/>
      <c r="AX148" s="1246"/>
      <c r="AY148" s="1246"/>
      <c r="AZ148" s="1246"/>
      <c r="BA148" s="1246"/>
      <c r="BB148" s="1246"/>
      <c r="BC148" s="1246"/>
      <c r="BD148" s="1246"/>
      <c r="BE148" s="1246"/>
      <c r="BF148" s="1246"/>
      <c r="BG148" s="1246"/>
      <c r="BH148" s="1246"/>
      <c r="BI148" s="1246"/>
      <c r="BJ148" s="1246"/>
      <c r="BK148" s="1246"/>
      <c r="BL148" s="1246"/>
      <c r="BM148" s="1246"/>
      <c r="BN148" s="1246"/>
      <c r="BO148" s="1246"/>
      <c r="BP148" s="1246"/>
      <c r="BQ148" s="1246"/>
      <c r="BR148" s="1246"/>
      <c r="BS148" s="1246"/>
      <c r="BT148" s="1246"/>
      <c r="BU148" s="1246"/>
      <c r="BV148" s="1246"/>
      <c r="BW148" s="1246"/>
      <c r="BX148" s="1246"/>
      <c r="BY148" s="1246"/>
      <c r="BZ148" s="1246"/>
      <c r="CA148" s="1246"/>
      <c r="CB148" s="1246"/>
      <c r="CC148" s="1246"/>
      <c r="CD148" s="1246"/>
      <c r="CE148" s="1246"/>
      <c r="CF148" s="1246"/>
      <c r="CG148" s="1246"/>
      <c r="CH148" s="1246"/>
      <c r="CI148" s="1246"/>
      <c r="CJ148" s="1246"/>
      <c r="CK148" s="1246"/>
      <c r="CL148" s="1246"/>
      <c r="CM148" s="1246"/>
      <c r="CN148" s="1246"/>
      <c r="CO148" s="1246"/>
      <c r="CP148" s="1246"/>
      <c r="CQ148" s="1246"/>
      <c r="CR148" s="1246"/>
      <c r="CS148" s="1246"/>
      <c r="CT148" s="1246"/>
      <c r="CU148" s="1246"/>
      <c r="CV148" s="1246"/>
      <c r="CW148" s="1246"/>
      <c r="CX148" s="1246"/>
      <c r="CY148" s="1246"/>
      <c r="CZ148" s="1246"/>
      <c r="DA148" s="1246"/>
      <c r="DB148" s="1246"/>
      <c r="DC148" s="1246"/>
      <c r="DD148" s="1246"/>
      <c r="DE148" s="1246"/>
      <c r="DF148" s="1246"/>
      <c r="DG148" s="1246"/>
      <c r="DH148" s="1246"/>
      <c r="DI148" s="1246"/>
      <c r="DJ148" s="1246"/>
      <c r="DK148" s="1246"/>
      <c r="DL148" s="1246"/>
      <c r="DM148" s="1246"/>
      <c r="DN148" s="1246"/>
      <c r="DO148" s="1246"/>
      <c r="DP148" s="1246"/>
      <c r="DQ148" s="1246"/>
      <c r="DR148" s="1246"/>
      <c r="DS148" s="1246"/>
      <c r="DT148" s="1246"/>
      <c r="DU148" s="1246"/>
      <c r="DV148" s="1246"/>
      <c r="DW148" s="1246"/>
      <c r="DX148" s="1246"/>
      <c r="DY148" s="1246"/>
      <c r="DZ148" s="1246"/>
      <c r="EA148" s="1246"/>
      <c r="EB148" s="1246"/>
      <c r="EC148" s="1246"/>
      <c r="ED148" s="1246"/>
      <c r="EE148" s="1246"/>
      <c r="EF148" s="1246"/>
      <c r="EG148" s="1246"/>
      <c r="EH148" s="1246"/>
      <c r="EI148" s="1246"/>
      <c r="EJ148" s="1246"/>
      <c r="EK148" s="1246"/>
      <c r="EL148" s="1246"/>
      <c r="EM148" s="1246"/>
      <c r="EN148" s="1246"/>
      <c r="EO148" s="1246"/>
      <c r="EP148" s="1246"/>
      <c r="EQ148" s="1246"/>
      <c r="ER148" s="1246"/>
      <c r="ES148" s="1246"/>
      <c r="ET148" s="1246"/>
      <c r="EU148" s="1246"/>
      <c r="EV148" s="1246"/>
      <c r="EW148" s="1246"/>
      <c r="EX148" s="1246"/>
      <c r="EY148" s="1246"/>
      <c r="EZ148" s="1246"/>
      <c r="FA148" s="1246"/>
      <c r="FB148" s="1246"/>
      <c r="FC148" s="1246"/>
      <c r="FD148" s="1246"/>
      <c r="FE148" s="1246"/>
      <c r="FF148" s="1246"/>
      <c r="FG148" s="1246"/>
      <c r="FH148" s="1246"/>
      <c r="FI148" s="1246"/>
      <c r="FJ148" s="1246"/>
      <c r="FK148" s="1246"/>
      <c r="FL148" s="1246"/>
      <c r="FM148" s="1246"/>
      <c r="FN148" s="1246"/>
      <c r="FO148" s="1246"/>
      <c r="FP148" s="1246"/>
      <c r="FQ148" s="1246"/>
      <c r="FR148" s="1246"/>
      <c r="FS148" s="1246"/>
      <c r="FT148" s="1246"/>
      <c r="FU148" s="1246"/>
      <c r="FV148" s="1246"/>
      <c r="FW148" s="1246"/>
      <c r="FX148" s="1246"/>
      <c r="FY148" s="1246"/>
      <c r="FZ148" s="1246"/>
      <c r="GA148" s="1246"/>
      <c r="GB148" s="1246"/>
      <c r="GC148" s="1246"/>
      <c r="GD148" s="1246"/>
      <c r="GE148" s="1246"/>
      <c r="GF148" s="1246"/>
      <c r="GG148" s="1246"/>
    </row>
    <row r="149" spans="1:189" s="1220" customFormat="1" ht="18.75">
      <c r="A149" s="1512"/>
      <c r="B149" s="239"/>
      <c r="C149" s="1651"/>
      <c r="D149" s="1606"/>
      <c r="E149" s="1609" t="s">
        <v>113</v>
      </c>
      <c r="F149" s="1122" t="e">
        <f>SUM(F109:F148)</f>
        <v>#REF!</v>
      </c>
      <c r="G149" s="1206"/>
      <c r="H149" s="1218"/>
      <c r="I149" s="1219"/>
      <c r="J149" s="1218"/>
    </row>
    <row r="150" spans="1:189" s="926" customFormat="1" ht="15" customHeight="1">
      <c r="A150" s="1630"/>
      <c r="B150" s="239"/>
      <c r="C150" s="1069"/>
      <c r="D150" s="1114"/>
      <c r="E150" s="1633"/>
      <c r="F150" s="1632"/>
      <c r="H150" s="1204"/>
      <c r="I150" s="1205"/>
      <c r="J150" s="1204"/>
    </row>
    <row r="151" spans="1:189" s="1220" customFormat="1" ht="24.95" customHeight="1">
      <c r="A151" s="1905" t="e">
        <f>+#REF!</f>
        <v>#REF!</v>
      </c>
      <c r="B151" s="1906"/>
      <c r="C151" s="1906"/>
      <c r="D151" s="1906"/>
      <c r="E151" s="1906"/>
      <c r="F151" s="1907"/>
      <c r="G151" s="1206"/>
      <c r="H151" s="1218"/>
      <c r="I151" s="1219"/>
      <c r="J151" s="1218"/>
    </row>
    <row r="152" spans="1:189" s="1220" customFormat="1">
      <c r="A152" s="689" t="e">
        <f>+#REF!</f>
        <v>#REF!</v>
      </c>
      <c r="B152" s="711" t="e">
        <f>+#REF!</f>
        <v>#REF!</v>
      </c>
      <c r="C152" s="1478"/>
      <c r="D152" s="543"/>
      <c r="E152" s="641"/>
      <c r="F152" s="641"/>
      <c r="G152" s="1206"/>
      <c r="H152" s="1218"/>
      <c r="I152" s="1219"/>
      <c r="J152" s="1218"/>
    </row>
    <row r="153" spans="1:189" s="1220" customFormat="1">
      <c r="A153" s="750" t="e">
        <f>+#REF!</f>
        <v>#REF!</v>
      </c>
      <c r="B153" s="677" t="e">
        <f>+#REF!</f>
        <v>#REF!</v>
      </c>
      <c r="C153" s="1525" t="e">
        <f>#REF!</f>
        <v>#REF!</v>
      </c>
      <c r="D153" s="1525">
        <f>J153</f>
        <v>397</v>
      </c>
      <c r="E153" s="633" t="e">
        <f>#REF!</f>
        <v>#REF!</v>
      </c>
      <c r="F153" s="633" t="e">
        <f>+D153*E153</f>
        <v>#REF!</v>
      </c>
      <c r="G153" s="1206"/>
      <c r="H153" s="1218">
        <f>SUM(F13:F17)/25*2</f>
        <v>361.2</v>
      </c>
      <c r="I153" s="1219">
        <v>1.1000000000000001</v>
      </c>
      <c r="J153" s="1218">
        <f>ROUND(H153*I153,0)</f>
        <v>397</v>
      </c>
    </row>
    <row r="154" spans="1:189" s="1124" customFormat="1">
      <c r="A154" s="639" t="e">
        <f>+#REF!</f>
        <v>#REF!</v>
      </c>
      <c r="B154" s="681" t="e">
        <f>+#REF!</f>
        <v>#REF!</v>
      </c>
      <c r="C154" s="1526" t="e">
        <f>#REF!</f>
        <v>#REF!</v>
      </c>
      <c r="D154" s="547">
        <f>+J154</f>
        <v>772.5</v>
      </c>
      <c r="E154" s="547" t="e">
        <f>+#REF!</f>
        <v>#REF!</v>
      </c>
      <c r="F154" s="547" t="e">
        <f>+D154*E154</f>
        <v>#REF!</v>
      </c>
      <c r="H154" s="1251">
        <f>+F8</f>
        <v>515</v>
      </c>
      <c r="I154" s="1252">
        <v>1.5</v>
      </c>
      <c r="J154" s="1251">
        <f>+H154*I154</f>
        <v>772.5</v>
      </c>
    </row>
    <row r="155" spans="1:189" s="1220" customFormat="1">
      <c r="A155" s="689" t="e">
        <f>+#REF!</f>
        <v>#REF!</v>
      </c>
      <c r="B155" s="711" t="e">
        <f>+#REF!</f>
        <v>#REF!</v>
      </c>
      <c r="C155" s="641"/>
      <c r="D155" s="641"/>
      <c r="E155" s="641"/>
      <c r="F155" s="641"/>
      <c r="G155" s="1206"/>
      <c r="H155" s="1218"/>
      <c r="I155" s="1219"/>
      <c r="J155" s="1218"/>
    </row>
    <row r="156" spans="1:189" s="1220" customFormat="1">
      <c r="A156" s="750" t="e">
        <f>+#REF!</f>
        <v>#REF!</v>
      </c>
      <c r="B156" s="677" t="e">
        <f>+#REF!</f>
        <v>#REF!</v>
      </c>
      <c r="C156" s="663" t="e">
        <f>#REF!</f>
        <v>#REF!</v>
      </c>
      <c r="D156" s="633">
        <v>45</v>
      </c>
      <c r="E156" s="633" t="e">
        <f>#REF!</f>
        <v>#REF!</v>
      </c>
      <c r="F156" s="633" t="e">
        <f>+D156*E156</f>
        <v>#REF!</v>
      </c>
      <c r="G156" s="1206"/>
      <c r="H156" s="1218"/>
      <c r="I156" s="1219"/>
      <c r="J156" s="1218"/>
    </row>
    <row r="157" spans="1:189" s="1220" customFormat="1">
      <c r="A157" s="751" t="e">
        <f>+#REF!</f>
        <v>#REF!</v>
      </c>
      <c r="B157" s="753" t="e">
        <f>+#REF!</f>
        <v>#REF!</v>
      </c>
      <c r="C157" s="643" t="e">
        <f>#REF!</f>
        <v>#REF!</v>
      </c>
      <c r="D157" s="527">
        <v>4</v>
      </c>
      <c r="E157" s="527" t="e">
        <f>#REF!</f>
        <v>#REF!</v>
      </c>
      <c r="F157" s="527" t="e">
        <f>+D157*E157</f>
        <v>#REF!</v>
      </c>
      <c r="G157" s="1206"/>
      <c r="H157" s="1218"/>
      <c r="I157" s="1219"/>
      <c r="J157" s="1218"/>
    </row>
    <row r="158" spans="1:189" s="1206" customFormat="1">
      <c r="A158" s="689" t="e">
        <f>+#REF!</f>
        <v>#REF!</v>
      </c>
      <c r="B158" s="711" t="e">
        <f>+#REF!</f>
        <v>#REF!</v>
      </c>
      <c r="C158" s="641"/>
      <c r="D158" s="641"/>
      <c r="E158" s="641"/>
      <c r="F158" s="641"/>
      <c r="H158" s="1218"/>
      <c r="I158" s="1219"/>
      <c r="J158" s="1218"/>
      <c r="K158" s="1220"/>
      <c r="L158" s="1220"/>
      <c r="M158" s="1220"/>
      <c r="N158" s="1220"/>
      <c r="O158" s="1220"/>
      <c r="P158" s="1220"/>
      <c r="Q158" s="1220"/>
      <c r="R158" s="1220"/>
      <c r="S158" s="1220"/>
      <c r="T158" s="1220"/>
      <c r="U158" s="1220"/>
      <c r="V158" s="1220"/>
      <c r="W158" s="1220"/>
      <c r="X158" s="1220"/>
      <c r="Y158" s="1220"/>
      <c r="Z158" s="1220"/>
      <c r="AA158" s="1220"/>
      <c r="AB158" s="1220"/>
      <c r="AC158" s="1220"/>
      <c r="AD158" s="1220"/>
      <c r="AE158" s="1220"/>
      <c r="AF158" s="1220"/>
      <c r="AG158" s="1220"/>
      <c r="AH158" s="1220"/>
      <c r="AI158" s="1220"/>
      <c r="AJ158" s="1220"/>
      <c r="AK158" s="1220"/>
      <c r="AL158" s="1220"/>
      <c r="AM158" s="1220"/>
      <c r="AN158" s="1220"/>
      <c r="AO158" s="1220"/>
      <c r="AP158" s="1220"/>
      <c r="AQ158" s="1220"/>
      <c r="AR158" s="1220"/>
      <c r="AS158" s="1220"/>
      <c r="AT158" s="1220"/>
      <c r="AU158" s="1220"/>
      <c r="AV158" s="1220"/>
      <c r="AW158" s="1220"/>
      <c r="AX158" s="1220"/>
      <c r="AY158" s="1220"/>
      <c r="AZ158" s="1220"/>
      <c r="BA158" s="1220"/>
      <c r="BB158" s="1220"/>
      <c r="BC158" s="1220"/>
      <c r="BD158" s="1220"/>
      <c r="BE158" s="1220"/>
      <c r="BF158" s="1220"/>
      <c r="BG158" s="1220"/>
      <c r="BH158" s="1220"/>
      <c r="BI158" s="1220"/>
      <c r="BJ158" s="1220"/>
      <c r="BK158" s="1220"/>
      <c r="BL158" s="1220"/>
      <c r="BM158" s="1220"/>
      <c r="BN158" s="1220"/>
      <c r="BO158" s="1220"/>
      <c r="BP158" s="1220"/>
      <c r="BQ158" s="1220"/>
      <c r="BR158" s="1220"/>
      <c r="BS158" s="1220"/>
      <c r="BT158" s="1220"/>
      <c r="BU158" s="1220"/>
      <c r="BV158" s="1220"/>
      <c r="BW158" s="1220"/>
      <c r="BX158" s="1220"/>
      <c r="BY158" s="1220"/>
      <c r="BZ158" s="1220"/>
      <c r="CA158" s="1220"/>
      <c r="CB158" s="1220"/>
      <c r="CC158" s="1220"/>
      <c r="CD158" s="1220"/>
      <c r="CE158" s="1220"/>
      <c r="CF158" s="1220"/>
      <c r="CG158" s="1220"/>
      <c r="CH158" s="1220"/>
      <c r="CI158" s="1220"/>
      <c r="CJ158" s="1220"/>
      <c r="CK158" s="1220"/>
      <c r="CL158" s="1220"/>
      <c r="CM158" s="1220"/>
      <c r="CN158" s="1220"/>
      <c r="CO158" s="1220"/>
      <c r="CP158" s="1220"/>
      <c r="CQ158" s="1220"/>
      <c r="CR158" s="1220"/>
      <c r="CS158" s="1220"/>
      <c r="CT158" s="1220"/>
      <c r="CU158" s="1220"/>
      <c r="CV158" s="1220"/>
      <c r="CW158" s="1220"/>
      <c r="CX158" s="1220"/>
      <c r="CY158" s="1220"/>
      <c r="CZ158" s="1220"/>
      <c r="DA158" s="1220"/>
      <c r="DB158" s="1220"/>
      <c r="DC158" s="1220"/>
      <c r="DD158" s="1220"/>
      <c r="DE158" s="1220"/>
      <c r="DF158" s="1220"/>
      <c r="DG158" s="1220"/>
      <c r="DH158" s="1220"/>
      <c r="DI158" s="1220"/>
      <c r="DJ158" s="1220"/>
      <c r="DK158" s="1220"/>
      <c r="DL158" s="1220"/>
      <c r="DM158" s="1220"/>
      <c r="DN158" s="1220"/>
      <c r="DO158" s="1220"/>
      <c r="DP158" s="1220"/>
      <c r="DQ158" s="1220"/>
      <c r="DR158" s="1220"/>
      <c r="DS158" s="1220"/>
      <c r="DT158" s="1220"/>
      <c r="DU158" s="1220"/>
      <c r="DV158" s="1220"/>
      <c r="DW158" s="1220"/>
      <c r="DX158" s="1220"/>
      <c r="DY158" s="1220"/>
      <c r="DZ158" s="1220"/>
      <c r="EA158" s="1220"/>
      <c r="EB158" s="1220"/>
      <c r="EC158" s="1220"/>
      <c r="ED158" s="1220"/>
      <c r="EE158" s="1220"/>
      <c r="EF158" s="1220"/>
      <c r="EG158" s="1220"/>
      <c r="EH158" s="1220"/>
      <c r="EI158" s="1220"/>
      <c r="EJ158" s="1220"/>
      <c r="EK158" s="1220"/>
      <c r="EL158" s="1220"/>
      <c r="EM158" s="1220"/>
      <c r="EN158" s="1220"/>
      <c r="EO158" s="1220"/>
      <c r="EP158" s="1220"/>
      <c r="EQ158" s="1220"/>
      <c r="ER158" s="1220"/>
      <c r="ES158" s="1220"/>
      <c r="ET158" s="1220"/>
      <c r="EU158" s="1220"/>
      <c r="EV158" s="1220"/>
      <c r="EW158" s="1220"/>
      <c r="EX158" s="1220"/>
      <c r="EY158" s="1220"/>
      <c r="EZ158" s="1220"/>
      <c r="FA158" s="1220"/>
      <c r="FB158" s="1220"/>
      <c r="FC158" s="1220"/>
      <c r="FD158" s="1220"/>
      <c r="FE158" s="1220"/>
      <c r="FF158" s="1220"/>
      <c r="FG158" s="1220"/>
      <c r="FH158" s="1220"/>
      <c r="FI158" s="1220"/>
      <c r="FJ158" s="1220"/>
      <c r="FK158" s="1220"/>
      <c r="FL158" s="1220"/>
      <c r="FM158" s="1220"/>
      <c r="FN158" s="1220"/>
      <c r="FO158" s="1220"/>
      <c r="FP158" s="1220"/>
      <c r="FQ158" s="1220"/>
      <c r="FR158" s="1220"/>
      <c r="FS158" s="1220"/>
      <c r="FT158" s="1220"/>
      <c r="FU158" s="1220"/>
      <c r="FV158" s="1220"/>
      <c r="FW158" s="1220"/>
      <c r="FX158" s="1220"/>
      <c r="FY158" s="1220"/>
      <c r="FZ158" s="1220"/>
      <c r="GA158" s="1220"/>
      <c r="GB158" s="1220"/>
      <c r="GC158" s="1220"/>
      <c r="GD158" s="1220"/>
      <c r="GE158" s="1220"/>
      <c r="GF158" s="1220"/>
      <c r="GG158" s="1220"/>
    </row>
    <row r="159" spans="1:189" s="1206" customFormat="1">
      <c r="A159" s="751"/>
      <c r="B159" s="753"/>
      <c r="C159" s="1523" t="e">
        <f>#REF!</f>
        <v>#REF!</v>
      </c>
      <c r="D159" s="527">
        <f>J159</f>
        <v>7054</v>
      </c>
      <c r="E159" s="527" t="e">
        <f>#REF!</f>
        <v>#REF!</v>
      </c>
      <c r="F159" s="527" t="e">
        <f>+D159*E159</f>
        <v>#REF!</v>
      </c>
      <c r="H159" s="1218">
        <f>2115*1.5+ (2*5+4*2)*3*60</f>
        <v>6412.5</v>
      </c>
      <c r="I159" s="1219">
        <v>1.1000000000000001</v>
      </c>
      <c r="J159" s="1218">
        <f>ROUND(H159*I159,0)</f>
        <v>7054</v>
      </c>
      <c r="K159" s="1220"/>
      <c r="L159" s="1220"/>
      <c r="M159" s="1220"/>
      <c r="N159" s="1220"/>
      <c r="O159" s="1220"/>
      <c r="P159" s="1220"/>
      <c r="Q159" s="1220"/>
      <c r="R159" s="1220"/>
      <c r="S159" s="1220"/>
      <c r="T159" s="1220"/>
      <c r="U159" s="1220"/>
      <c r="V159" s="1220"/>
      <c r="W159" s="1220"/>
      <c r="X159" s="1220"/>
      <c r="Y159" s="1220"/>
      <c r="Z159" s="1220"/>
      <c r="AA159" s="1220"/>
      <c r="AB159" s="1220"/>
      <c r="AC159" s="1220"/>
      <c r="AD159" s="1220"/>
      <c r="AE159" s="1220"/>
      <c r="AF159" s="1220"/>
      <c r="AG159" s="1220"/>
      <c r="AH159" s="1220"/>
      <c r="AI159" s="1220"/>
      <c r="AJ159" s="1220"/>
      <c r="AK159" s="1220"/>
      <c r="AL159" s="1220"/>
      <c r="AM159" s="1220"/>
      <c r="AN159" s="1220"/>
      <c r="AO159" s="1220"/>
      <c r="AP159" s="1220"/>
      <c r="AQ159" s="1220"/>
      <c r="AR159" s="1220"/>
      <c r="AS159" s="1220"/>
      <c r="AT159" s="1220"/>
      <c r="AU159" s="1220"/>
      <c r="AV159" s="1220"/>
      <c r="AW159" s="1220"/>
      <c r="AX159" s="1220"/>
      <c r="AY159" s="1220"/>
      <c r="AZ159" s="1220"/>
      <c r="BA159" s="1220"/>
      <c r="BB159" s="1220"/>
      <c r="BC159" s="1220"/>
      <c r="BD159" s="1220"/>
      <c r="BE159" s="1220"/>
      <c r="BF159" s="1220"/>
      <c r="BG159" s="1220"/>
      <c r="BH159" s="1220"/>
      <c r="BI159" s="1220"/>
      <c r="BJ159" s="1220"/>
      <c r="BK159" s="1220"/>
      <c r="BL159" s="1220"/>
      <c r="BM159" s="1220"/>
      <c r="BN159" s="1220"/>
      <c r="BO159" s="1220"/>
      <c r="BP159" s="1220"/>
      <c r="BQ159" s="1220"/>
      <c r="BR159" s="1220"/>
      <c r="BS159" s="1220"/>
      <c r="BT159" s="1220"/>
      <c r="BU159" s="1220"/>
      <c r="BV159" s="1220"/>
      <c r="BW159" s="1220"/>
      <c r="BX159" s="1220"/>
      <c r="BY159" s="1220"/>
      <c r="BZ159" s="1220"/>
      <c r="CA159" s="1220"/>
      <c r="CB159" s="1220"/>
      <c r="CC159" s="1220"/>
      <c r="CD159" s="1220"/>
      <c r="CE159" s="1220"/>
      <c r="CF159" s="1220"/>
      <c r="CG159" s="1220"/>
      <c r="CH159" s="1220"/>
      <c r="CI159" s="1220"/>
      <c r="CJ159" s="1220"/>
      <c r="CK159" s="1220"/>
      <c r="CL159" s="1220"/>
      <c r="CM159" s="1220"/>
      <c r="CN159" s="1220"/>
      <c r="CO159" s="1220"/>
      <c r="CP159" s="1220"/>
      <c r="CQ159" s="1220"/>
      <c r="CR159" s="1220"/>
      <c r="CS159" s="1220"/>
      <c r="CT159" s="1220"/>
      <c r="CU159" s="1220"/>
      <c r="CV159" s="1220"/>
      <c r="CW159" s="1220"/>
      <c r="CX159" s="1220"/>
      <c r="CY159" s="1220"/>
      <c r="CZ159" s="1220"/>
      <c r="DA159" s="1220"/>
      <c r="DB159" s="1220"/>
      <c r="DC159" s="1220"/>
      <c r="DD159" s="1220"/>
      <c r="DE159" s="1220"/>
      <c r="DF159" s="1220"/>
      <c r="DG159" s="1220"/>
      <c r="DH159" s="1220"/>
      <c r="DI159" s="1220"/>
      <c r="DJ159" s="1220"/>
      <c r="DK159" s="1220"/>
      <c r="DL159" s="1220"/>
      <c r="DM159" s="1220"/>
      <c r="DN159" s="1220"/>
      <c r="DO159" s="1220"/>
      <c r="DP159" s="1220"/>
      <c r="DQ159" s="1220"/>
      <c r="DR159" s="1220"/>
      <c r="DS159" s="1220"/>
      <c r="DT159" s="1220"/>
      <c r="DU159" s="1220"/>
      <c r="DV159" s="1220"/>
      <c r="DW159" s="1220"/>
      <c r="DX159" s="1220"/>
      <c r="DY159" s="1220"/>
      <c r="DZ159" s="1220"/>
      <c r="EA159" s="1220"/>
      <c r="EB159" s="1220"/>
      <c r="EC159" s="1220"/>
      <c r="ED159" s="1220"/>
      <c r="EE159" s="1220"/>
      <c r="EF159" s="1220"/>
      <c r="EG159" s="1220"/>
      <c r="EH159" s="1220"/>
      <c r="EI159" s="1220"/>
      <c r="EJ159" s="1220"/>
      <c r="EK159" s="1220"/>
      <c r="EL159" s="1220"/>
      <c r="EM159" s="1220"/>
      <c r="EN159" s="1220"/>
      <c r="EO159" s="1220"/>
      <c r="EP159" s="1220"/>
      <c r="EQ159" s="1220"/>
      <c r="ER159" s="1220"/>
      <c r="ES159" s="1220"/>
      <c r="ET159" s="1220"/>
      <c r="EU159" s="1220"/>
      <c r="EV159" s="1220"/>
      <c r="EW159" s="1220"/>
      <c r="EX159" s="1220"/>
      <c r="EY159" s="1220"/>
      <c r="EZ159" s="1220"/>
      <c r="FA159" s="1220"/>
      <c r="FB159" s="1220"/>
      <c r="FC159" s="1220"/>
      <c r="FD159" s="1220"/>
      <c r="FE159" s="1220"/>
      <c r="FF159" s="1220"/>
      <c r="FG159" s="1220"/>
      <c r="FH159" s="1220"/>
      <c r="FI159" s="1220"/>
      <c r="FJ159" s="1220"/>
      <c r="FK159" s="1220"/>
      <c r="FL159" s="1220"/>
      <c r="FM159" s="1220"/>
      <c r="FN159" s="1220"/>
      <c r="FO159" s="1220"/>
      <c r="FP159" s="1220"/>
      <c r="FQ159" s="1220"/>
      <c r="FR159" s="1220"/>
      <c r="FS159" s="1220"/>
      <c r="FT159" s="1220"/>
      <c r="FU159" s="1220"/>
      <c r="FV159" s="1220"/>
      <c r="FW159" s="1220"/>
      <c r="FX159" s="1220"/>
      <c r="FY159" s="1220"/>
      <c r="FZ159" s="1220"/>
      <c r="GA159" s="1220"/>
      <c r="GB159" s="1220"/>
      <c r="GC159" s="1220"/>
      <c r="GD159" s="1220"/>
      <c r="GE159" s="1220"/>
      <c r="GF159" s="1220"/>
      <c r="GG159" s="1220"/>
    </row>
    <row r="160" spans="1:189" s="1206" customFormat="1">
      <c r="A160" s="689" t="e">
        <f>+#REF!</f>
        <v>#REF!</v>
      </c>
      <c r="B160" s="1270" t="e">
        <f>+#REF!</f>
        <v>#REF!</v>
      </c>
      <c r="C160" s="1478"/>
      <c r="D160" s="544"/>
      <c r="E160" s="544"/>
      <c r="F160" s="544"/>
      <c r="H160" s="1218"/>
      <c r="I160" s="1219"/>
      <c r="J160" s="1218"/>
      <c r="K160" s="1220"/>
      <c r="L160" s="1220"/>
      <c r="M160" s="1220"/>
      <c r="N160" s="1220"/>
      <c r="O160" s="1220"/>
      <c r="P160" s="1220"/>
      <c r="Q160" s="1220"/>
      <c r="R160" s="1220"/>
      <c r="S160" s="1220"/>
      <c r="T160" s="1220"/>
      <c r="U160" s="1220"/>
      <c r="V160" s="1220"/>
      <c r="W160" s="1220"/>
      <c r="X160" s="1220"/>
      <c r="Y160" s="1220"/>
      <c r="Z160" s="1220"/>
      <c r="AA160" s="1220"/>
      <c r="AB160" s="1220"/>
      <c r="AC160" s="1220"/>
      <c r="AD160" s="1220"/>
      <c r="AE160" s="1220"/>
      <c r="AF160" s="1220"/>
      <c r="AG160" s="1220"/>
      <c r="AH160" s="1220"/>
      <c r="AI160" s="1220"/>
      <c r="AJ160" s="1220"/>
      <c r="AK160" s="1220"/>
      <c r="AL160" s="1220"/>
      <c r="AM160" s="1220"/>
      <c r="AN160" s="1220"/>
      <c r="AO160" s="1220"/>
      <c r="AP160" s="1220"/>
      <c r="AQ160" s="1220"/>
      <c r="AR160" s="1220"/>
      <c r="AS160" s="1220"/>
      <c r="AT160" s="1220"/>
      <c r="AU160" s="1220"/>
      <c r="AV160" s="1220"/>
      <c r="AW160" s="1220"/>
      <c r="AX160" s="1220"/>
      <c r="AY160" s="1220"/>
      <c r="AZ160" s="1220"/>
      <c r="BA160" s="1220"/>
      <c r="BB160" s="1220"/>
      <c r="BC160" s="1220"/>
      <c r="BD160" s="1220"/>
      <c r="BE160" s="1220"/>
      <c r="BF160" s="1220"/>
      <c r="BG160" s="1220"/>
      <c r="BH160" s="1220"/>
      <c r="BI160" s="1220"/>
      <c r="BJ160" s="1220"/>
      <c r="BK160" s="1220"/>
      <c r="BL160" s="1220"/>
      <c r="BM160" s="1220"/>
      <c r="BN160" s="1220"/>
      <c r="BO160" s="1220"/>
      <c r="BP160" s="1220"/>
      <c r="BQ160" s="1220"/>
      <c r="BR160" s="1220"/>
      <c r="BS160" s="1220"/>
      <c r="BT160" s="1220"/>
      <c r="BU160" s="1220"/>
      <c r="BV160" s="1220"/>
      <c r="BW160" s="1220"/>
      <c r="BX160" s="1220"/>
      <c r="BY160" s="1220"/>
      <c r="BZ160" s="1220"/>
      <c r="CA160" s="1220"/>
      <c r="CB160" s="1220"/>
      <c r="CC160" s="1220"/>
      <c r="CD160" s="1220"/>
      <c r="CE160" s="1220"/>
      <c r="CF160" s="1220"/>
      <c r="CG160" s="1220"/>
      <c r="CH160" s="1220"/>
      <c r="CI160" s="1220"/>
      <c r="CJ160" s="1220"/>
      <c r="CK160" s="1220"/>
      <c r="CL160" s="1220"/>
      <c r="CM160" s="1220"/>
      <c r="CN160" s="1220"/>
      <c r="CO160" s="1220"/>
      <c r="CP160" s="1220"/>
      <c r="CQ160" s="1220"/>
      <c r="CR160" s="1220"/>
      <c r="CS160" s="1220"/>
      <c r="CT160" s="1220"/>
      <c r="CU160" s="1220"/>
      <c r="CV160" s="1220"/>
      <c r="CW160" s="1220"/>
      <c r="CX160" s="1220"/>
      <c r="CY160" s="1220"/>
      <c r="CZ160" s="1220"/>
      <c r="DA160" s="1220"/>
      <c r="DB160" s="1220"/>
      <c r="DC160" s="1220"/>
      <c r="DD160" s="1220"/>
      <c r="DE160" s="1220"/>
      <c r="DF160" s="1220"/>
      <c r="DG160" s="1220"/>
      <c r="DH160" s="1220"/>
      <c r="DI160" s="1220"/>
      <c r="DJ160" s="1220"/>
      <c r="DK160" s="1220"/>
      <c r="DL160" s="1220"/>
      <c r="DM160" s="1220"/>
      <c r="DN160" s="1220"/>
      <c r="DO160" s="1220"/>
      <c r="DP160" s="1220"/>
      <c r="DQ160" s="1220"/>
      <c r="DR160" s="1220"/>
      <c r="DS160" s="1220"/>
      <c r="DT160" s="1220"/>
      <c r="DU160" s="1220"/>
      <c r="DV160" s="1220"/>
      <c r="DW160" s="1220"/>
      <c r="DX160" s="1220"/>
      <c r="DY160" s="1220"/>
      <c r="DZ160" s="1220"/>
      <c r="EA160" s="1220"/>
      <c r="EB160" s="1220"/>
      <c r="EC160" s="1220"/>
      <c r="ED160" s="1220"/>
      <c r="EE160" s="1220"/>
      <c r="EF160" s="1220"/>
      <c r="EG160" s="1220"/>
      <c r="EH160" s="1220"/>
      <c r="EI160" s="1220"/>
      <c r="EJ160" s="1220"/>
      <c r="EK160" s="1220"/>
      <c r="EL160" s="1220"/>
      <c r="EM160" s="1220"/>
      <c r="EN160" s="1220"/>
      <c r="EO160" s="1220"/>
      <c r="EP160" s="1220"/>
      <c r="EQ160" s="1220"/>
      <c r="ER160" s="1220"/>
      <c r="ES160" s="1220"/>
      <c r="ET160" s="1220"/>
      <c r="EU160" s="1220"/>
      <c r="EV160" s="1220"/>
      <c r="EW160" s="1220"/>
      <c r="EX160" s="1220"/>
      <c r="EY160" s="1220"/>
      <c r="EZ160" s="1220"/>
      <c r="FA160" s="1220"/>
      <c r="FB160" s="1220"/>
      <c r="FC160" s="1220"/>
      <c r="FD160" s="1220"/>
      <c r="FE160" s="1220"/>
      <c r="FF160" s="1220"/>
      <c r="FG160" s="1220"/>
      <c r="FH160" s="1220"/>
      <c r="FI160" s="1220"/>
      <c r="FJ160" s="1220"/>
      <c r="FK160" s="1220"/>
      <c r="FL160" s="1220"/>
      <c r="FM160" s="1220"/>
      <c r="FN160" s="1220"/>
      <c r="FO160" s="1220"/>
      <c r="FP160" s="1220"/>
      <c r="FQ160" s="1220"/>
      <c r="FR160" s="1220"/>
      <c r="FS160" s="1220"/>
      <c r="FT160" s="1220"/>
      <c r="FU160" s="1220"/>
      <c r="FV160" s="1220"/>
      <c r="FW160" s="1220"/>
      <c r="FX160" s="1220"/>
      <c r="FY160" s="1220"/>
      <c r="FZ160" s="1220"/>
      <c r="GA160" s="1220"/>
      <c r="GB160" s="1220"/>
      <c r="GC160" s="1220"/>
      <c r="GD160" s="1220"/>
      <c r="GE160" s="1220"/>
      <c r="GF160" s="1220"/>
      <c r="GG160" s="1220"/>
    </row>
    <row r="161" spans="1:189" s="1206" customFormat="1">
      <c r="A161" s="751"/>
      <c r="B161" s="753"/>
      <c r="C161" s="1523" t="e">
        <f>#REF!</f>
        <v>#REF!</v>
      </c>
      <c r="D161" s="547">
        <f>+J161</f>
        <v>501.6</v>
      </c>
      <c r="E161" s="547" t="e">
        <f>#REF!</f>
        <v>#REF!</v>
      </c>
      <c r="F161" s="527" t="e">
        <f>+D161*E161</f>
        <v>#REF!</v>
      </c>
      <c r="H161" s="1218">
        <f>0.2*20*(20+10)*2+0.2*18*60</f>
        <v>456</v>
      </c>
      <c r="I161" s="1219">
        <v>1.1000000000000001</v>
      </c>
      <c r="J161" s="1218">
        <f>+H161*I161</f>
        <v>501.6</v>
      </c>
      <c r="K161" s="1220"/>
      <c r="L161" s="1220"/>
      <c r="M161" s="1220"/>
      <c r="N161" s="1220"/>
      <c r="O161" s="1220"/>
      <c r="P161" s="1220"/>
      <c r="Q161" s="1220"/>
      <c r="R161" s="1220"/>
      <c r="S161" s="1220"/>
      <c r="T161" s="1220"/>
      <c r="U161" s="1220"/>
      <c r="V161" s="1220"/>
      <c r="W161" s="1220"/>
      <c r="X161" s="1220"/>
      <c r="Y161" s="1220"/>
      <c r="Z161" s="1220"/>
      <c r="AA161" s="1220"/>
      <c r="AB161" s="1220"/>
      <c r="AC161" s="1220"/>
      <c r="AD161" s="1220"/>
      <c r="AE161" s="1220"/>
      <c r="AF161" s="1220"/>
      <c r="AG161" s="1220"/>
      <c r="AH161" s="1220"/>
      <c r="AI161" s="1220"/>
      <c r="AJ161" s="1220"/>
      <c r="AK161" s="1220"/>
      <c r="AL161" s="1220"/>
      <c r="AM161" s="1220"/>
      <c r="AN161" s="1220"/>
      <c r="AO161" s="1220"/>
      <c r="AP161" s="1220"/>
      <c r="AQ161" s="1220"/>
      <c r="AR161" s="1220"/>
      <c r="AS161" s="1220"/>
      <c r="AT161" s="1220"/>
      <c r="AU161" s="1220"/>
      <c r="AV161" s="1220"/>
      <c r="AW161" s="1220"/>
      <c r="AX161" s="1220"/>
      <c r="AY161" s="1220"/>
      <c r="AZ161" s="1220"/>
      <c r="BA161" s="1220"/>
      <c r="BB161" s="1220"/>
      <c r="BC161" s="1220"/>
      <c r="BD161" s="1220"/>
      <c r="BE161" s="1220"/>
      <c r="BF161" s="1220"/>
      <c r="BG161" s="1220"/>
      <c r="BH161" s="1220"/>
      <c r="BI161" s="1220"/>
      <c r="BJ161" s="1220"/>
      <c r="BK161" s="1220"/>
      <c r="BL161" s="1220"/>
      <c r="BM161" s="1220"/>
      <c r="BN161" s="1220"/>
      <c r="BO161" s="1220"/>
      <c r="BP161" s="1220"/>
      <c r="BQ161" s="1220"/>
      <c r="BR161" s="1220"/>
      <c r="BS161" s="1220"/>
      <c r="BT161" s="1220"/>
      <c r="BU161" s="1220"/>
      <c r="BV161" s="1220"/>
      <c r="BW161" s="1220"/>
      <c r="BX161" s="1220"/>
      <c r="BY161" s="1220"/>
      <c r="BZ161" s="1220"/>
      <c r="CA161" s="1220"/>
      <c r="CB161" s="1220"/>
      <c r="CC161" s="1220"/>
      <c r="CD161" s="1220"/>
      <c r="CE161" s="1220"/>
      <c r="CF161" s="1220"/>
      <c r="CG161" s="1220"/>
      <c r="CH161" s="1220"/>
      <c r="CI161" s="1220"/>
      <c r="CJ161" s="1220"/>
      <c r="CK161" s="1220"/>
      <c r="CL161" s="1220"/>
      <c r="CM161" s="1220"/>
      <c r="CN161" s="1220"/>
      <c r="CO161" s="1220"/>
      <c r="CP161" s="1220"/>
      <c r="CQ161" s="1220"/>
      <c r="CR161" s="1220"/>
      <c r="CS161" s="1220"/>
      <c r="CT161" s="1220"/>
      <c r="CU161" s="1220"/>
      <c r="CV161" s="1220"/>
      <c r="CW161" s="1220"/>
      <c r="CX161" s="1220"/>
      <c r="CY161" s="1220"/>
      <c r="CZ161" s="1220"/>
      <c r="DA161" s="1220"/>
      <c r="DB161" s="1220"/>
      <c r="DC161" s="1220"/>
      <c r="DD161" s="1220"/>
      <c r="DE161" s="1220"/>
      <c r="DF161" s="1220"/>
      <c r="DG161" s="1220"/>
      <c r="DH161" s="1220"/>
      <c r="DI161" s="1220"/>
      <c r="DJ161" s="1220"/>
      <c r="DK161" s="1220"/>
      <c r="DL161" s="1220"/>
      <c r="DM161" s="1220"/>
      <c r="DN161" s="1220"/>
      <c r="DO161" s="1220"/>
      <c r="DP161" s="1220"/>
      <c r="DQ161" s="1220"/>
      <c r="DR161" s="1220"/>
      <c r="DS161" s="1220"/>
      <c r="DT161" s="1220"/>
      <c r="DU161" s="1220"/>
      <c r="DV161" s="1220"/>
      <c r="DW161" s="1220"/>
      <c r="DX161" s="1220"/>
      <c r="DY161" s="1220"/>
      <c r="DZ161" s="1220"/>
      <c r="EA161" s="1220"/>
      <c r="EB161" s="1220"/>
      <c r="EC161" s="1220"/>
      <c r="ED161" s="1220"/>
      <c r="EE161" s="1220"/>
      <c r="EF161" s="1220"/>
      <c r="EG161" s="1220"/>
      <c r="EH161" s="1220"/>
      <c r="EI161" s="1220"/>
      <c r="EJ161" s="1220"/>
      <c r="EK161" s="1220"/>
      <c r="EL161" s="1220"/>
      <c r="EM161" s="1220"/>
      <c r="EN161" s="1220"/>
      <c r="EO161" s="1220"/>
      <c r="EP161" s="1220"/>
      <c r="EQ161" s="1220"/>
      <c r="ER161" s="1220"/>
      <c r="ES161" s="1220"/>
      <c r="ET161" s="1220"/>
      <c r="EU161" s="1220"/>
      <c r="EV161" s="1220"/>
      <c r="EW161" s="1220"/>
      <c r="EX161" s="1220"/>
      <c r="EY161" s="1220"/>
      <c r="EZ161" s="1220"/>
      <c r="FA161" s="1220"/>
      <c r="FB161" s="1220"/>
      <c r="FC161" s="1220"/>
      <c r="FD161" s="1220"/>
      <c r="FE161" s="1220"/>
      <c r="FF161" s="1220"/>
      <c r="FG161" s="1220"/>
      <c r="FH161" s="1220"/>
      <c r="FI161" s="1220"/>
      <c r="FJ161" s="1220"/>
      <c r="FK161" s="1220"/>
      <c r="FL161" s="1220"/>
      <c r="FM161" s="1220"/>
      <c r="FN161" s="1220"/>
      <c r="FO161" s="1220"/>
      <c r="FP161" s="1220"/>
      <c r="FQ161" s="1220"/>
      <c r="FR161" s="1220"/>
      <c r="FS161" s="1220"/>
      <c r="FT161" s="1220"/>
      <c r="FU161" s="1220"/>
      <c r="FV161" s="1220"/>
      <c r="FW161" s="1220"/>
      <c r="FX161" s="1220"/>
      <c r="FY161" s="1220"/>
      <c r="FZ161" s="1220"/>
      <c r="GA161" s="1220"/>
      <c r="GB161" s="1220"/>
      <c r="GC161" s="1220"/>
      <c r="GD161" s="1220"/>
      <c r="GE161" s="1220"/>
      <c r="GF161" s="1220"/>
      <c r="GG161" s="1220"/>
    </row>
    <row r="162" spans="1:189" s="1206" customFormat="1" ht="30" customHeight="1">
      <c r="A162" s="689" t="e">
        <f>+#REF!</f>
        <v>#REF!</v>
      </c>
      <c r="B162" s="1270" t="e">
        <f>+#REF!</f>
        <v>#REF!</v>
      </c>
      <c r="C162" s="1478"/>
      <c r="D162" s="544"/>
      <c r="E162" s="544"/>
      <c r="F162" s="544"/>
      <c r="H162" s="1218"/>
      <c r="I162" s="1219"/>
      <c r="J162" s="1218"/>
      <c r="K162" s="1220">
        <f>10*7*2</f>
        <v>140</v>
      </c>
      <c r="L162" s="1220"/>
      <c r="M162" s="1220"/>
      <c r="N162" s="1220"/>
      <c r="O162" s="1220"/>
      <c r="P162" s="1220"/>
      <c r="Q162" s="1220"/>
      <c r="R162" s="1220"/>
      <c r="S162" s="1220"/>
      <c r="T162" s="1220"/>
      <c r="U162" s="1220"/>
      <c r="V162" s="1220"/>
      <c r="W162" s="1220"/>
      <c r="X162" s="1220"/>
      <c r="Y162" s="1220"/>
      <c r="Z162" s="1220"/>
      <c r="AA162" s="1220"/>
      <c r="AB162" s="1220"/>
      <c r="AC162" s="1220"/>
      <c r="AD162" s="1220"/>
      <c r="AE162" s="1220"/>
      <c r="AF162" s="1220"/>
      <c r="AG162" s="1220"/>
      <c r="AH162" s="1220"/>
      <c r="AI162" s="1220"/>
      <c r="AJ162" s="1220"/>
      <c r="AK162" s="1220"/>
      <c r="AL162" s="1220"/>
      <c r="AM162" s="1220"/>
      <c r="AN162" s="1220"/>
      <c r="AO162" s="1220"/>
      <c r="AP162" s="1220"/>
      <c r="AQ162" s="1220"/>
      <c r="AR162" s="1220"/>
      <c r="AS162" s="1220"/>
      <c r="AT162" s="1220"/>
      <c r="AU162" s="1220"/>
      <c r="AV162" s="1220"/>
      <c r="AW162" s="1220"/>
      <c r="AX162" s="1220"/>
      <c r="AY162" s="1220"/>
      <c r="AZ162" s="1220"/>
      <c r="BA162" s="1220"/>
      <c r="BB162" s="1220"/>
      <c r="BC162" s="1220"/>
      <c r="BD162" s="1220"/>
      <c r="BE162" s="1220"/>
      <c r="BF162" s="1220"/>
      <c r="BG162" s="1220"/>
      <c r="BH162" s="1220"/>
      <c r="BI162" s="1220"/>
      <c r="BJ162" s="1220"/>
      <c r="BK162" s="1220"/>
      <c r="BL162" s="1220"/>
      <c r="BM162" s="1220"/>
      <c r="BN162" s="1220"/>
      <c r="BO162" s="1220"/>
      <c r="BP162" s="1220"/>
      <c r="BQ162" s="1220"/>
      <c r="BR162" s="1220"/>
      <c r="BS162" s="1220"/>
      <c r="BT162" s="1220"/>
      <c r="BU162" s="1220"/>
      <c r="BV162" s="1220"/>
      <c r="BW162" s="1220"/>
      <c r="BX162" s="1220"/>
      <c r="BY162" s="1220"/>
      <c r="BZ162" s="1220"/>
      <c r="CA162" s="1220"/>
      <c r="CB162" s="1220"/>
      <c r="CC162" s="1220"/>
      <c r="CD162" s="1220"/>
      <c r="CE162" s="1220"/>
      <c r="CF162" s="1220"/>
      <c r="CG162" s="1220"/>
      <c r="CH162" s="1220"/>
      <c r="CI162" s="1220"/>
      <c r="CJ162" s="1220"/>
      <c r="CK162" s="1220"/>
      <c r="CL162" s="1220"/>
      <c r="CM162" s="1220"/>
      <c r="CN162" s="1220"/>
      <c r="CO162" s="1220"/>
      <c r="CP162" s="1220"/>
      <c r="CQ162" s="1220"/>
      <c r="CR162" s="1220"/>
      <c r="CS162" s="1220"/>
      <c r="CT162" s="1220"/>
      <c r="CU162" s="1220"/>
      <c r="CV162" s="1220"/>
      <c r="CW162" s="1220"/>
      <c r="CX162" s="1220"/>
      <c r="CY162" s="1220"/>
      <c r="CZ162" s="1220"/>
      <c r="DA162" s="1220"/>
      <c r="DB162" s="1220"/>
      <c r="DC162" s="1220"/>
      <c r="DD162" s="1220"/>
      <c r="DE162" s="1220"/>
      <c r="DF162" s="1220"/>
      <c r="DG162" s="1220"/>
      <c r="DH162" s="1220"/>
      <c r="DI162" s="1220"/>
      <c r="DJ162" s="1220"/>
      <c r="DK162" s="1220"/>
      <c r="DL162" s="1220"/>
      <c r="DM162" s="1220"/>
      <c r="DN162" s="1220"/>
      <c r="DO162" s="1220"/>
      <c r="DP162" s="1220"/>
      <c r="DQ162" s="1220"/>
      <c r="DR162" s="1220"/>
      <c r="DS162" s="1220"/>
      <c r="DT162" s="1220"/>
      <c r="DU162" s="1220"/>
      <c r="DV162" s="1220"/>
      <c r="DW162" s="1220"/>
      <c r="DX162" s="1220"/>
      <c r="DY162" s="1220"/>
      <c r="DZ162" s="1220"/>
      <c r="EA162" s="1220"/>
      <c r="EB162" s="1220"/>
      <c r="EC162" s="1220"/>
      <c r="ED162" s="1220"/>
      <c r="EE162" s="1220"/>
      <c r="EF162" s="1220"/>
      <c r="EG162" s="1220"/>
      <c r="EH162" s="1220"/>
      <c r="EI162" s="1220"/>
      <c r="EJ162" s="1220"/>
      <c r="EK162" s="1220"/>
      <c r="EL162" s="1220"/>
      <c r="EM162" s="1220"/>
      <c r="EN162" s="1220"/>
      <c r="EO162" s="1220"/>
      <c r="EP162" s="1220"/>
      <c r="EQ162" s="1220"/>
      <c r="ER162" s="1220"/>
      <c r="ES162" s="1220"/>
      <c r="ET162" s="1220"/>
      <c r="EU162" s="1220"/>
      <c r="EV162" s="1220"/>
      <c r="EW162" s="1220"/>
      <c r="EX162" s="1220"/>
      <c r="EY162" s="1220"/>
      <c r="EZ162" s="1220"/>
      <c r="FA162" s="1220"/>
      <c r="FB162" s="1220"/>
      <c r="FC162" s="1220"/>
      <c r="FD162" s="1220"/>
      <c r="FE162" s="1220"/>
      <c r="FF162" s="1220"/>
      <c r="FG162" s="1220"/>
      <c r="FH162" s="1220"/>
      <c r="FI162" s="1220"/>
      <c r="FJ162" s="1220"/>
      <c r="FK162" s="1220"/>
      <c r="FL162" s="1220"/>
      <c r="FM162" s="1220"/>
      <c r="FN162" s="1220"/>
      <c r="FO162" s="1220"/>
      <c r="FP162" s="1220"/>
      <c r="FQ162" s="1220"/>
      <c r="FR162" s="1220"/>
      <c r="FS162" s="1220"/>
      <c r="FT162" s="1220"/>
      <c r="FU162" s="1220"/>
      <c r="FV162" s="1220"/>
      <c r="FW162" s="1220"/>
      <c r="FX162" s="1220"/>
      <c r="FY162" s="1220"/>
      <c r="FZ162" s="1220"/>
      <c r="GA162" s="1220"/>
      <c r="GB162" s="1220"/>
      <c r="GC162" s="1220"/>
      <c r="GD162" s="1220"/>
      <c r="GE162" s="1220"/>
      <c r="GF162" s="1220"/>
      <c r="GG162" s="1220"/>
    </row>
    <row r="163" spans="1:189" s="1206" customFormat="1">
      <c r="A163" s="751"/>
      <c r="B163" s="753"/>
      <c r="C163" s="1523" t="e">
        <f>#REF!</f>
        <v>#REF!</v>
      </c>
      <c r="D163" s="547">
        <v>1</v>
      </c>
      <c r="E163" s="547" t="e">
        <f>#REF!</f>
        <v>#REF!</v>
      </c>
      <c r="F163" s="527" t="e">
        <f>+D163*E163</f>
        <v>#REF!</v>
      </c>
      <c r="H163" s="1218"/>
      <c r="I163" s="1219"/>
      <c r="J163" s="1218"/>
      <c r="K163" s="1220"/>
      <c r="L163" s="1220"/>
      <c r="M163" s="1220"/>
      <c r="N163" s="1220"/>
      <c r="O163" s="1220"/>
      <c r="P163" s="1220"/>
      <c r="Q163" s="1220"/>
      <c r="R163" s="1220"/>
      <c r="S163" s="1220"/>
      <c r="T163" s="1220"/>
      <c r="U163" s="1220"/>
      <c r="V163" s="1220"/>
      <c r="W163" s="1220"/>
      <c r="X163" s="1220"/>
      <c r="Y163" s="1220"/>
      <c r="Z163" s="1220"/>
      <c r="AA163" s="1220"/>
      <c r="AB163" s="1220"/>
      <c r="AC163" s="1220"/>
      <c r="AD163" s="1220"/>
      <c r="AE163" s="1220"/>
      <c r="AF163" s="1220"/>
      <c r="AG163" s="1220"/>
      <c r="AH163" s="1220"/>
      <c r="AI163" s="1220"/>
      <c r="AJ163" s="1220"/>
      <c r="AK163" s="1220"/>
      <c r="AL163" s="1220"/>
      <c r="AM163" s="1220"/>
      <c r="AN163" s="1220"/>
      <c r="AO163" s="1220"/>
      <c r="AP163" s="1220"/>
      <c r="AQ163" s="1220"/>
      <c r="AR163" s="1220"/>
      <c r="AS163" s="1220"/>
      <c r="AT163" s="1220"/>
      <c r="AU163" s="1220"/>
      <c r="AV163" s="1220"/>
      <c r="AW163" s="1220"/>
      <c r="AX163" s="1220"/>
      <c r="AY163" s="1220"/>
      <c r="AZ163" s="1220"/>
      <c r="BA163" s="1220"/>
      <c r="BB163" s="1220"/>
      <c r="BC163" s="1220"/>
      <c r="BD163" s="1220"/>
      <c r="BE163" s="1220"/>
      <c r="BF163" s="1220"/>
      <c r="BG163" s="1220"/>
      <c r="BH163" s="1220"/>
      <c r="BI163" s="1220"/>
      <c r="BJ163" s="1220"/>
      <c r="BK163" s="1220"/>
      <c r="BL163" s="1220"/>
      <c r="BM163" s="1220"/>
      <c r="BN163" s="1220"/>
      <c r="BO163" s="1220"/>
      <c r="BP163" s="1220"/>
      <c r="BQ163" s="1220"/>
      <c r="BR163" s="1220"/>
      <c r="BS163" s="1220"/>
      <c r="BT163" s="1220"/>
      <c r="BU163" s="1220"/>
      <c r="BV163" s="1220"/>
      <c r="BW163" s="1220"/>
      <c r="BX163" s="1220"/>
      <c r="BY163" s="1220"/>
      <c r="BZ163" s="1220"/>
      <c r="CA163" s="1220"/>
      <c r="CB163" s="1220"/>
      <c r="CC163" s="1220"/>
      <c r="CD163" s="1220"/>
      <c r="CE163" s="1220"/>
      <c r="CF163" s="1220"/>
      <c r="CG163" s="1220"/>
      <c r="CH163" s="1220"/>
      <c r="CI163" s="1220"/>
      <c r="CJ163" s="1220"/>
      <c r="CK163" s="1220"/>
      <c r="CL163" s="1220"/>
      <c r="CM163" s="1220"/>
      <c r="CN163" s="1220"/>
      <c r="CO163" s="1220"/>
      <c r="CP163" s="1220"/>
      <c r="CQ163" s="1220"/>
      <c r="CR163" s="1220"/>
      <c r="CS163" s="1220"/>
      <c r="CT163" s="1220"/>
      <c r="CU163" s="1220"/>
      <c r="CV163" s="1220"/>
      <c r="CW163" s="1220"/>
      <c r="CX163" s="1220"/>
      <c r="CY163" s="1220"/>
      <c r="CZ163" s="1220"/>
      <c r="DA163" s="1220"/>
      <c r="DB163" s="1220"/>
      <c r="DC163" s="1220"/>
      <c r="DD163" s="1220"/>
      <c r="DE163" s="1220"/>
      <c r="DF163" s="1220"/>
      <c r="DG163" s="1220"/>
      <c r="DH163" s="1220"/>
      <c r="DI163" s="1220"/>
      <c r="DJ163" s="1220"/>
      <c r="DK163" s="1220"/>
      <c r="DL163" s="1220"/>
      <c r="DM163" s="1220"/>
      <c r="DN163" s="1220"/>
      <c r="DO163" s="1220"/>
      <c r="DP163" s="1220"/>
      <c r="DQ163" s="1220"/>
      <c r="DR163" s="1220"/>
      <c r="DS163" s="1220"/>
      <c r="DT163" s="1220"/>
      <c r="DU163" s="1220"/>
      <c r="DV163" s="1220"/>
      <c r="DW163" s="1220"/>
      <c r="DX163" s="1220"/>
      <c r="DY163" s="1220"/>
      <c r="DZ163" s="1220"/>
      <c r="EA163" s="1220"/>
      <c r="EB163" s="1220"/>
      <c r="EC163" s="1220"/>
      <c r="ED163" s="1220"/>
      <c r="EE163" s="1220"/>
      <c r="EF163" s="1220"/>
      <c r="EG163" s="1220"/>
      <c r="EH163" s="1220"/>
      <c r="EI163" s="1220"/>
      <c r="EJ163" s="1220"/>
      <c r="EK163" s="1220"/>
      <c r="EL163" s="1220"/>
      <c r="EM163" s="1220"/>
      <c r="EN163" s="1220"/>
      <c r="EO163" s="1220"/>
      <c r="EP163" s="1220"/>
      <c r="EQ163" s="1220"/>
      <c r="ER163" s="1220"/>
      <c r="ES163" s="1220"/>
      <c r="ET163" s="1220"/>
      <c r="EU163" s="1220"/>
      <c r="EV163" s="1220"/>
      <c r="EW163" s="1220"/>
      <c r="EX163" s="1220"/>
      <c r="EY163" s="1220"/>
      <c r="EZ163" s="1220"/>
      <c r="FA163" s="1220"/>
      <c r="FB163" s="1220"/>
      <c r="FC163" s="1220"/>
      <c r="FD163" s="1220"/>
      <c r="FE163" s="1220"/>
      <c r="FF163" s="1220"/>
      <c r="FG163" s="1220"/>
      <c r="FH163" s="1220"/>
      <c r="FI163" s="1220"/>
      <c r="FJ163" s="1220"/>
      <c r="FK163" s="1220"/>
      <c r="FL163" s="1220"/>
      <c r="FM163" s="1220"/>
      <c r="FN163" s="1220"/>
      <c r="FO163" s="1220"/>
      <c r="FP163" s="1220"/>
      <c r="FQ163" s="1220"/>
      <c r="FR163" s="1220"/>
      <c r="FS163" s="1220"/>
      <c r="FT163" s="1220"/>
      <c r="FU163" s="1220"/>
      <c r="FV163" s="1220"/>
      <c r="FW163" s="1220"/>
      <c r="FX163" s="1220"/>
      <c r="FY163" s="1220"/>
      <c r="FZ163" s="1220"/>
      <c r="GA163" s="1220"/>
      <c r="GB163" s="1220"/>
      <c r="GC163" s="1220"/>
      <c r="GD163" s="1220"/>
      <c r="GE163" s="1220"/>
      <c r="GF163" s="1220"/>
      <c r="GG163" s="1220"/>
    </row>
    <row r="164" spans="1:189" s="1220" customFormat="1" ht="18.75">
      <c r="A164" s="1239"/>
      <c r="B164" s="1206"/>
      <c r="C164" s="1651"/>
      <c r="D164" s="1606"/>
      <c r="E164" s="1609" t="s">
        <v>112</v>
      </c>
      <c r="F164" s="1122" t="e">
        <f>SUM(F152:F163)</f>
        <v>#REF!</v>
      </c>
      <c r="G164" s="1206"/>
      <c r="H164" s="1218"/>
      <c r="I164" s="1219"/>
      <c r="J164" s="1218"/>
    </row>
    <row r="165" spans="1:189" s="1220" customFormat="1" ht="15" customHeight="1">
      <c r="A165" s="1239"/>
      <c r="B165" s="1206"/>
      <c r="C165" s="1543"/>
      <c r="D165" s="738"/>
      <c r="E165" s="1543"/>
      <c r="F165" s="1543"/>
      <c r="G165" s="1206"/>
      <c r="H165" s="1218"/>
      <c r="I165" s="1219"/>
      <c r="J165" s="1218"/>
    </row>
    <row r="166" spans="1:189" s="1220" customFormat="1" ht="24.95" customHeight="1">
      <c r="A166" s="1239"/>
      <c r="B166" s="1206"/>
      <c r="C166" s="1651"/>
      <c r="D166" s="1606"/>
      <c r="E166" s="1609" t="s">
        <v>330</v>
      </c>
      <c r="F166" s="1122" t="e">
        <f>+F65+F76+F106+F149+F164</f>
        <v>#REF!</v>
      </c>
      <c r="G166" s="1206"/>
      <c r="H166" s="1218"/>
      <c r="I166" s="1219"/>
      <c r="J166" s="1218"/>
    </row>
    <row r="167" spans="1:189" s="1206" customFormat="1" ht="15" customHeight="1">
      <c r="A167" s="1239"/>
      <c r="C167" s="1543"/>
      <c r="D167" s="1543"/>
      <c r="E167" s="1543"/>
      <c r="F167" s="1543"/>
      <c r="H167" s="1218"/>
      <c r="I167" s="1219"/>
      <c r="J167" s="1218"/>
      <c r="K167" s="1220"/>
      <c r="L167" s="1220"/>
      <c r="M167" s="1220"/>
      <c r="N167" s="1220"/>
      <c r="O167" s="1220"/>
      <c r="P167" s="1220"/>
      <c r="Q167" s="1220"/>
      <c r="R167" s="1220"/>
      <c r="S167" s="1220"/>
      <c r="T167" s="1220"/>
      <c r="U167" s="1220"/>
      <c r="V167" s="1220"/>
      <c r="W167" s="1220"/>
      <c r="X167" s="1220"/>
      <c r="Y167" s="1220"/>
      <c r="Z167" s="1220"/>
      <c r="AA167" s="1220"/>
      <c r="AB167" s="1220"/>
      <c r="AC167" s="1220"/>
      <c r="AD167" s="1220"/>
      <c r="AE167" s="1220"/>
      <c r="AF167" s="1220"/>
      <c r="AG167" s="1220"/>
      <c r="AH167" s="1220"/>
      <c r="AI167" s="1220"/>
      <c r="AJ167" s="1220"/>
      <c r="AK167" s="1220"/>
      <c r="AL167" s="1220"/>
      <c r="AM167" s="1220"/>
      <c r="AN167" s="1220"/>
      <c r="AO167" s="1220"/>
      <c r="AP167" s="1220"/>
      <c r="AQ167" s="1220"/>
      <c r="AR167" s="1220"/>
      <c r="AS167" s="1220"/>
      <c r="AT167" s="1220"/>
      <c r="AU167" s="1220"/>
      <c r="AV167" s="1220"/>
      <c r="AW167" s="1220"/>
      <c r="AX167" s="1220"/>
      <c r="AY167" s="1220"/>
      <c r="AZ167" s="1220"/>
      <c r="BA167" s="1220"/>
      <c r="BB167" s="1220"/>
      <c r="BC167" s="1220"/>
      <c r="BD167" s="1220"/>
      <c r="BE167" s="1220"/>
      <c r="BF167" s="1220"/>
      <c r="BG167" s="1220"/>
      <c r="BH167" s="1220"/>
      <c r="BI167" s="1220"/>
      <c r="BJ167" s="1220"/>
      <c r="BK167" s="1220"/>
      <c r="BL167" s="1220"/>
      <c r="BM167" s="1220"/>
      <c r="BN167" s="1220"/>
      <c r="BO167" s="1220"/>
      <c r="BP167" s="1220"/>
      <c r="BQ167" s="1220"/>
      <c r="BR167" s="1220"/>
      <c r="BS167" s="1220"/>
      <c r="BT167" s="1220"/>
      <c r="BU167" s="1220"/>
      <c r="BV167" s="1220"/>
      <c r="BW167" s="1220"/>
      <c r="BX167" s="1220"/>
      <c r="BY167" s="1220"/>
      <c r="BZ167" s="1220"/>
      <c r="CA167" s="1220"/>
      <c r="CB167" s="1220"/>
      <c r="CC167" s="1220"/>
      <c r="CD167" s="1220"/>
      <c r="CE167" s="1220"/>
      <c r="CF167" s="1220"/>
      <c r="CG167" s="1220"/>
      <c r="CH167" s="1220"/>
      <c r="CI167" s="1220"/>
      <c r="CJ167" s="1220"/>
      <c r="CK167" s="1220"/>
      <c r="CL167" s="1220"/>
      <c r="CM167" s="1220"/>
      <c r="CN167" s="1220"/>
      <c r="CO167" s="1220"/>
      <c r="CP167" s="1220"/>
      <c r="CQ167" s="1220"/>
      <c r="CR167" s="1220"/>
      <c r="CS167" s="1220"/>
      <c r="CT167" s="1220"/>
      <c r="CU167" s="1220"/>
      <c r="CV167" s="1220"/>
      <c r="CW167" s="1220"/>
      <c r="CX167" s="1220"/>
      <c r="CY167" s="1220"/>
      <c r="CZ167" s="1220"/>
      <c r="DA167" s="1220"/>
      <c r="DB167" s="1220"/>
      <c r="DC167" s="1220"/>
      <c r="DD167" s="1220"/>
      <c r="DE167" s="1220"/>
      <c r="DF167" s="1220"/>
      <c r="DG167" s="1220"/>
      <c r="DH167" s="1220"/>
      <c r="DI167" s="1220"/>
      <c r="DJ167" s="1220"/>
      <c r="DK167" s="1220"/>
      <c r="DL167" s="1220"/>
      <c r="DM167" s="1220"/>
      <c r="DN167" s="1220"/>
      <c r="DO167" s="1220"/>
      <c r="DP167" s="1220"/>
      <c r="DQ167" s="1220"/>
      <c r="DR167" s="1220"/>
      <c r="DS167" s="1220"/>
      <c r="DT167" s="1220"/>
      <c r="DU167" s="1220"/>
      <c r="DV167" s="1220"/>
      <c r="DW167" s="1220"/>
      <c r="DX167" s="1220"/>
      <c r="DY167" s="1220"/>
      <c r="DZ167" s="1220"/>
      <c r="EA167" s="1220"/>
      <c r="EB167" s="1220"/>
      <c r="EC167" s="1220"/>
      <c r="ED167" s="1220"/>
      <c r="EE167" s="1220"/>
      <c r="EF167" s="1220"/>
      <c r="EG167" s="1220"/>
      <c r="EH167" s="1220"/>
      <c r="EI167" s="1220"/>
      <c r="EJ167" s="1220"/>
      <c r="EK167" s="1220"/>
      <c r="EL167" s="1220"/>
      <c r="EM167" s="1220"/>
      <c r="EN167" s="1220"/>
      <c r="EO167" s="1220"/>
      <c r="EP167" s="1220"/>
      <c r="EQ167" s="1220"/>
      <c r="ER167" s="1220"/>
      <c r="ES167" s="1220"/>
      <c r="ET167" s="1220"/>
      <c r="EU167" s="1220"/>
      <c r="EV167" s="1220"/>
      <c r="EW167" s="1220"/>
      <c r="EX167" s="1220"/>
      <c r="EY167" s="1220"/>
      <c r="EZ167" s="1220"/>
      <c r="FA167" s="1220"/>
      <c r="FB167" s="1220"/>
      <c r="FC167" s="1220"/>
      <c r="FD167" s="1220"/>
      <c r="FE167" s="1220"/>
      <c r="FF167" s="1220"/>
      <c r="FG167" s="1220"/>
      <c r="FH167" s="1220"/>
      <c r="FI167" s="1220"/>
      <c r="FJ167" s="1220"/>
      <c r="FK167" s="1220"/>
      <c r="FL167" s="1220"/>
      <c r="FM167" s="1220"/>
      <c r="FN167" s="1220"/>
      <c r="FO167" s="1220"/>
      <c r="FP167" s="1220"/>
      <c r="FQ167" s="1220"/>
      <c r="FR167" s="1220"/>
      <c r="FS167" s="1220"/>
      <c r="FT167" s="1220"/>
      <c r="FU167" s="1220"/>
      <c r="FV167" s="1220"/>
      <c r="FW167" s="1220"/>
      <c r="FX167" s="1220"/>
      <c r="FY167" s="1220"/>
      <c r="FZ167" s="1220"/>
      <c r="GA167" s="1220"/>
      <c r="GB167" s="1220"/>
      <c r="GC167" s="1220"/>
      <c r="GD167" s="1220"/>
      <c r="GE167" s="1220"/>
      <c r="GF167" s="1220"/>
      <c r="GG167" s="1220"/>
    </row>
    <row r="168" spans="1:189" s="1220" customFormat="1" ht="24.95" customHeight="1">
      <c r="A168" s="1239"/>
      <c r="B168" s="1206"/>
      <c r="C168" s="1651"/>
      <c r="D168" s="1606"/>
      <c r="E168" s="1609" t="s">
        <v>419</v>
      </c>
      <c r="F168" s="1122" t="e">
        <f>F166+F41</f>
        <v>#REF!</v>
      </c>
      <c r="G168" s="1206"/>
      <c r="H168" s="1218"/>
      <c r="I168" s="1219"/>
      <c r="J168" s="1218"/>
    </row>
    <row r="169" spans="1:189" ht="15" customHeight="1"/>
    <row r="171" spans="1:189">
      <c r="F171" s="1234">
        <v>10307446212.858688</v>
      </c>
      <c r="G171" s="1235" t="e">
        <f>+F168-F171</f>
        <v>#REF!</v>
      </c>
    </row>
    <row r="173" spans="1:189" s="1203" customFormat="1">
      <c r="A173" s="565"/>
      <c r="B173" s="1198"/>
      <c r="C173" s="1198"/>
      <c r="D173" s="1198"/>
      <c r="E173" s="1198"/>
      <c r="F173" s="1198"/>
      <c r="G173" s="1198"/>
      <c r="H173" s="1201"/>
      <c r="I173" s="1202"/>
      <c r="J173" s="1201">
        <f>18500*17</f>
        <v>314500</v>
      </c>
    </row>
    <row r="177" spans="1:48" s="1203" customFormat="1">
      <c r="A177" s="565"/>
      <c r="B177" s="1198"/>
      <c r="C177" s="1198"/>
      <c r="D177" s="1198"/>
      <c r="E177" s="1198"/>
      <c r="F177" s="1198"/>
      <c r="G177" s="1198"/>
      <c r="H177" s="1201"/>
      <c r="I177" s="1202"/>
      <c r="J177" s="1201"/>
      <c r="AV177" s="1203">
        <v>46200</v>
      </c>
    </row>
    <row r="178" spans="1:48" s="1203" customFormat="1" ht="15.75">
      <c r="A178" s="1214"/>
      <c r="B178" s="1198"/>
      <c r="C178" s="1198"/>
      <c r="D178" s="1199"/>
      <c r="E178" s="1199"/>
      <c r="F178" s="1236"/>
      <c r="G178" s="1198"/>
      <c r="H178" s="1201"/>
      <c r="I178" s="1202"/>
      <c r="J178" s="1201"/>
    </row>
    <row r="179" spans="1:48" s="1203" customFormat="1" ht="26.25">
      <c r="A179" s="565"/>
      <c r="B179" s="1969"/>
      <c r="C179" s="1969"/>
      <c r="D179" s="1969"/>
      <c r="E179" s="1969"/>
      <c r="F179" s="1969"/>
      <c r="G179" s="1198"/>
      <c r="H179" s="1201"/>
      <c r="I179" s="1202"/>
      <c r="J179" s="1201"/>
    </row>
    <row r="192" spans="1:48">
      <c r="E192" s="1198">
        <f>18500*17</f>
        <v>314500</v>
      </c>
    </row>
  </sheetData>
  <mergeCells count="11">
    <mergeCell ref="A1:F1"/>
    <mergeCell ref="A2:F2"/>
    <mergeCell ref="B179:F179"/>
    <mergeCell ref="A19:F19"/>
    <mergeCell ref="A26:F26"/>
    <mergeCell ref="A43:F43"/>
    <mergeCell ref="A67:F67"/>
    <mergeCell ref="A78:F78"/>
    <mergeCell ref="A108:F108"/>
    <mergeCell ref="A151:F151"/>
    <mergeCell ref="B14:B15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  <rowBreaks count="1" manualBreakCount="1">
    <brk id="76" max="6" man="1"/>
  </rowBreaks>
  <colBreaks count="1" manualBreakCount="1">
    <brk id="6" max="1048575" man="1"/>
  </colBreaks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theme="1" tint="4.9989318521683403E-2"/>
  </sheetPr>
  <dimension ref="A1:GG195"/>
  <sheetViews>
    <sheetView view="pageBreakPreview" topLeftCell="B121" zoomScaleNormal="80" zoomScaleSheetLayoutView="100" workbookViewId="0">
      <selection activeCell="F3" sqref="F3"/>
    </sheetView>
  </sheetViews>
  <sheetFormatPr baseColWidth="10" defaultColWidth="9.140625" defaultRowHeight="14.25"/>
  <cols>
    <col min="1" max="1" width="12.85546875" style="1194" customWidth="1"/>
    <col min="2" max="2" width="95.42578125" style="176" customWidth="1"/>
    <col min="3" max="3" width="12" style="176" customWidth="1"/>
    <col min="4" max="4" width="15.7109375" style="176" customWidth="1"/>
    <col min="5" max="5" width="19.85546875" style="176" customWidth="1"/>
    <col min="6" max="6" width="26" style="176" customWidth="1"/>
    <col min="7" max="7" width="18.140625" style="44" customWidth="1"/>
    <col min="8" max="8" width="16" style="1144" bestFit="1" customWidth="1"/>
    <col min="9" max="9" width="15" style="1145" bestFit="1" customWidth="1"/>
    <col min="10" max="10" width="16" style="1144" bestFit="1" customWidth="1"/>
    <col min="11" max="11" width="21.42578125" style="1146" bestFit="1" customWidth="1"/>
    <col min="12" max="12" width="18.85546875" style="1146" customWidth="1"/>
    <col min="13" max="13" width="13.7109375" style="1146" bestFit="1" customWidth="1"/>
    <col min="14" max="189" width="9.140625" style="1146"/>
    <col min="190" max="16384" width="9.140625" style="44"/>
  </cols>
  <sheetData>
    <row r="1" spans="1:11" ht="20.25" thickBot="1">
      <c r="A1" s="1912" t="e">
        <f>+#REF!</f>
        <v>#REF!</v>
      </c>
      <c r="B1" s="1913"/>
      <c r="C1" s="1913"/>
      <c r="D1" s="1913"/>
      <c r="E1" s="1913"/>
      <c r="F1" s="1914"/>
    </row>
    <row r="2" spans="1:11" ht="25.5" thickBot="1">
      <c r="A2" s="1856" t="s">
        <v>709</v>
      </c>
      <c r="B2" s="1857"/>
      <c r="C2" s="1857"/>
      <c r="D2" s="1857"/>
      <c r="E2" s="1857"/>
      <c r="F2" s="1858"/>
      <c r="G2" s="1147"/>
    </row>
    <row r="3" spans="1:11" s="1146" customFormat="1" ht="17.100000000000001" customHeight="1">
      <c r="A3" s="1105"/>
      <c r="B3" s="961"/>
      <c r="C3" s="961"/>
      <c r="D3" s="1106"/>
      <c r="E3" s="1107" t="s">
        <v>344</v>
      </c>
      <c r="F3" s="908"/>
      <c r="G3" s="44"/>
      <c r="H3" s="1144"/>
      <c r="I3" s="1145"/>
      <c r="J3" s="1144"/>
    </row>
    <row r="4" spans="1:11" s="1146" customFormat="1" ht="17.100000000000001" customHeight="1">
      <c r="A4" s="1105"/>
      <c r="B4" s="961"/>
      <c r="C4" s="961"/>
      <c r="D4" s="1106"/>
      <c r="E4" s="1107" t="s">
        <v>362</v>
      </c>
      <c r="F4" s="908">
        <f>(940-710)*0</f>
        <v>0</v>
      </c>
      <c r="G4" s="44"/>
      <c r="H4" s="1144"/>
      <c r="I4" s="1145"/>
      <c r="J4" s="1144"/>
    </row>
    <row r="5" spans="1:11" s="1146" customFormat="1" ht="17.100000000000001" customHeight="1">
      <c r="A5" s="1105"/>
      <c r="B5" s="961"/>
      <c r="C5" s="961"/>
      <c r="D5" s="1106"/>
      <c r="E5" s="1107" t="s">
        <v>349</v>
      </c>
      <c r="F5" s="908">
        <f>(925-700+(403)*2 +950*1.2)*0</f>
        <v>0</v>
      </c>
      <c r="G5" s="44"/>
      <c r="H5" s="1144"/>
      <c r="I5" s="1145"/>
      <c r="J5" s="1144"/>
    </row>
    <row r="6" spans="1:11" s="1146" customFormat="1" ht="17.100000000000001" customHeight="1">
      <c r="A6" s="1105"/>
      <c r="B6" s="961"/>
      <c r="C6" s="961"/>
      <c r="D6" s="1106"/>
      <c r="E6" s="1107" t="s">
        <v>345</v>
      </c>
      <c r="F6" s="908">
        <f>(1225-925+(400-0)+(700-400))*0.4*0</f>
        <v>0</v>
      </c>
      <c r="G6" s="44"/>
      <c r="H6" s="1144"/>
      <c r="I6" s="1145"/>
      <c r="J6" s="1144"/>
    </row>
    <row r="7" spans="1:11" s="1146" customFormat="1" ht="17.100000000000001" customHeight="1">
      <c r="A7" s="1105"/>
      <c r="B7" s="961"/>
      <c r="C7" s="961"/>
      <c r="D7" s="1106"/>
      <c r="E7" s="1107" t="s">
        <v>347</v>
      </c>
      <c r="F7" s="908">
        <f>(940-710+(150+143+120+74+42)*2+20*2*10)*0.8*0</f>
        <v>0</v>
      </c>
      <c r="G7" s="44"/>
      <c r="H7" s="1144"/>
      <c r="I7" s="1145"/>
      <c r="J7" s="1144"/>
    </row>
    <row r="8" spans="1:11" s="1146" customFormat="1" ht="17.100000000000001" customHeight="1">
      <c r="A8" s="1105"/>
      <c r="B8" s="961"/>
      <c r="C8" s="961"/>
      <c r="D8" s="1106"/>
      <c r="E8" s="1107" t="s">
        <v>346</v>
      </c>
      <c r="F8" s="908"/>
      <c r="G8" s="44"/>
      <c r="H8" s="1144"/>
      <c r="I8" s="1145"/>
      <c r="J8" s="1144"/>
      <c r="K8" s="1146">
        <f>877*25/10</f>
        <v>2192.5</v>
      </c>
    </row>
    <row r="9" spans="1:11" s="1146" customFormat="1" ht="17.100000000000001" customHeight="1">
      <c r="A9" s="1105"/>
      <c r="B9" s="961"/>
      <c r="C9" s="961"/>
      <c r="D9" s="1106"/>
      <c r="E9" s="1107" t="s">
        <v>707</v>
      </c>
      <c r="F9" s="908">
        <f>250*0</f>
        <v>0</v>
      </c>
      <c r="G9" s="44" t="s">
        <v>679</v>
      </c>
      <c r="H9" s="1144"/>
      <c r="I9" s="1145"/>
      <c r="J9" s="1144"/>
    </row>
    <row r="10" spans="1:11" s="1146" customFormat="1" ht="17.100000000000001" customHeight="1">
      <c r="A10" s="1105"/>
      <c r="B10" s="961"/>
      <c r="C10" s="961"/>
      <c r="D10" s="1106"/>
      <c r="E10" s="1107" t="s">
        <v>594</v>
      </c>
      <c r="F10" s="908">
        <v>250</v>
      </c>
      <c r="G10" s="44">
        <v>810</v>
      </c>
      <c r="H10" s="1144"/>
      <c r="I10" s="1145"/>
      <c r="J10" s="1144"/>
    </row>
    <row r="11" spans="1:11" s="1146" customFormat="1" ht="17.100000000000001" customHeight="1">
      <c r="A11" s="1105"/>
      <c r="B11" s="961"/>
      <c r="C11" s="961"/>
      <c r="D11" s="1106"/>
      <c r="E11" s="1107" t="s">
        <v>708</v>
      </c>
      <c r="F11" s="908">
        <v>150</v>
      </c>
      <c r="G11" s="44"/>
      <c r="H11" s="1144" t="s">
        <v>659</v>
      </c>
      <c r="I11" s="1145"/>
      <c r="J11" s="1144" t="s">
        <v>660</v>
      </c>
    </row>
    <row r="12" spans="1:11" s="1146" customFormat="1" ht="17.100000000000001" customHeight="1">
      <c r="A12" s="1105"/>
      <c r="B12" s="961"/>
      <c r="C12" s="961"/>
      <c r="D12" s="1106"/>
      <c r="E12" s="1107" t="s">
        <v>671</v>
      </c>
      <c r="F12" s="908">
        <f>(1525-1135)*0</f>
        <v>0</v>
      </c>
      <c r="G12" s="44"/>
      <c r="H12" s="1144"/>
      <c r="I12" s="1145">
        <f>840/30</f>
        <v>28</v>
      </c>
      <c r="J12" s="1144"/>
    </row>
    <row r="13" spans="1:11" s="1146" customFormat="1" ht="17.100000000000001" customHeight="1">
      <c r="A13" s="1105"/>
      <c r="B13" s="961"/>
      <c r="C13" s="961"/>
      <c r="D13" s="1106"/>
      <c r="E13" s="1107" t="s">
        <v>657</v>
      </c>
      <c r="F13" s="908"/>
      <c r="G13" s="44">
        <v>9.84</v>
      </c>
      <c r="H13" s="1144">
        <f>+F13*G13</f>
        <v>0</v>
      </c>
      <c r="I13" s="1145">
        <v>4</v>
      </c>
      <c r="J13" s="1144">
        <f>+F13*I13</f>
        <v>0</v>
      </c>
    </row>
    <row r="14" spans="1:11" s="1146" customFormat="1" ht="17.100000000000001" customHeight="1">
      <c r="A14" s="1105"/>
      <c r="B14" s="961"/>
      <c r="C14" s="961"/>
      <c r="D14" s="1106"/>
      <c r="E14" s="1107" t="s">
        <v>658</v>
      </c>
      <c r="F14" s="908"/>
      <c r="G14" s="44">
        <v>9.84</v>
      </c>
      <c r="H14" s="1144">
        <f t="shared" ref="H14:H17" si="0">+F14*G14</f>
        <v>0</v>
      </c>
      <c r="I14" s="1145">
        <v>5</v>
      </c>
      <c r="J14" s="1144">
        <f t="shared" ref="J14:J20" si="1">+F14*I14</f>
        <v>0</v>
      </c>
    </row>
    <row r="15" spans="1:11" s="1146" customFormat="1" ht="17.100000000000001" customHeight="1">
      <c r="A15" s="1105"/>
      <c r="B15" s="961"/>
      <c r="C15" s="961"/>
      <c r="D15" s="1106"/>
      <c r="E15" s="1107" t="s">
        <v>352</v>
      </c>
      <c r="F15" s="908">
        <f>700*0</f>
        <v>0</v>
      </c>
      <c r="G15" s="44">
        <v>9.84</v>
      </c>
      <c r="H15" s="1144">
        <f t="shared" si="0"/>
        <v>0</v>
      </c>
      <c r="I15" s="1145">
        <v>3.5</v>
      </c>
      <c r="J15" s="1144">
        <f t="shared" si="1"/>
        <v>0</v>
      </c>
    </row>
    <row r="16" spans="1:11" s="1146" customFormat="1" ht="17.100000000000001" customHeight="1">
      <c r="A16" s="1105"/>
      <c r="B16" s="961"/>
      <c r="C16" s="961"/>
      <c r="D16" s="1106"/>
      <c r="E16" s="1107" t="s">
        <v>350</v>
      </c>
      <c r="F16" s="908"/>
      <c r="G16" s="44">
        <v>11.84</v>
      </c>
      <c r="H16" s="1144">
        <f t="shared" si="0"/>
        <v>0</v>
      </c>
      <c r="I16" s="1145">
        <f>20-11-2</f>
        <v>7</v>
      </c>
      <c r="J16" s="1144">
        <f t="shared" si="1"/>
        <v>0</v>
      </c>
    </row>
    <row r="17" spans="1:189" s="1146" customFormat="1" ht="17.100000000000001" customHeight="1">
      <c r="A17" s="1105"/>
      <c r="B17" s="961"/>
      <c r="C17" s="961"/>
      <c r="D17" s="1106"/>
      <c r="E17" s="1107" t="s">
        <v>351</v>
      </c>
      <c r="F17" s="908"/>
      <c r="G17" s="44">
        <v>9.84</v>
      </c>
      <c r="H17" s="1144">
        <f t="shared" si="0"/>
        <v>0</v>
      </c>
      <c r="I17" s="1145">
        <f>2*2</f>
        <v>4</v>
      </c>
      <c r="J17" s="1144">
        <f t="shared" si="1"/>
        <v>0</v>
      </c>
    </row>
    <row r="18" spans="1:189" s="1146" customFormat="1" ht="24" customHeight="1">
      <c r="A18" s="1607" t="s">
        <v>661</v>
      </c>
      <c r="B18" s="1607" t="s">
        <v>584</v>
      </c>
      <c r="C18" s="1607" t="s">
        <v>98</v>
      </c>
      <c r="D18" s="1607" t="s">
        <v>99</v>
      </c>
      <c r="E18" s="1592" t="s">
        <v>100</v>
      </c>
      <c r="F18" s="1592" t="s">
        <v>680</v>
      </c>
      <c r="G18" s="44"/>
      <c r="H18" s="1144">
        <f>SUM(H13:H17)</f>
        <v>0</v>
      </c>
      <c r="I18" s="1145"/>
      <c r="J18" s="1144">
        <f>SUM(J13:J17)</f>
        <v>0</v>
      </c>
    </row>
    <row r="19" spans="1:189" s="1317" customFormat="1" ht="24.95" customHeight="1">
      <c r="A19" s="1905" t="e">
        <f>+#REF!</f>
        <v>#REF!</v>
      </c>
      <c r="B19" s="1906"/>
      <c r="C19" s="1906"/>
      <c r="D19" s="1906"/>
      <c r="E19" s="1906"/>
      <c r="F19" s="1907"/>
      <c r="H19" s="1317">
        <f>+H18+9.84*20*(50-35)</f>
        <v>2952</v>
      </c>
      <c r="J19" s="1317">
        <f>+J18+3*2*F15</f>
        <v>0</v>
      </c>
    </row>
    <row r="20" spans="1:189" s="1152" customFormat="1" ht="30" customHeight="1">
      <c r="A20" s="1610" t="e">
        <f>+#REF!</f>
        <v>#REF!</v>
      </c>
      <c r="B20" s="1611" t="e">
        <f>+#REF!</f>
        <v>#REF!</v>
      </c>
      <c r="C20" s="809"/>
      <c r="D20" s="1707"/>
      <c r="E20" s="1613"/>
      <c r="F20" s="650"/>
      <c r="G20" s="1149"/>
      <c r="H20" s="1150"/>
      <c r="I20" s="1151"/>
      <c r="J20" s="1150">
        <f t="shared" si="1"/>
        <v>0</v>
      </c>
    </row>
    <row r="21" spans="1:189" s="1152" customFormat="1" ht="15.95" customHeight="1">
      <c r="A21" s="1418"/>
      <c r="B21" s="467"/>
      <c r="C21" s="1708" t="e">
        <f>#REF!</f>
        <v>#REF!</v>
      </c>
      <c r="D21" s="1708">
        <v>1</v>
      </c>
      <c r="E21" s="547" t="e">
        <f>J21</f>
        <v>#REF!</v>
      </c>
      <c r="F21" s="547" t="e">
        <f>+D21*E21</f>
        <v>#REF!</v>
      </c>
      <c r="G21" s="1149"/>
      <c r="H21" s="1153" t="e">
        <f>+F169*0.12</f>
        <v>#REF!</v>
      </c>
      <c r="I21" s="1151">
        <v>1</v>
      </c>
      <c r="J21" s="1150" t="e">
        <f>H21*I21</f>
        <v>#REF!</v>
      </c>
    </row>
    <row r="22" spans="1:189" s="1152" customFormat="1" ht="15.95" customHeight="1">
      <c r="A22" s="1511"/>
      <c r="B22" s="1616" t="e">
        <f>+#REF!</f>
        <v>#REF!</v>
      </c>
      <c r="C22" s="809"/>
      <c r="D22" s="1707"/>
      <c r="E22" s="650"/>
      <c r="F22" s="650"/>
      <c r="G22" s="1149"/>
      <c r="H22" s="1153"/>
      <c r="I22" s="1151"/>
      <c r="J22" s="1150"/>
    </row>
    <row r="23" spans="1:189" s="1152" customFormat="1" ht="15.95" customHeight="1">
      <c r="A23" s="1511"/>
      <c r="B23" s="1616"/>
      <c r="C23" s="809" t="s">
        <v>205</v>
      </c>
      <c r="D23" s="1707">
        <v>1600</v>
      </c>
      <c r="E23" s="650" t="e">
        <f>+'L _traversée'!E10</f>
        <v>#REF!</v>
      </c>
      <c r="F23" s="650" t="e">
        <f>+D23*E23</f>
        <v>#REF!</v>
      </c>
      <c r="G23" s="1149"/>
      <c r="H23" s="1153"/>
      <c r="I23" s="1151"/>
      <c r="J23" s="1150"/>
    </row>
    <row r="24" spans="1:189" s="1152" customFormat="1">
      <c r="A24" s="649" t="e">
        <f>+#REF!</f>
        <v>#REF!</v>
      </c>
      <c r="B24" s="1541" t="e">
        <f>+#REF!</f>
        <v>#REF!</v>
      </c>
      <c r="C24" s="1138"/>
      <c r="D24" s="543"/>
      <c r="E24" s="544"/>
      <c r="F24" s="544"/>
      <c r="G24" s="1149"/>
      <c r="H24" s="1150"/>
      <c r="I24" s="1151"/>
      <c r="J24" s="1150"/>
    </row>
    <row r="25" spans="1:189" s="1152" customFormat="1">
      <c r="A25" s="1418"/>
      <c r="B25" s="1612"/>
      <c r="C25" s="1708" t="e">
        <f>#REF!</f>
        <v>#REF!</v>
      </c>
      <c r="D25" s="1708">
        <v>1</v>
      </c>
      <c r="E25" s="547" t="e">
        <f>+H25</f>
        <v>#REF!</v>
      </c>
      <c r="F25" s="547" t="e">
        <f>+D25*E25</f>
        <v>#REF!</v>
      </c>
      <c r="G25" s="1149"/>
      <c r="H25" s="1150" t="e">
        <f>+F21*0.25</f>
        <v>#REF!</v>
      </c>
      <c r="I25" s="1151">
        <v>1.1000000000000001</v>
      </c>
      <c r="J25" s="1150" t="e">
        <f>H25*I25</f>
        <v>#REF!</v>
      </c>
    </row>
    <row r="26" spans="1:189" s="1152" customFormat="1" ht="18.75">
      <c r="A26" s="1120"/>
      <c r="B26" s="1121"/>
      <c r="C26" s="1608"/>
      <c r="D26" s="636"/>
      <c r="E26" s="1609" t="s">
        <v>108</v>
      </c>
      <c r="F26" s="1122" t="e">
        <f>SUM(F20:F25)</f>
        <v>#REF!</v>
      </c>
      <c r="G26" s="1149"/>
      <c r="H26" s="1150">
        <f>SUM(F13:F17)</f>
        <v>0</v>
      </c>
      <c r="I26" s="1151"/>
      <c r="J26" s="1150"/>
    </row>
    <row r="27" spans="1:189" s="1146" customFormat="1">
      <c r="A27" s="1113"/>
      <c r="B27" s="926"/>
      <c r="C27" s="926"/>
      <c r="D27" s="1114"/>
      <c r="E27" s="1115"/>
      <c r="F27" s="1115"/>
      <c r="G27" s="44"/>
      <c r="H27" s="1144"/>
      <c r="I27" s="1145"/>
      <c r="J27" s="1144"/>
    </row>
    <row r="28" spans="1:189" s="1146" customFormat="1" ht="24.95" customHeight="1">
      <c r="A28" s="1905" t="e">
        <f>+#REF!</f>
        <v>#REF!</v>
      </c>
      <c r="B28" s="1906"/>
      <c r="C28" s="1906"/>
      <c r="D28" s="1906"/>
      <c r="E28" s="1906"/>
      <c r="F28" s="1907"/>
      <c r="G28" s="44"/>
      <c r="H28" s="1144"/>
      <c r="I28" s="1145"/>
      <c r="J28" s="1144"/>
    </row>
    <row r="29" spans="1:189" s="1146" customFormat="1">
      <c r="A29" s="745" t="e">
        <f>+#REF!</f>
        <v>#REF!</v>
      </c>
      <c r="B29" s="768" t="e">
        <f>+#REF!</f>
        <v>#REF!</v>
      </c>
      <c r="C29" s="1136"/>
      <c r="D29" s="1926">
        <v>1</v>
      </c>
      <c r="E29" s="1926">
        <v>200000000</v>
      </c>
      <c r="F29" s="1926">
        <f>+D29*E29</f>
        <v>200000000</v>
      </c>
      <c r="H29" s="1144"/>
      <c r="I29" s="1145"/>
      <c r="J29" s="1144"/>
      <c r="N29" s="1146">
        <f>1.7*3</f>
        <v>5.0999999999999996</v>
      </c>
    </row>
    <row r="30" spans="1:189" s="1146" customFormat="1">
      <c r="A30" s="1418"/>
      <c r="B30" s="715"/>
      <c r="C30" s="1480" t="e">
        <f>#REF!</f>
        <v>#REF!</v>
      </c>
      <c r="D30" s="1927"/>
      <c r="E30" s="1927"/>
      <c r="F30" s="1927"/>
      <c r="G30" s="1154" t="e">
        <f>+#REF!</f>
        <v>#REF!</v>
      </c>
      <c r="H30" s="1144" t="e">
        <f>+F169</f>
        <v>#REF!</v>
      </c>
      <c r="I30" s="44">
        <v>0.02</v>
      </c>
      <c r="J30" s="1144"/>
    </row>
    <row r="31" spans="1:189" s="1158" customFormat="1">
      <c r="A31" s="745" t="e">
        <f>+#REF!</f>
        <v>#REF!</v>
      </c>
      <c r="B31" s="768" t="e">
        <f>+#REF!</f>
        <v>#REF!</v>
      </c>
      <c r="C31" s="1137"/>
      <c r="D31" s="1927"/>
      <c r="E31" s="1927"/>
      <c r="F31" s="1927"/>
      <c r="G31" s="1154"/>
      <c r="H31" s="1155"/>
      <c r="I31" s="1156"/>
      <c r="J31" s="1155"/>
      <c r="K31" s="1157"/>
      <c r="L31" s="1157"/>
      <c r="M31" s="1157"/>
      <c r="N31" s="1157"/>
      <c r="O31" s="1157"/>
      <c r="P31" s="1157"/>
      <c r="Q31" s="1157"/>
      <c r="R31" s="1157"/>
      <c r="S31" s="1157"/>
      <c r="T31" s="1157"/>
      <c r="U31" s="1157"/>
      <c r="V31" s="1157"/>
      <c r="W31" s="1157"/>
      <c r="X31" s="1157"/>
      <c r="Y31" s="1157"/>
      <c r="Z31" s="1157"/>
      <c r="AA31" s="1157"/>
      <c r="AB31" s="1157"/>
      <c r="AC31" s="1157"/>
      <c r="AD31" s="1157"/>
      <c r="AE31" s="1157"/>
      <c r="AF31" s="1157"/>
      <c r="AG31" s="1157"/>
      <c r="AH31" s="1157"/>
      <c r="AI31" s="1157"/>
      <c r="AJ31" s="1157"/>
      <c r="AK31" s="1157"/>
      <c r="AL31" s="1157"/>
      <c r="AM31" s="1157"/>
      <c r="AN31" s="1157"/>
      <c r="AO31" s="1157"/>
      <c r="AP31" s="1157"/>
      <c r="AQ31" s="1157"/>
      <c r="AR31" s="1157"/>
      <c r="AS31" s="1157"/>
      <c r="AT31" s="1157"/>
      <c r="AU31" s="1157"/>
      <c r="AV31" s="1157"/>
      <c r="AW31" s="1157"/>
      <c r="AX31" s="1157"/>
      <c r="AY31" s="1157"/>
      <c r="AZ31" s="1157"/>
      <c r="BA31" s="1157"/>
      <c r="BB31" s="1157"/>
      <c r="BC31" s="1157"/>
      <c r="BD31" s="1157"/>
      <c r="BE31" s="1157"/>
      <c r="BF31" s="1157"/>
      <c r="BG31" s="1157"/>
      <c r="BH31" s="1157"/>
      <c r="BI31" s="1157"/>
      <c r="BJ31" s="1157"/>
      <c r="BK31" s="1157"/>
      <c r="BL31" s="1157"/>
      <c r="BM31" s="1157"/>
      <c r="BN31" s="1157"/>
      <c r="BO31" s="1157"/>
      <c r="BP31" s="1157"/>
      <c r="BQ31" s="1157"/>
      <c r="BR31" s="1157"/>
      <c r="BS31" s="1157"/>
      <c r="BT31" s="1157"/>
      <c r="BU31" s="1157"/>
      <c r="BV31" s="1157"/>
      <c r="BW31" s="1157"/>
      <c r="BX31" s="1157"/>
      <c r="BY31" s="1157"/>
      <c r="BZ31" s="1157"/>
      <c r="CA31" s="1157"/>
      <c r="CB31" s="1157"/>
      <c r="CC31" s="1157"/>
      <c r="CD31" s="1157"/>
      <c r="CE31" s="1157"/>
      <c r="CF31" s="1157"/>
      <c r="CG31" s="1157"/>
      <c r="CH31" s="1157"/>
      <c r="CI31" s="1157"/>
      <c r="CJ31" s="1157"/>
      <c r="CK31" s="1157"/>
      <c r="CL31" s="1157"/>
      <c r="CM31" s="1157"/>
      <c r="CN31" s="1157"/>
      <c r="CO31" s="1157"/>
      <c r="CP31" s="1157"/>
      <c r="CQ31" s="1157"/>
      <c r="CR31" s="1157"/>
      <c r="CS31" s="1157"/>
      <c r="CT31" s="1157"/>
      <c r="CU31" s="1157"/>
      <c r="CV31" s="1157"/>
      <c r="CW31" s="1157"/>
      <c r="CX31" s="1157"/>
      <c r="CY31" s="1157"/>
      <c r="CZ31" s="1157"/>
      <c r="DA31" s="1157"/>
      <c r="DB31" s="1157"/>
      <c r="DC31" s="1157"/>
      <c r="DD31" s="1157"/>
      <c r="DE31" s="1157"/>
      <c r="DF31" s="1157"/>
      <c r="DG31" s="1157"/>
      <c r="DH31" s="1157"/>
      <c r="DI31" s="1157"/>
      <c r="DJ31" s="1157"/>
      <c r="DK31" s="1157"/>
      <c r="DL31" s="1157"/>
      <c r="DM31" s="1157"/>
      <c r="DN31" s="1157"/>
      <c r="DO31" s="1157"/>
      <c r="DP31" s="1157"/>
      <c r="DQ31" s="1157"/>
      <c r="DR31" s="1157"/>
      <c r="DS31" s="1157"/>
      <c r="DT31" s="1157"/>
      <c r="DU31" s="1157"/>
      <c r="DV31" s="1157"/>
      <c r="DW31" s="1157"/>
      <c r="DX31" s="1157"/>
      <c r="DY31" s="1157"/>
      <c r="DZ31" s="1157"/>
      <c r="EA31" s="1157"/>
      <c r="EB31" s="1157"/>
      <c r="EC31" s="1157"/>
      <c r="ED31" s="1157"/>
      <c r="EE31" s="1157"/>
      <c r="EF31" s="1157"/>
      <c r="EG31" s="1157"/>
      <c r="EH31" s="1157"/>
      <c r="EI31" s="1157"/>
      <c r="EJ31" s="1157"/>
      <c r="EK31" s="1157"/>
      <c r="EL31" s="1157"/>
      <c r="EM31" s="1157"/>
      <c r="EN31" s="1157"/>
      <c r="EO31" s="1157"/>
      <c r="EP31" s="1157"/>
      <c r="EQ31" s="1157"/>
      <c r="ER31" s="1157"/>
      <c r="ES31" s="1157"/>
      <c r="ET31" s="1157"/>
      <c r="EU31" s="1157"/>
      <c r="EV31" s="1157"/>
      <c r="EW31" s="1157"/>
      <c r="EX31" s="1157"/>
      <c r="EY31" s="1157"/>
      <c r="EZ31" s="1157"/>
      <c r="FA31" s="1157"/>
      <c r="FB31" s="1157"/>
      <c r="FC31" s="1157"/>
      <c r="FD31" s="1157"/>
      <c r="FE31" s="1157"/>
      <c r="FF31" s="1157"/>
      <c r="FG31" s="1157"/>
      <c r="FH31" s="1157"/>
      <c r="FI31" s="1157"/>
      <c r="FJ31" s="1157"/>
      <c r="FK31" s="1157"/>
      <c r="FL31" s="1157"/>
      <c r="FM31" s="1157"/>
      <c r="FN31" s="1157"/>
      <c r="FO31" s="1157"/>
      <c r="FP31" s="1157"/>
      <c r="FQ31" s="1157"/>
      <c r="FR31" s="1157"/>
      <c r="FS31" s="1157"/>
      <c r="FT31" s="1157"/>
      <c r="FU31" s="1157"/>
      <c r="FV31" s="1157"/>
      <c r="FW31" s="1157"/>
      <c r="FX31" s="1157"/>
      <c r="FY31" s="1157"/>
      <c r="FZ31" s="1157"/>
      <c r="GA31" s="1157"/>
      <c r="GB31" s="1157"/>
      <c r="GC31" s="1157"/>
      <c r="GD31" s="1157"/>
      <c r="GE31" s="1157"/>
      <c r="GF31" s="1157"/>
      <c r="GG31" s="1157"/>
    </row>
    <row r="32" spans="1:189" s="1158" customFormat="1">
      <c r="A32" s="1418"/>
      <c r="B32" s="715"/>
      <c r="C32" s="1481" t="e">
        <f>#REF!</f>
        <v>#REF!</v>
      </c>
      <c r="D32" s="1927"/>
      <c r="E32" s="1927"/>
      <c r="F32" s="1927"/>
      <c r="G32" s="1154" t="e">
        <f t="shared" ref="G32" si="2">+H32*I32</f>
        <v>#REF!</v>
      </c>
      <c r="H32" s="1155" t="e">
        <f>+H30</f>
        <v>#REF!</v>
      </c>
      <c r="I32" s="1156">
        <v>0.02</v>
      </c>
      <c r="J32" s="1155" t="e">
        <f>H32*I32</f>
        <v>#REF!</v>
      </c>
      <c r="K32" s="1157"/>
      <c r="L32" s="1157"/>
      <c r="M32" s="1157"/>
      <c r="N32" s="1157"/>
      <c r="O32" s="1157"/>
      <c r="P32" s="1157"/>
      <c r="Q32" s="1157"/>
      <c r="R32" s="1157"/>
      <c r="S32" s="1157"/>
      <c r="T32" s="1157"/>
      <c r="U32" s="1157"/>
      <c r="V32" s="1157"/>
      <c r="W32" s="1157"/>
      <c r="X32" s="1157"/>
      <c r="Y32" s="1157"/>
      <c r="Z32" s="1157"/>
      <c r="AA32" s="1157"/>
      <c r="AB32" s="1157"/>
      <c r="AC32" s="1157"/>
      <c r="AD32" s="1157"/>
      <c r="AE32" s="1157"/>
      <c r="AF32" s="1157"/>
      <c r="AG32" s="1157"/>
      <c r="AH32" s="1157"/>
      <c r="AI32" s="1157"/>
      <c r="AJ32" s="1157"/>
      <c r="AK32" s="1157"/>
      <c r="AL32" s="1157"/>
      <c r="AM32" s="1157"/>
      <c r="AN32" s="1157"/>
      <c r="AO32" s="1157"/>
      <c r="AP32" s="1157"/>
      <c r="AQ32" s="1157"/>
      <c r="AR32" s="1157"/>
      <c r="AS32" s="1157"/>
      <c r="AT32" s="1157"/>
      <c r="AU32" s="1157"/>
      <c r="AV32" s="1157"/>
      <c r="AW32" s="1157"/>
      <c r="AX32" s="1157"/>
      <c r="AY32" s="1157"/>
      <c r="AZ32" s="1157"/>
      <c r="BA32" s="1157"/>
      <c r="BB32" s="1157"/>
      <c r="BC32" s="1157"/>
      <c r="BD32" s="1157"/>
      <c r="BE32" s="1157"/>
      <c r="BF32" s="1157"/>
      <c r="BG32" s="1157"/>
      <c r="BH32" s="1157"/>
      <c r="BI32" s="1157"/>
      <c r="BJ32" s="1157"/>
      <c r="BK32" s="1157"/>
      <c r="BL32" s="1157"/>
      <c r="BM32" s="1157"/>
      <c r="BN32" s="1157"/>
      <c r="BO32" s="1157"/>
      <c r="BP32" s="1157"/>
      <c r="BQ32" s="1157"/>
      <c r="BR32" s="1157"/>
      <c r="BS32" s="1157"/>
      <c r="BT32" s="1157"/>
      <c r="BU32" s="1157"/>
      <c r="BV32" s="1157"/>
      <c r="BW32" s="1157"/>
      <c r="BX32" s="1157"/>
      <c r="BY32" s="1157"/>
      <c r="BZ32" s="1157"/>
      <c r="CA32" s="1157"/>
      <c r="CB32" s="1157"/>
      <c r="CC32" s="1157"/>
      <c r="CD32" s="1157"/>
      <c r="CE32" s="1157"/>
      <c r="CF32" s="1157"/>
      <c r="CG32" s="1157"/>
      <c r="CH32" s="1157"/>
      <c r="CI32" s="1157"/>
      <c r="CJ32" s="1157"/>
      <c r="CK32" s="1157"/>
      <c r="CL32" s="1157"/>
      <c r="CM32" s="1157"/>
      <c r="CN32" s="1157"/>
      <c r="CO32" s="1157"/>
      <c r="CP32" s="1157"/>
      <c r="CQ32" s="1157"/>
      <c r="CR32" s="1157"/>
      <c r="CS32" s="1157"/>
      <c r="CT32" s="1157"/>
      <c r="CU32" s="1157"/>
      <c r="CV32" s="1157"/>
      <c r="CW32" s="1157"/>
      <c r="CX32" s="1157"/>
      <c r="CY32" s="1157"/>
      <c r="CZ32" s="1157"/>
      <c r="DA32" s="1157"/>
      <c r="DB32" s="1157"/>
      <c r="DC32" s="1157"/>
      <c r="DD32" s="1157"/>
      <c r="DE32" s="1157"/>
      <c r="DF32" s="1157"/>
      <c r="DG32" s="1157"/>
      <c r="DH32" s="1157"/>
      <c r="DI32" s="1157"/>
      <c r="DJ32" s="1157"/>
      <c r="DK32" s="1157"/>
      <c r="DL32" s="1157"/>
      <c r="DM32" s="1157"/>
      <c r="DN32" s="1157"/>
      <c r="DO32" s="1157"/>
      <c r="DP32" s="1157"/>
      <c r="DQ32" s="1157"/>
      <c r="DR32" s="1157"/>
      <c r="DS32" s="1157"/>
      <c r="DT32" s="1157"/>
      <c r="DU32" s="1157"/>
      <c r="DV32" s="1157"/>
      <c r="DW32" s="1157"/>
      <c r="DX32" s="1157"/>
      <c r="DY32" s="1157"/>
      <c r="DZ32" s="1157"/>
      <c r="EA32" s="1157"/>
      <c r="EB32" s="1157"/>
      <c r="EC32" s="1157"/>
      <c r="ED32" s="1157"/>
      <c r="EE32" s="1157"/>
      <c r="EF32" s="1157"/>
      <c r="EG32" s="1157"/>
      <c r="EH32" s="1157"/>
      <c r="EI32" s="1157"/>
      <c r="EJ32" s="1157"/>
      <c r="EK32" s="1157"/>
      <c r="EL32" s="1157"/>
      <c r="EM32" s="1157"/>
      <c r="EN32" s="1157"/>
      <c r="EO32" s="1157"/>
      <c r="EP32" s="1157"/>
      <c r="EQ32" s="1157"/>
      <c r="ER32" s="1157"/>
      <c r="ES32" s="1157"/>
      <c r="ET32" s="1157"/>
      <c r="EU32" s="1157"/>
      <c r="EV32" s="1157"/>
      <c r="EW32" s="1157"/>
      <c r="EX32" s="1157"/>
      <c r="EY32" s="1157"/>
      <c r="EZ32" s="1157"/>
      <c r="FA32" s="1157"/>
      <c r="FB32" s="1157"/>
      <c r="FC32" s="1157"/>
      <c r="FD32" s="1157"/>
      <c r="FE32" s="1157"/>
      <c r="FF32" s="1157"/>
      <c r="FG32" s="1157"/>
      <c r="FH32" s="1157"/>
      <c r="FI32" s="1157"/>
      <c r="FJ32" s="1157"/>
      <c r="FK32" s="1157"/>
      <c r="FL32" s="1157"/>
      <c r="FM32" s="1157"/>
      <c r="FN32" s="1157"/>
      <c r="FO32" s="1157"/>
      <c r="FP32" s="1157"/>
      <c r="FQ32" s="1157"/>
      <c r="FR32" s="1157"/>
      <c r="FS32" s="1157"/>
      <c r="FT32" s="1157"/>
      <c r="FU32" s="1157"/>
      <c r="FV32" s="1157"/>
      <c r="FW32" s="1157"/>
      <c r="FX32" s="1157"/>
      <c r="FY32" s="1157"/>
      <c r="FZ32" s="1157"/>
      <c r="GA32" s="1157"/>
      <c r="GB32" s="1157"/>
      <c r="GC32" s="1157"/>
      <c r="GD32" s="1157"/>
      <c r="GE32" s="1157"/>
      <c r="GF32" s="1157"/>
      <c r="GG32" s="1157"/>
    </row>
    <row r="33" spans="1:189">
      <c r="A33" s="745" t="e">
        <f>+#REF!</f>
        <v>#REF!</v>
      </c>
      <c r="B33" s="768" t="e">
        <f>+#REF!</f>
        <v>#REF!</v>
      </c>
      <c r="C33" s="1136"/>
      <c r="D33" s="1927"/>
      <c r="E33" s="1927"/>
      <c r="F33" s="1927"/>
      <c r="G33" s="1154"/>
    </row>
    <row r="34" spans="1:189">
      <c r="A34" s="1418"/>
      <c r="B34" s="715"/>
      <c r="C34" s="1480" t="e">
        <f>#REF!</f>
        <v>#REF!</v>
      </c>
      <c r="D34" s="1927"/>
      <c r="E34" s="1927"/>
      <c r="F34" s="1927"/>
      <c r="G34" s="1154" t="e">
        <f>+#REF!</f>
        <v>#REF!</v>
      </c>
      <c r="H34" s="1144" t="e">
        <f>+H32</f>
        <v>#REF!</v>
      </c>
      <c r="I34" s="1145">
        <v>0.01</v>
      </c>
    </row>
    <row r="35" spans="1:189">
      <c r="A35" s="745" t="e">
        <f>+#REF!</f>
        <v>#REF!</v>
      </c>
      <c r="B35" s="768" t="e">
        <f>+#REF!</f>
        <v>#REF!</v>
      </c>
      <c r="C35" s="1136"/>
      <c r="D35" s="1927"/>
      <c r="E35" s="1927"/>
      <c r="F35" s="1927"/>
      <c r="G35" s="1154"/>
    </row>
    <row r="36" spans="1:189">
      <c r="A36" s="1418"/>
      <c r="B36" s="715"/>
      <c r="C36" s="1480" t="e">
        <f>#REF!</f>
        <v>#REF!</v>
      </c>
      <c r="D36" s="1927"/>
      <c r="E36" s="1927"/>
      <c r="F36" s="1927"/>
      <c r="H36" s="1144" t="e">
        <f>H25/50*50%</f>
        <v>#REF!</v>
      </c>
      <c r="I36" s="1156">
        <v>1.05</v>
      </c>
      <c r="J36" s="1155" t="e">
        <f>H36*I36</f>
        <v>#REF!</v>
      </c>
    </row>
    <row r="37" spans="1:189" ht="30" customHeight="1">
      <c r="A37" s="745" t="e">
        <f>+#REF!</f>
        <v>#REF!</v>
      </c>
      <c r="B37" s="1614" t="e">
        <f>+#REF!</f>
        <v>#REF!</v>
      </c>
      <c r="C37" s="1136"/>
      <c r="D37" s="1927"/>
      <c r="E37" s="1927"/>
      <c r="F37" s="1927"/>
      <c r="H37" s="1144" t="e">
        <f>H25/25*50%</f>
        <v>#REF!</v>
      </c>
      <c r="I37" s="1156">
        <v>1.05</v>
      </c>
      <c r="J37" s="1155" t="e">
        <f>H37*I37</f>
        <v>#REF!</v>
      </c>
    </row>
    <row r="38" spans="1:189">
      <c r="A38" s="1418"/>
      <c r="B38" s="715"/>
      <c r="C38" s="1480" t="e">
        <f>#REF!</f>
        <v>#REF!</v>
      </c>
      <c r="D38" s="1928"/>
      <c r="E38" s="1928"/>
      <c r="F38" s="1928"/>
      <c r="G38" s="1154" t="e">
        <f>SUM(G30:G34)</f>
        <v>#REF!</v>
      </c>
      <c r="H38" s="1144">
        <v>20</v>
      </c>
      <c r="I38" s="1156">
        <v>1.05</v>
      </c>
      <c r="J38" s="1155">
        <f>H38*I38</f>
        <v>21</v>
      </c>
    </row>
    <row r="39" spans="1:189">
      <c r="A39" s="745" t="e">
        <f>+#REF!</f>
        <v>#REF!</v>
      </c>
      <c r="B39" s="768" t="e">
        <f>+#REF!</f>
        <v>#REF!</v>
      </c>
      <c r="C39" s="1136"/>
      <c r="D39" s="544"/>
      <c r="E39" s="1136"/>
      <c r="F39" s="544"/>
      <c r="H39" s="1144" t="e">
        <f>30%*H25</f>
        <v>#REF!</v>
      </c>
      <c r="I39" s="1156">
        <v>1.05</v>
      </c>
      <c r="J39" s="1155" t="e">
        <f>H39*I39</f>
        <v>#REF!</v>
      </c>
    </row>
    <row r="40" spans="1:189">
      <c r="A40" s="1418"/>
      <c r="B40" s="715"/>
      <c r="C40" s="1480" t="e">
        <f>#REF!</f>
        <v>#REF!</v>
      </c>
      <c r="D40" s="547">
        <f>20*0</f>
        <v>0</v>
      </c>
      <c r="E40" s="963" t="e">
        <f>+#REF!</f>
        <v>#REF!</v>
      </c>
      <c r="F40" s="547" t="e">
        <f t="shared" ref="F40" si="3">+D40*E40</f>
        <v>#REF!</v>
      </c>
    </row>
    <row r="41" spans="1:189" ht="18.75">
      <c r="A41" s="1123"/>
      <c r="B41" s="1124"/>
      <c r="C41" s="1608"/>
      <c r="D41" s="636"/>
      <c r="E41" s="1609" t="s">
        <v>106</v>
      </c>
      <c r="F41" s="1122" t="e">
        <f>SUM(F29:F40)</f>
        <v>#REF!</v>
      </c>
    </row>
    <row r="42" spans="1:189" ht="15" customHeight="1">
      <c r="A42" s="1123"/>
      <c r="B42" s="1124"/>
      <c r="C42" s="1124"/>
      <c r="D42" s="1124"/>
      <c r="E42" s="1124"/>
      <c r="F42" s="1124"/>
    </row>
    <row r="43" spans="1:189" ht="24.95" customHeight="1">
      <c r="A43" s="1123"/>
      <c r="B43" s="1124"/>
      <c r="C43" s="1608"/>
      <c r="D43" s="636"/>
      <c r="E43" s="1609" t="s">
        <v>107</v>
      </c>
      <c r="F43" s="1122" t="e">
        <f>+F26+F41</f>
        <v>#REF!</v>
      </c>
    </row>
    <row r="44" spans="1:189" ht="15" customHeight="1">
      <c r="A44" s="1123"/>
      <c r="B44" s="1124"/>
      <c r="C44" s="1124"/>
      <c r="D44" s="1124"/>
      <c r="E44" s="1124"/>
      <c r="F44" s="1124"/>
    </row>
    <row r="45" spans="1:189" ht="24.95" customHeight="1">
      <c r="A45" s="1905" t="e">
        <f>+#REF!</f>
        <v>#REF!</v>
      </c>
      <c r="B45" s="1906"/>
      <c r="C45" s="1906"/>
      <c r="D45" s="1906"/>
      <c r="E45" s="1906"/>
      <c r="F45" s="1907"/>
    </row>
    <row r="46" spans="1:189" s="1149" customFormat="1" ht="15.95" customHeight="1">
      <c r="A46" s="745" t="e">
        <f>+#REF!</f>
        <v>#REF!</v>
      </c>
      <c r="B46" s="768" t="e">
        <f>+#REF!</f>
        <v>#REF!</v>
      </c>
      <c r="C46" s="1534"/>
      <c r="D46" s="543"/>
      <c r="E46" s="544"/>
      <c r="F46" s="544"/>
      <c r="H46" s="1150"/>
      <c r="I46" s="1151"/>
      <c r="J46" s="1150"/>
      <c r="K46" s="1152"/>
      <c r="L46" s="1152"/>
      <c r="M46" s="1152"/>
      <c r="N46" s="1152"/>
      <c r="O46" s="1152"/>
      <c r="P46" s="1152"/>
      <c r="Q46" s="1152"/>
      <c r="R46" s="1152"/>
      <c r="S46" s="1152"/>
      <c r="T46" s="1152"/>
      <c r="U46" s="1152"/>
      <c r="V46" s="1152"/>
      <c r="W46" s="1152"/>
      <c r="X46" s="1152"/>
      <c r="Y46" s="1152"/>
      <c r="Z46" s="1152"/>
      <c r="AA46" s="1152"/>
      <c r="AB46" s="1152"/>
      <c r="AC46" s="1152"/>
      <c r="AD46" s="1152"/>
      <c r="AE46" s="1152"/>
      <c r="AF46" s="1152"/>
      <c r="AG46" s="1152"/>
      <c r="AH46" s="1152"/>
      <c r="AI46" s="1152"/>
      <c r="AJ46" s="1152"/>
      <c r="AK46" s="1152"/>
      <c r="AL46" s="1152"/>
      <c r="AM46" s="1152"/>
      <c r="AN46" s="1152"/>
      <c r="AO46" s="1152"/>
      <c r="AP46" s="1152"/>
      <c r="AQ46" s="1152"/>
      <c r="AR46" s="1152"/>
      <c r="AS46" s="1152"/>
      <c r="AT46" s="1152"/>
      <c r="AU46" s="1152"/>
      <c r="AV46" s="1152"/>
      <c r="AW46" s="1152"/>
      <c r="AX46" s="1152"/>
      <c r="AY46" s="1152"/>
      <c r="AZ46" s="1152"/>
      <c r="BA46" s="1152"/>
      <c r="BB46" s="1152"/>
      <c r="BC46" s="1152"/>
      <c r="BD46" s="1152"/>
      <c r="BE46" s="1152"/>
      <c r="BF46" s="1152"/>
      <c r="BG46" s="1152"/>
      <c r="BH46" s="1152"/>
      <c r="BI46" s="1152"/>
      <c r="BJ46" s="1152"/>
      <c r="BK46" s="1152"/>
      <c r="BL46" s="1152"/>
      <c r="BM46" s="1152"/>
      <c r="BN46" s="1152"/>
      <c r="BO46" s="1152"/>
      <c r="BP46" s="1152"/>
      <c r="BQ46" s="1152"/>
      <c r="BR46" s="1152"/>
      <c r="BS46" s="1152"/>
      <c r="BT46" s="1152"/>
      <c r="BU46" s="1152"/>
      <c r="BV46" s="1152"/>
      <c r="BW46" s="1152"/>
      <c r="BX46" s="1152"/>
      <c r="BY46" s="1152"/>
      <c r="BZ46" s="1152"/>
      <c r="CA46" s="1152"/>
      <c r="CB46" s="1152"/>
      <c r="CC46" s="1152"/>
      <c r="CD46" s="1152"/>
      <c r="CE46" s="1152"/>
      <c r="CF46" s="1152"/>
      <c r="CG46" s="1152"/>
      <c r="CH46" s="1152"/>
      <c r="CI46" s="1152"/>
      <c r="CJ46" s="1152"/>
      <c r="CK46" s="1152"/>
      <c r="CL46" s="1152"/>
      <c r="CM46" s="1152"/>
      <c r="CN46" s="1152"/>
      <c r="CO46" s="1152"/>
      <c r="CP46" s="1152"/>
      <c r="CQ46" s="1152"/>
      <c r="CR46" s="1152"/>
      <c r="CS46" s="1152"/>
      <c r="CT46" s="1152"/>
      <c r="CU46" s="1152"/>
      <c r="CV46" s="1152"/>
      <c r="CW46" s="1152"/>
      <c r="CX46" s="1152"/>
      <c r="CY46" s="1152"/>
      <c r="CZ46" s="1152"/>
      <c r="DA46" s="1152"/>
      <c r="DB46" s="1152"/>
      <c r="DC46" s="1152"/>
      <c r="DD46" s="1152"/>
      <c r="DE46" s="1152"/>
      <c r="DF46" s="1152"/>
      <c r="DG46" s="1152"/>
      <c r="DH46" s="1152"/>
      <c r="DI46" s="1152"/>
      <c r="DJ46" s="1152"/>
      <c r="DK46" s="1152"/>
      <c r="DL46" s="1152"/>
      <c r="DM46" s="1152"/>
      <c r="DN46" s="1152"/>
      <c r="DO46" s="1152"/>
      <c r="DP46" s="1152"/>
      <c r="DQ46" s="1152"/>
      <c r="DR46" s="1152"/>
      <c r="DS46" s="1152"/>
      <c r="DT46" s="1152"/>
      <c r="DU46" s="1152"/>
      <c r="DV46" s="1152"/>
      <c r="DW46" s="1152"/>
      <c r="DX46" s="1152"/>
      <c r="DY46" s="1152"/>
      <c r="DZ46" s="1152"/>
      <c r="EA46" s="1152"/>
      <c r="EB46" s="1152"/>
      <c r="EC46" s="1152"/>
      <c r="ED46" s="1152"/>
      <c r="EE46" s="1152"/>
      <c r="EF46" s="1152"/>
      <c r="EG46" s="1152"/>
      <c r="EH46" s="1152"/>
      <c r="EI46" s="1152"/>
      <c r="EJ46" s="1152"/>
      <c r="EK46" s="1152"/>
      <c r="EL46" s="1152"/>
      <c r="EM46" s="1152"/>
      <c r="EN46" s="1152"/>
      <c r="EO46" s="1152"/>
      <c r="EP46" s="1152"/>
      <c r="EQ46" s="1152"/>
      <c r="ER46" s="1152"/>
      <c r="ES46" s="1152"/>
      <c r="ET46" s="1152"/>
      <c r="EU46" s="1152"/>
      <c r="EV46" s="1152"/>
      <c r="EW46" s="1152"/>
      <c r="EX46" s="1152"/>
      <c r="EY46" s="1152"/>
      <c r="EZ46" s="1152"/>
      <c r="FA46" s="1152"/>
      <c r="FB46" s="1152"/>
      <c r="FC46" s="1152"/>
      <c r="FD46" s="1152"/>
      <c r="FE46" s="1152"/>
      <c r="FF46" s="1152"/>
      <c r="FG46" s="1152"/>
      <c r="FH46" s="1152"/>
      <c r="FI46" s="1152"/>
      <c r="FJ46" s="1152"/>
      <c r="FK46" s="1152"/>
      <c r="FL46" s="1152"/>
      <c r="FM46" s="1152"/>
      <c r="FN46" s="1152"/>
      <c r="FO46" s="1152"/>
      <c r="FP46" s="1152"/>
      <c r="FQ46" s="1152"/>
      <c r="FR46" s="1152"/>
      <c r="FS46" s="1152"/>
      <c r="FT46" s="1152"/>
      <c r="FU46" s="1152"/>
      <c r="FV46" s="1152"/>
      <c r="FW46" s="1152"/>
      <c r="FX46" s="1152"/>
      <c r="FY46" s="1152"/>
      <c r="FZ46" s="1152"/>
      <c r="GA46" s="1152"/>
      <c r="GB46" s="1152"/>
      <c r="GC46" s="1152"/>
      <c r="GD46" s="1152"/>
      <c r="GE46" s="1152"/>
      <c r="GF46" s="1152"/>
      <c r="GG46" s="1152"/>
    </row>
    <row r="47" spans="1:189" s="1149" customFormat="1" ht="15.95" customHeight="1">
      <c r="A47" s="639"/>
      <c r="B47" s="467"/>
      <c r="C47" s="1554" t="e">
        <f>#REF!</f>
        <v>#REF!</v>
      </c>
      <c r="D47" s="1711">
        <v>1</v>
      </c>
      <c r="E47" s="547">
        <f>25672373</f>
        <v>25672373</v>
      </c>
      <c r="F47" s="547">
        <f>+D47*E47</f>
        <v>25672373</v>
      </c>
      <c r="H47" s="1150"/>
      <c r="I47" s="1151"/>
      <c r="J47" s="1150"/>
      <c r="K47" s="1152"/>
      <c r="L47" s="1152"/>
      <c r="M47" s="1152"/>
      <c r="N47" s="1152"/>
      <c r="O47" s="1152"/>
      <c r="P47" s="1152"/>
      <c r="Q47" s="1152"/>
      <c r="R47" s="1152"/>
      <c r="S47" s="1152"/>
      <c r="T47" s="1152"/>
      <c r="U47" s="1152"/>
      <c r="V47" s="1152"/>
      <c r="W47" s="1152"/>
      <c r="X47" s="1152"/>
      <c r="Y47" s="1152"/>
      <c r="Z47" s="1152"/>
      <c r="AA47" s="1152"/>
      <c r="AB47" s="1152"/>
      <c r="AC47" s="1152"/>
      <c r="AD47" s="1152"/>
      <c r="AE47" s="1152"/>
      <c r="AF47" s="1152"/>
      <c r="AG47" s="1152"/>
      <c r="AH47" s="1152"/>
      <c r="AI47" s="1152"/>
      <c r="AJ47" s="1152"/>
      <c r="AK47" s="1152"/>
      <c r="AL47" s="1152"/>
      <c r="AM47" s="1152"/>
      <c r="AN47" s="1152"/>
      <c r="AO47" s="1152"/>
      <c r="AP47" s="1152"/>
      <c r="AQ47" s="1152"/>
      <c r="AR47" s="1152"/>
      <c r="AS47" s="1152"/>
      <c r="AT47" s="1152"/>
      <c r="AU47" s="1152"/>
      <c r="AV47" s="1152"/>
      <c r="AW47" s="1152"/>
      <c r="AX47" s="1152"/>
      <c r="AY47" s="1152"/>
      <c r="AZ47" s="1152"/>
      <c r="BA47" s="1152"/>
      <c r="BB47" s="1152"/>
      <c r="BC47" s="1152"/>
      <c r="BD47" s="1152"/>
      <c r="BE47" s="1152"/>
      <c r="BF47" s="1152"/>
      <c r="BG47" s="1152"/>
      <c r="BH47" s="1152"/>
      <c r="BI47" s="1152"/>
      <c r="BJ47" s="1152"/>
      <c r="BK47" s="1152"/>
      <c r="BL47" s="1152"/>
      <c r="BM47" s="1152"/>
      <c r="BN47" s="1152"/>
      <c r="BO47" s="1152"/>
      <c r="BP47" s="1152"/>
      <c r="BQ47" s="1152"/>
      <c r="BR47" s="1152"/>
      <c r="BS47" s="1152"/>
      <c r="BT47" s="1152"/>
      <c r="BU47" s="1152"/>
      <c r="BV47" s="1152"/>
      <c r="BW47" s="1152"/>
      <c r="BX47" s="1152"/>
      <c r="BY47" s="1152"/>
      <c r="BZ47" s="1152"/>
      <c r="CA47" s="1152"/>
      <c r="CB47" s="1152"/>
      <c r="CC47" s="1152"/>
      <c r="CD47" s="1152"/>
      <c r="CE47" s="1152"/>
      <c r="CF47" s="1152"/>
      <c r="CG47" s="1152"/>
      <c r="CH47" s="1152"/>
      <c r="CI47" s="1152"/>
      <c r="CJ47" s="1152"/>
      <c r="CK47" s="1152"/>
      <c r="CL47" s="1152"/>
      <c r="CM47" s="1152"/>
      <c r="CN47" s="1152"/>
      <c r="CO47" s="1152"/>
      <c r="CP47" s="1152"/>
      <c r="CQ47" s="1152"/>
      <c r="CR47" s="1152"/>
      <c r="CS47" s="1152"/>
      <c r="CT47" s="1152"/>
      <c r="CU47" s="1152"/>
      <c r="CV47" s="1152"/>
      <c r="CW47" s="1152"/>
      <c r="CX47" s="1152"/>
      <c r="CY47" s="1152"/>
      <c r="CZ47" s="1152"/>
      <c r="DA47" s="1152"/>
      <c r="DB47" s="1152"/>
      <c r="DC47" s="1152"/>
      <c r="DD47" s="1152"/>
      <c r="DE47" s="1152"/>
      <c r="DF47" s="1152"/>
      <c r="DG47" s="1152"/>
      <c r="DH47" s="1152"/>
      <c r="DI47" s="1152"/>
      <c r="DJ47" s="1152"/>
      <c r="DK47" s="1152"/>
      <c r="DL47" s="1152"/>
      <c r="DM47" s="1152"/>
      <c r="DN47" s="1152"/>
      <c r="DO47" s="1152"/>
      <c r="DP47" s="1152"/>
      <c r="DQ47" s="1152"/>
      <c r="DR47" s="1152"/>
      <c r="DS47" s="1152"/>
      <c r="DT47" s="1152"/>
      <c r="DU47" s="1152"/>
      <c r="DV47" s="1152"/>
      <c r="DW47" s="1152"/>
      <c r="DX47" s="1152"/>
      <c r="DY47" s="1152"/>
      <c r="DZ47" s="1152"/>
      <c r="EA47" s="1152"/>
      <c r="EB47" s="1152"/>
      <c r="EC47" s="1152"/>
      <c r="ED47" s="1152"/>
      <c r="EE47" s="1152"/>
      <c r="EF47" s="1152"/>
      <c r="EG47" s="1152"/>
      <c r="EH47" s="1152"/>
      <c r="EI47" s="1152"/>
      <c r="EJ47" s="1152"/>
      <c r="EK47" s="1152"/>
      <c r="EL47" s="1152"/>
      <c r="EM47" s="1152"/>
      <c r="EN47" s="1152"/>
      <c r="EO47" s="1152"/>
      <c r="EP47" s="1152"/>
      <c r="EQ47" s="1152"/>
      <c r="ER47" s="1152"/>
      <c r="ES47" s="1152"/>
      <c r="ET47" s="1152"/>
      <c r="EU47" s="1152"/>
      <c r="EV47" s="1152"/>
      <c r="EW47" s="1152"/>
      <c r="EX47" s="1152"/>
      <c r="EY47" s="1152"/>
      <c r="EZ47" s="1152"/>
      <c r="FA47" s="1152"/>
      <c r="FB47" s="1152"/>
      <c r="FC47" s="1152"/>
      <c r="FD47" s="1152"/>
      <c r="FE47" s="1152"/>
      <c r="FF47" s="1152"/>
      <c r="FG47" s="1152"/>
      <c r="FH47" s="1152"/>
      <c r="FI47" s="1152"/>
      <c r="FJ47" s="1152"/>
      <c r="FK47" s="1152"/>
      <c r="FL47" s="1152"/>
      <c r="FM47" s="1152"/>
      <c r="FN47" s="1152"/>
      <c r="FO47" s="1152"/>
      <c r="FP47" s="1152"/>
      <c r="FQ47" s="1152"/>
      <c r="FR47" s="1152"/>
      <c r="FS47" s="1152"/>
      <c r="FT47" s="1152"/>
      <c r="FU47" s="1152"/>
      <c r="FV47" s="1152"/>
      <c r="FW47" s="1152"/>
      <c r="FX47" s="1152"/>
      <c r="FY47" s="1152"/>
      <c r="FZ47" s="1152"/>
      <c r="GA47" s="1152"/>
      <c r="GB47" s="1152"/>
      <c r="GC47" s="1152"/>
      <c r="GD47" s="1152"/>
      <c r="GE47" s="1152"/>
      <c r="GF47" s="1152"/>
      <c r="GG47" s="1152"/>
    </row>
    <row r="48" spans="1:189" s="1149" customFormat="1" ht="15.95" customHeight="1">
      <c r="A48" s="745" t="e">
        <f>+#REF!</f>
        <v>#REF!</v>
      </c>
      <c r="B48" s="768" t="e">
        <f>+#REF!</f>
        <v>#REF!</v>
      </c>
      <c r="C48" s="1534"/>
      <c r="D48" s="543"/>
      <c r="E48" s="544"/>
      <c r="F48" s="544"/>
      <c r="H48" s="1150"/>
      <c r="I48" s="1151"/>
      <c r="J48" s="1150"/>
      <c r="K48" s="1152"/>
      <c r="L48" s="1152"/>
      <c r="M48" s="1152"/>
      <c r="N48" s="1152"/>
      <c r="O48" s="1152"/>
      <c r="P48" s="1152"/>
      <c r="Q48" s="1152"/>
      <c r="R48" s="1152"/>
      <c r="S48" s="1152"/>
      <c r="T48" s="1152"/>
      <c r="U48" s="1152"/>
      <c r="V48" s="1152"/>
      <c r="W48" s="1152"/>
      <c r="X48" s="1152"/>
      <c r="Y48" s="1152"/>
      <c r="Z48" s="1152"/>
      <c r="AA48" s="1152"/>
      <c r="AB48" s="1152"/>
      <c r="AC48" s="1152"/>
      <c r="AD48" s="1152"/>
      <c r="AE48" s="1152"/>
      <c r="AF48" s="1152"/>
      <c r="AG48" s="1152"/>
      <c r="AH48" s="1152"/>
      <c r="AI48" s="1152"/>
      <c r="AJ48" s="1152"/>
      <c r="AK48" s="1152"/>
      <c r="AL48" s="1152"/>
      <c r="AM48" s="1152"/>
      <c r="AN48" s="1152"/>
      <c r="AO48" s="1152"/>
      <c r="AP48" s="1152"/>
      <c r="AQ48" s="1152"/>
      <c r="AR48" s="1152"/>
      <c r="AS48" s="1152"/>
      <c r="AT48" s="1152"/>
      <c r="AU48" s="1152"/>
      <c r="AV48" s="1152"/>
      <c r="AW48" s="1152"/>
      <c r="AX48" s="1152"/>
      <c r="AY48" s="1152"/>
      <c r="AZ48" s="1152"/>
      <c r="BA48" s="1152"/>
      <c r="BB48" s="1152"/>
      <c r="BC48" s="1152"/>
      <c r="BD48" s="1152"/>
      <c r="BE48" s="1152"/>
      <c r="BF48" s="1152"/>
      <c r="BG48" s="1152"/>
      <c r="BH48" s="1152"/>
      <c r="BI48" s="1152"/>
      <c r="BJ48" s="1152"/>
      <c r="BK48" s="1152"/>
      <c r="BL48" s="1152"/>
      <c r="BM48" s="1152"/>
      <c r="BN48" s="1152"/>
      <c r="BO48" s="1152"/>
      <c r="BP48" s="1152"/>
      <c r="BQ48" s="1152"/>
      <c r="BR48" s="1152"/>
      <c r="BS48" s="1152"/>
      <c r="BT48" s="1152"/>
      <c r="BU48" s="1152"/>
      <c r="BV48" s="1152"/>
      <c r="BW48" s="1152"/>
      <c r="BX48" s="1152"/>
      <c r="BY48" s="1152"/>
      <c r="BZ48" s="1152"/>
      <c r="CA48" s="1152"/>
      <c r="CB48" s="1152"/>
      <c r="CC48" s="1152"/>
      <c r="CD48" s="1152"/>
      <c r="CE48" s="1152"/>
      <c r="CF48" s="1152"/>
      <c r="CG48" s="1152"/>
      <c r="CH48" s="1152"/>
      <c r="CI48" s="1152"/>
      <c r="CJ48" s="1152"/>
      <c r="CK48" s="1152"/>
      <c r="CL48" s="1152"/>
      <c r="CM48" s="1152"/>
      <c r="CN48" s="1152"/>
      <c r="CO48" s="1152"/>
      <c r="CP48" s="1152"/>
      <c r="CQ48" s="1152"/>
      <c r="CR48" s="1152"/>
      <c r="CS48" s="1152"/>
      <c r="CT48" s="1152"/>
      <c r="CU48" s="1152"/>
      <c r="CV48" s="1152"/>
      <c r="CW48" s="1152"/>
      <c r="CX48" s="1152"/>
      <c r="CY48" s="1152"/>
      <c r="CZ48" s="1152"/>
      <c r="DA48" s="1152"/>
      <c r="DB48" s="1152"/>
      <c r="DC48" s="1152"/>
      <c r="DD48" s="1152"/>
      <c r="DE48" s="1152"/>
      <c r="DF48" s="1152"/>
      <c r="DG48" s="1152"/>
      <c r="DH48" s="1152"/>
      <c r="DI48" s="1152"/>
      <c r="DJ48" s="1152"/>
      <c r="DK48" s="1152"/>
      <c r="DL48" s="1152"/>
      <c r="DM48" s="1152"/>
      <c r="DN48" s="1152"/>
      <c r="DO48" s="1152"/>
      <c r="DP48" s="1152"/>
      <c r="DQ48" s="1152"/>
      <c r="DR48" s="1152"/>
      <c r="DS48" s="1152"/>
      <c r="DT48" s="1152"/>
      <c r="DU48" s="1152"/>
      <c r="DV48" s="1152"/>
      <c r="DW48" s="1152"/>
      <c r="DX48" s="1152"/>
      <c r="DY48" s="1152"/>
      <c r="DZ48" s="1152"/>
      <c r="EA48" s="1152"/>
      <c r="EB48" s="1152"/>
      <c r="EC48" s="1152"/>
      <c r="ED48" s="1152"/>
      <c r="EE48" s="1152"/>
      <c r="EF48" s="1152"/>
      <c r="EG48" s="1152"/>
      <c r="EH48" s="1152"/>
      <c r="EI48" s="1152"/>
      <c r="EJ48" s="1152"/>
      <c r="EK48" s="1152"/>
      <c r="EL48" s="1152"/>
      <c r="EM48" s="1152"/>
      <c r="EN48" s="1152"/>
      <c r="EO48" s="1152"/>
      <c r="EP48" s="1152"/>
      <c r="EQ48" s="1152"/>
      <c r="ER48" s="1152"/>
      <c r="ES48" s="1152"/>
      <c r="ET48" s="1152"/>
      <c r="EU48" s="1152"/>
      <c r="EV48" s="1152"/>
      <c r="EW48" s="1152"/>
      <c r="EX48" s="1152"/>
      <c r="EY48" s="1152"/>
      <c r="EZ48" s="1152"/>
      <c r="FA48" s="1152"/>
      <c r="FB48" s="1152"/>
      <c r="FC48" s="1152"/>
      <c r="FD48" s="1152"/>
      <c r="FE48" s="1152"/>
      <c r="FF48" s="1152"/>
      <c r="FG48" s="1152"/>
      <c r="FH48" s="1152"/>
      <c r="FI48" s="1152"/>
      <c r="FJ48" s="1152"/>
      <c r="FK48" s="1152"/>
      <c r="FL48" s="1152"/>
      <c r="FM48" s="1152"/>
      <c r="FN48" s="1152"/>
      <c r="FO48" s="1152"/>
      <c r="FP48" s="1152"/>
      <c r="FQ48" s="1152"/>
      <c r="FR48" s="1152"/>
      <c r="FS48" s="1152"/>
      <c r="FT48" s="1152"/>
      <c r="FU48" s="1152"/>
      <c r="FV48" s="1152"/>
      <c r="FW48" s="1152"/>
      <c r="FX48" s="1152"/>
      <c r="FY48" s="1152"/>
      <c r="FZ48" s="1152"/>
      <c r="GA48" s="1152"/>
      <c r="GB48" s="1152"/>
      <c r="GC48" s="1152"/>
      <c r="GD48" s="1152"/>
      <c r="GE48" s="1152"/>
      <c r="GF48" s="1152"/>
      <c r="GG48" s="1152"/>
    </row>
    <row r="49" spans="1:189" s="1149" customFormat="1" ht="15.95" customHeight="1">
      <c r="A49" s="1615" t="e">
        <f>+#REF!</f>
        <v>#REF!</v>
      </c>
      <c r="B49" s="467" t="e">
        <f>+#REF!</f>
        <v>#REF!</v>
      </c>
      <c r="C49" s="1554" t="e">
        <f>#REF!</f>
        <v>#REF!</v>
      </c>
      <c r="D49" s="1711">
        <f>J49</f>
        <v>9600</v>
      </c>
      <c r="E49" s="547" t="e">
        <f>#REF!</f>
        <v>#REF!</v>
      </c>
      <c r="F49" s="547" t="e">
        <f>+D49*E49</f>
        <v>#REF!</v>
      </c>
      <c r="H49" s="1153">
        <f>SUM(F10:F11)*20</f>
        <v>8000</v>
      </c>
      <c r="I49" s="1151">
        <v>1.2</v>
      </c>
      <c r="J49" s="1150">
        <f>H49*I49</f>
        <v>9600</v>
      </c>
      <c r="K49" s="1152"/>
      <c r="L49" s="1152"/>
      <c r="M49" s="1152"/>
      <c r="N49" s="1152"/>
      <c r="O49" s="1152"/>
      <c r="P49" s="1152"/>
      <c r="Q49" s="1152"/>
      <c r="R49" s="1152"/>
      <c r="S49" s="1152"/>
      <c r="T49" s="1152"/>
      <c r="U49" s="1152"/>
      <c r="V49" s="1152"/>
      <c r="W49" s="1152"/>
      <c r="X49" s="1152"/>
      <c r="Y49" s="1152"/>
      <c r="Z49" s="1152"/>
      <c r="AA49" s="1152"/>
      <c r="AB49" s="1152"/>
      <c r="AC49" s="1152"/>
      <c r="AD49" s="1152"/>
      <c r="AE49" s="1152"/>
      <c r="AF49" s="1152"/>
      <c r="AG49" s="1152"/>
      <c r="AH49" s="1152"/>
      <c r="AI49" s="1152"/>
      <c r="AJ49" s="1152"/>
      <c r="AK49" s="1152"/>
      <c r="AL49" s="1152"/>
      <c r="AM49" s="1152"/>
      <c r="AN49" s="1152"/>
      <c r="AO49" s="1152"/>
      <c r="AP49" s="1152"/>
      <c r="AQ49" s="1152"/>
      <c r="AR49" s="1152"/>
      <c r="AS49" s="1152"/>
      <c r="AT49" s="1152"/>
      <c r="AU49" s="1152"/>
      <c r="AV49" s="1152"/>
      <c r="AW49" s="1152"/>
      <c r="AX49" s="1152"/>
      <c r="AY49" s="1152"/>
      <c r="AZ49" s="1152"/>
      <c r="BA49" s="1152"/>
      <c r="BB49" s="1152"/>
      <c r="BC49" s="1152"/>
      <c r="BD49" s="1152"/>
      <c r="BE49" s="1152"/>
      <c r="BF49" s="1152"/>
      <c r="BG49" s="1152"/>
      <c r="BH49" s="1152"/>
      <c r="BI49" s="1152"/>
      <c r="BJ49" s="1152"/>
      <c r="BK49" s="1152"/>
      <c r="BL49" s="1152"/>
      <c r="BM49" s="1152"/>
      <c r="BN49" s="1152"/>
      <c r="BO49" s="1152"/>
      <c r="BP49" s="1152"/>
      <c r="BQ49" s="1152"/>
      <c r="BR49" s="1152"/>
      <c r="BS49" s="1152"/>
      <c r="BT49" s="1152"/>
      <c r="BU49" s="1152"/>
      <c r="BV49" s="1152"/>
      <c r="BW49" s="1152"/>
      <c r="BX49" s="1152"/>
      <c r="BY49" s="1152"/>
      <c r="BZ49" s="1152"/>
      <c r="CA49" s="1152"/>
      <c r="CB49" s="1152"/>
      <c r="CC49" s="1152"/>
      <c r="CD49" s="1152"/>
      <c r="CE49" s="1152"/>
      <c r="CF49" s="1152"/>
      <c r="CG49" s="1152"/>
      <c r="CH49" s="1152"/>
      <c r="CI49" s="1152"/>
      <c r="CJ49" s="1152"/>
      <c r="CK49" s="1152"/>
      <c r="CL49" s="1152"/>
      <c r="CM49" s="1152"/>
      <c r="CN49" s="1152"/>
      <c r="CO49" s="1152"/>
      <c r="CP49" s="1152"/>
      <c r="CQ49" s="1152"/>
      <c r="CR49" s="1152"/>
      <c r="CS49" s="1152"/>
      <c r="CT49" s="1152"/>
      <c r="CU49" s="1152"/>
      <c r="CV49" s="1152"/>
      <c r="CW49" s="1152"/>
      <c r="CX49" s="1152"/>
      <c r="CY49" s="1152"/>
      <c r="CZ49" s="1152"/>
      <c r="DA49" s="1152"/>
      <c r="DB49" s="1152"/>
      <c r="DC49" s="1152"/>
      <c r="DD49" s="1152"/>
      <c r="DE49" s="1152"/>
      <c r="DF49" s="1152"/>
      <c r="DG49" s="1152"/>
      <c r="DH49" s="1152"/>
      <c r="DI49" s="1152"/>
      <c r="DJ49" s="1152"/>
      <c r="DK49" s="1152"/>
      <c r="DL49" s="1152"/>
      <c r="DM49" s="1152"/>
      <c r="DN49" s="1152"/>
      <c r="DO49" s="1152"/>
      <c r="DP49" s="1152"/>
      <c r="DQ49" s="1152"/>
      <c r="DR49" s="1152"/>
      <c r="DS49" s="1152"/>
      <c r="DT49" s="1152"/>
      <c r="DU49" s="1152"/>
      <c r="DV49" s="1152"/>
      <c r="DW49" s="1152"/>
      <c r="DX49" s="1152"/>
      <c r="DY49" s="1152"/>
      <c r="DZ49" s="1152"/>
      <c r="EA49" s="1152"/>
      <c r="EB49" s="1152"/>
      <c r="EC49" s="1152"/>
      <c r="ED49" s="1152"/>
      <c r="EE49" s="1152"/>
      <c r="EF49" s="1152"/>
      <c r="EG49" s="1152"/>
      <c r="EH49" s="1152"/>
      <c r="EI49" s="1152"/>
      <c r="EJ49" s="1152"/>
      <c r="EK49" s="1152"/>
      <c r="EL49" s="1152"/>
      <c r="EM49" s="1152"/>
      <c r="EN49" s="1152"/>
      <c r="EO49" s="1152"/>
      <c r="EP49" s="1152"/>
      <c r="EQ49" s="1152"/>
      <c r="ER49" s="1152"/>
      <c r="ES49" s="1152"/>
      <c r="ET49" s="1152"/>
      <c r="EU49" s="1152"/>
      <c r="EV49" s="1152"/>
      <c r="EW49" s="1152"/>
      <c r="EX49" s="1152"/>
      <c r="EY49" s="1152"/>
      <c r="EZ49" s="1152"/>
      <c r="FA49" s="1152"/>
      <c r="FB49" s="1152"/>
      <c r="FC49" s="1152"/>
      <c r="FD49" s="1152"/>
      <c r="FE49" s="1152"/>
      <c r="FF49" s="1152"/>
      <c r="FG49" s="1152"/>
      <c r="FH49" s="1152"/>
      <c r="FI49" s="1152"/>
      <c r="FJ49" s="1152"/>
      <c r="FK49" s="1152"/>
      <c r="FL49" s="1152"/>
      <c r="FM49" s="1152"/>
      <c r="FN49" s="1152"/>
      <c r="FO49" s="1152"/>
      <c r="FP49" s="1152"/>
      <c r="FQ49" s="1152"/>
      <c r="FR49" s="1152"/>
      <c r="FS49" s="1152"/>
      <c r="FT49" s="1152"/>
      <c r="FU49" s="1152"/>
      <c r="FV49" s="1152"/>
      <c r="FW49" s="1152"/>
      <c r="FX49" s="1152"/>
      <c r="FY49" s="1152"/>
      <c r="FZ49" s="1152"/>
      <c r="GA49" s="1152"/>
      <c r="GB49" s="1152"/>
      <c r="GC49" s="1152"/>
      <c r="GD49" s="1152"/>
      <c r="GE49" s="1152"/>
      <c r="GF49" s="1152"/>
      <c r="GG49" s="1152"/>
    </row>
    <row r="50" spans="1:189" s="1149" customFormat="1" ht="15.95" customHeight="1">
      <c r="A50" s="745" t="e">
        <f>+#REF!</f>
        <v>#REF!</v>
      </c>
      <c r="B50" s="768" t="e">
        <f>+#REF!</f>
        <v>#REF!</v>
      </c>
      <c r="C50" s="1534"/>
      <c r="D50" s="543"/>
      <c r="E50" s="544"/>
      <c r="F50" s="544"/>
      <c r="H50" s="1150"/>
      <c r="I50" s="1151"/>
      <c r="J50" s="1150"/>
      <c r="K50" s="1152"/>
      <c r="L50" s="1152"/>
      <c r="M50" s="1152"/>
      <c r="N50" s="1152"/>
      <c r="O50" s="1152"/>
      <c r="P50" s="1152"/>
      <c r="Q50" s="1152"/>
      <c r="R50" s="1152"/>
      <c r="S50" s="1152"/>
      <c r="T50" s="1152"/>
      <c r="U50" s="1152"/>
      <c r="V50" s="1152"/>
      <c r="W50" s="1152"/>
      <c r="X50" s="1152"/>
      <c r="Y50" s="1152"/>
      <c r="Z50" s="1152"/>
      <c r="AA50" s="1152"/>
      <c r="AB50" s="1152"/>
      <c r="AC50" s="1152"/>
      <c r="AD50" s="1152"/>
      <c r="AE50" s="1152"/>
      <c r="AF50" s="1152"/>
      <c r="AG50" s="1152"/>
      <c r="AH50" s="1152"/>
      <c r="AI50" s="1152"/>
      <c r="AJ50" s="1152"/>
      <c r="AK50" s="1152"/>
      <c r="AL50" s="1152"/>
      <c r="AM50" s="1152"/>
      <c r="AN50" s="1152"/>
      <c r="AO50" s="1152"/>
      <c r="AP50" s="1152"/>
      <c r="AQ50" s="1152"/>
      <c r="AR50" s="1152"/>
      <c r="AS50" s="1152"/>
      <c r="AT50" s="1152"/>
      <c r="AU50" s="1152"/>
      <c r="AV50" s="1152"/>
      <c r="AW50" s="1152"/>
      <c r="AX50" s="1152"/>
      <c r="AY50" s="1152"/>
      <c r="AZ50" s="1152"/>
      <c r="BA50" s="1152"/>
      <c r="BB50" s="1152"/>
      <c r="BC50" s="1152"/>
      <c r="BD50" s="1152"/>
      <c r="BE50" s="1152"/>
      <c r="BF50" s="1152"/>
      <c r="BG50" s="1152"/>
      <c r="BH50" s="1152"/>
      <c r="BI50" s="1152"/>
      <c r="BJ50" s="1152"/>
      <c r="BK50" s="1152"/>
      <c r="BL50" s="1152"/>
      <c r="BM50" s="1152"/>
      <c r="BN50" s="1152"/>
      <c r="BO50" s="1152"/>
      <c r="BP50" s="1152"/>
      <c r="BQ50" s="1152"/>
      <c r="BR50" s="1152"/>
      <c r="BS50" s="1152"/>
      <c r="BT50" s="1152"/>
      <c r="BU50" s="1152"/>
      <c r="BV50" s="1152"/>
      <c r="BW50" s="1152"/>
      <c r="BX50" s="1152"/>
      <c r="BY50" s="1152"/>
      <c r="BZ50" s="1152"/>
      <c r="CA50" s="1152"/>
      <c r="CB50" s="1152"/>
      <c r="CC50" s="1152"/>
      <c r="CD50" s="1152"/>
      <c r="CE50" s="1152"/>
      <c r="CF50" s="1152"/>
      <c r="CG50" s="1152"/>
      <c r="CH50" s="1152"/>
      <c r="CI50" s="1152"/>
      <c r="CJ50" s="1152"/>
      <c r="CK50" s="1152"/>
      <c r="CL50" s="1152"/>
      <c r="CM50" s="1152"/>
      <c r="CN50" s="1152"/>
      <c r="CO50" s="1152"/>
      <c r="CP50" s="1152"/>
      <c r="CQ50" s="1152"/>
      <c r="CR50" s="1152"/>
      <c r="CS50" s="1152"/>
      <c r="CT50" s="1152"/>
      <c r="CU50" s="1152"/>
      <c r="CV50" s="1152"/>
      <c r="CW50" s="1152"/>
      <c r="CX50" s="1152"/>
      <c r="CY50" s="1152"/>
      <c r="CZ50" s="1152"/>
      <c r="DA50" s="1152"/>
      <c r="DB50" s="1152"/>
      <c r="DC50" s="1152"/>
      <c r="DD50" s="1152"/>
      <c r="DE50" s="1152"/>
      <c r="DF50" s="1152"/>
      <c r="DG50" s="1152"/>
      <c r="DH50" s="1152"/>
      <c r="DI50" s="1152"/>
      <c r="DJ50" s="1152"/>
      <c r="DK50" s="1152"/>
      <c r="DL50" s="1152"/>
      <c r="DM50" s="1152"/>
      <c r="DN50" s="1152"/>
      <c r="DO50" s="1152"/>
      <c r="DP50" s="1152"/>
      <c r="DQ50" s="1152"/>
      <c r="DR50" s="1152"/>
      <c r="DS50" s="1152"/>
      <c r="DT50" s="1152"/>
      <c r="DU50" s="1152"/>
      <c r="DV50" s="1152"/>
      <c r="DW50" s="1152"/>
      <c r="DX50" s="1152"/>
      <c r="DY50" s="1152"/>
      <c r="DZ50" s="1152"/>
      <c r="EA50" s="1152"/>
      <c r="EB50" s="1152"/>
      <c r="EC50" s="1152"/>
      <c r="ED50" s="1152"/>
      <c r="EE50" s="1152"/>
      <c r="EF50" s="1152"/>
      <c r="EG50" s="1152"/>
      <c r="EH50" s="1152"/>
      <c r="EI50" s="1152"/>
      <c r="EJ50" s="1152"/>
      <c r="EK50" s="1152"/>
      <c r="EL50" s="1152"/>
      <c r="EM50" s="1152"/>
      <c r="EN50" s="1152"/>
      <c r="EO50" s="1152"/>
      <c r="EP50" s="1152"/>
      <c r="EQ50" s="1152"/>
      <c r="ER50" s="1152"/>
      <c r="ES50" s="1152"/>
      <c r="ET50" s="1152"/>
      <c r="EU50" s="1152"/>
      <c r="EV50" s="1152"/>
      <c r="EW50" s="1152"/>
      <c r="EX50" s="1152"/>
      <c r="EY50" s="1152"/>
      <c r="EZ50" s="1152"/>
      <c r="FA50" s="1152"/>
      <c r="FB50" s="1152"/>
      <c r="FC50" s="1152"/>
      <c r="FD50" s="1152"/>
      <c r="FE50" s="1152"/>
      <c r="FF50" s="1152"/>
      <c r="FG50" s="1152"/>
      <c r="FH50" s="1152"/>
      <c r="FI50" s="1152"/>
      <c r="FJ50" s="1152"/>
      <c r="FK50" s="1152"/>
      <c r="FL50" s="1152"/>
      <c r="FM50" s="1152"/>
      <c r="FN50" s="1152"/>
      <c r="FO50" s="1152"/>
      <c r="FP50" s="1152"/>
      <c r="FQ50" s="1152"/>
      <c r="FR50" s="1152"/>
      <c r="FS50" s="1152"/>
      <c r="FT50" s="1152"/>
      <c r="FU50" s="1152"/>
      <c r="FV50" s="1152"/>
      <c r="FW50" s="1152"/>
      <c r="FX50" s="1152"/>
      <c r="FY50" s="1152"/>
      <c r="FZ50" s="1152"/>
      <c r="GA50" s="1152"/>
      <c r="GB50" s="1152"/>
      <c r="GC50" s="1152"/>
      <c r="GD50" s="1152"/>
      <c r="GE50" s="1152"/>
      <c r="GF50" s="1152"/>
      <c r="GG50" s="1152"/>
    </row>
    <row r="51" spans="1:189" s="1149" customFormat="1" ht="15.95" customHeight="1">
      <c r="A51" s="639"/>
      <c r="B51" s="467"/>
      <c r="C51" s="1554" t="e">
        <f>#REF!</f>
        <v>#REF!</v>
      </c>
      <c r="D51" s="1711">
        <f>J51</f>
        <v>22.05</v>
      </c>
      <c r="E51" s="547" t="e">
        <f>#REF!</f>
        <v>#REF!</v>
      </c>
      <c r="F51" s="547" t="e">
        <f>+D51*E51</f>
        <v>#REF!</v>
      </c>
      <c r="H51" s="1150">
        <v>21</v>
      </c>
      <c r="I51" s="1151">
        <v>1.05</v>
      </c>
      <c r="J51" s="1150">
        <f>H51*I51</f>
        <v>22.05</v>
      </c>
      <c r="K51" s="1152"/>
      <c r="L51" s="1152"/>
      <c r="M51" s="1152"/>
      <c r="N51" s="1152"/>
      <c r="O51" s="1152"/>
      <c r="P51" s="1152"/>
      <c r="Q51" s="1152"/>
      <c r="R51" s="1152"/>
      <c r="S51" s="1152"/>
      <c r="T51" s="1152"/>
      <c r="U51" s="1152"/>
      <c r="V51" s="1152"/>
      <c r="W51" s="1152"/>
      <c r="X51" s="1152"/>
      <c r="Y51" s="1152"/>
      <c r="Z51" s="1152"/>
      <c r="AA51" s="1152"/>
      <c r="AB51" s="1152"/>
      <c r="AC51" s="1152"/>
      <c r="AD51" s="1152"/>
      <c r="AE51" s="1152"/>
      <c r="AF51" s="1152"/>
      <c r="AG51" s="1152"/>
      <c r="AH51" s="1152"/>
      <c r="AI51" s="1152"/>
      <c r="AJ51" s="1152"/>
      <c r="AK51" s="1152"/>
      <c r="AL51" s="1152"/>
      <c r="AM51" s="1152"/>
      <c r="AN51" s="1152"/>
      <c r="AO51" s="1152"/>
      <c r="AP51" s="1152"/>
      <c r="AQ51" s="1152"/>
      <c r="AR51" s="1152"/>
      <c r="AS51" s="1152"/>
      <c r="AT51" s="1152"/>
      <c r="AU51" s="1152"/>
      <c r="AV51" s="1152"/>
      <c r="AW51" s="1152"/>
      <c r="AX51" s="1152"/>
      <c r="AY51" s="1152"/>
      <c r="AZ51" s="1152"/>
      <c r="BA51" s="1152"/>
      <c r="BB51" s="1152"/>
      <c r="BC51" s="1152"/>
      <c r="BD51" s="1152"/>
      <c r="BE51" s="1152"/>
      <c r="BF51" s="1152"/>
      <c r="BG51" s="1152"/>
      <c r="BH51" s="1152"/>
      <c r="BI51" s="1152"/>
      <c r="BJ51" s="1152"/>
      <c r="BK51" s="1152"/>
      <c r="BL51" s="1152"/>
      <c r="BM51" s="1152"/>
      <c r="BN51" s="1152"/>
      <c r="BO51" s="1152"/>
      <c r="BP51" s="1152"/>
      <c r="BQ51" s="1152"/>
      <c r="BR51" s="1152"/>
      <c r="BS51" s="1152"/>
      <c r="BT51" s="1152"/>
      <c r="BU51" s="1152"/>
      <c r="BV51" s="1152"/>
      <c r="BW51" s="1152"/>
      <c r="BX51" s="1152"/>
      <c r="BY51" s="1152"/>
      <c r="BZ51" s="1152"/>
      <c r="CA51" s="1152"/>
      <c r="CB51" s="1152"/>
      <c r="CC51" s="1152"/>
      <c r="CD51" s="1152"/>
      <c r="CE51" s="1152"/>
      <c r="CF51" s="1152"/>
      <c r="CG51" s="1152"/>
      <c r="CH51" s="1152"/>
      <c r="CI51" s="1152"/>
      <c r="CJ51" s="1152"/>
      <c r="CK51" s="1152"/>
      <c r="CL51" s="1152"/>
      <c r="CM51" s="1152"/>
      <c r="CN51" s="1152"/>
      <c r="CO51" s="1152"/>
      <c r="CP51" s="1152"/>
      <c r="CQ51" s="1152"/>
      <c r="CR51" s="1152"/>
      <c r="CS51" s="1152"/>
      <c r="CT51" s="1152"/>
      <c r="CU51" s="1152"/>
      <c r="CV51" s="1152"/>
      <c r="CW51" s="1152"/>
      <c r="CX51" s="1152"/>
      <c r="CY51" s="1152"/>
      <c r="CZ51" s="1152"/>
      <c r="DA51" s="1152"/>
      <c r="DB51" s="1152"/>
      <c r="DC51" s="1152"/>
      <c r="DD51" s="1152"/>
      <c r="DE51" s="1152"/>
      <c r="DF51" s="1152"/>
      <c r="DG51" s="1152"/>
      <c r="DH51" s="1152"/>
      <c r="DI51" s="1152"/>
      <c r="DJ51" s="1152"/>
      <c r="DK51" s="1152"/>
      <c r="DL51" s="1152"/>
      <c r="DM51" s="1152"/>
      <c r="DN51" s="1152"/>
      <c r="DO51" s="1152"/>
      <c r="DP51" s="1152"/>
      <c r="DQ51" s="1152"/>
      <c r="DR51" s="1152"/>
      <c r="DS51" s="1152"/>
      <c r="DT51" s="1152"/>
      <c r="DU51" s="1152"/>
      <c r="DV51" s="1152"/>
      <c r="DW51" s="1152"/>
      <c r="DX51" s="1152"/>
      <c r="DY51" s="1152"/>
      <c r="DZ51" s="1152"/>
      <c r="EA51" s="1152"/>
      <c r="EB51" s="1152"/>
      <c r="EC51" s="1152"/>
      <c r="ED51" s="1152"/>
      <c r="EE51" s="1152"/>
      <c r="EF51" s="1152"/>
      <c r="EG51" s="1152"/>
      <c r="EH51" s="1152"/>
      <c r="EI51" s="1152"/>
      <c r="EJ51" s="1152"/>
      <c r="EK51" s="1152"/>
      <c r="EL51" s="1152"/>
      <c r="EM51" s="1152"/>
      <c r="EN51" s="1152"/>
      <c r="EO51" s="1152"/>
      <c r="EP51" s="1152"/>
      <c r="EQ51" s="1152"/>
      <c r="ER51" s="1152"/>
      <c r="ES51" s="1152"/>
      <c r="ET51" s="1152"/>
      <c r="EU51" s="1152"/>
      <c r="EV51" s="1152"/>
      <c r="EW51" s="1152"/>
      <c r="EX51" s="1152"/>
      <c r="EY51" s="1152"/>
      <c r="EZ51" s="1152"/>
      <c r="FA51" s="1152"/>
      <c r="FB51" s="1152"/>
      <c r="FC51" s="1152"/>
      <c r="FD51" s="1152"/>
      <c r="FE51" s="1152"/>
      <c r="FF51" s="1152"/>
      <c r="FG51" s="1152"/>
      <c r="FH51" s="1152"/>
      <c r="FI51" s="1152"/>
      <c r="FJ51" s="1152"/>
      <c r="FK51" s="1152"/>
      <c r="FL51" s="1152"/>
      <c r="FM51" s="1152"/>
      <c r="FN51" s="1152"/>
      <c r="FO51" s="1152"/>
      <c r="FP51" s="1152"/>
      <c r="FQ51" s="1152"/>
      <c r="FR51" s="1152"/>
      <c r="FS51" s="1152"/>
      <c r="FT51" s="1152"/>
      <c r="FU51" s="1152"/>
      <c r="FV51" s="1152"/>
      <c r="FW51" s="1152"/>
      <c r="FX51" s="1152"/>
      <c r="FY51" s="1152"/>
      <c r="FZ51" s="1152"/>
      <c r="GA51" s="1152"/>
      <c r="GB51" s="1152"/>
      <c r="GC51" s="1152"/>
      <c r="GD51" s="1152"/>
      <c r="GE51" s="1152"/>
      <c r="GF51" s="1152"/>
      <c r="GG51" s="1152"/>
    </row>
    <row r="52" spans="1:189" s="1149" customFormat="1" ht="15.95" customHeight="1">
      <c r="A52" s="745" t="e">
        <f>+#REF!</f>
        <v>#REF!</v>
      </c>
      <c r="B52" s="768" t="e">
        <f>+#REF!</f>
        <v>#REF!</v>
      </c>
      <c r="C52" s="1617"/>
      <c r="D52" s="954"/>
      <c r="E52" s="954"/>
      <c r="F52" s="954"/>
      <c r="H52" s="1150"/>
      <c r="I52" s="1151"/>
      <c r="J52" s="1150"/>
      <c r="K52" s="1152"/>
      <c r="L52" s="1152"/>
      <c r="M52" s="1152"/>
      <c r="N52" s="1152"/>
      <c r="O52" s="1152"/>
      <c r="P52" s="1152"/>
      <c r="Q52" s="1152"/>
      <c r="R52" s="1152"/>
      <c r="S52" s="1152"/>
      <c r="T52" s="1152"/>
      <c r="U52" s="1152"/>
      <c r="V52" s="1152"/>
      <c r="W52" s="1152"/>
      <c r="X52" s="1152"/>
      <c r="Y52" s="1152"/>
      <c r="Z52" s="1152"/>
      <c r="AA52" s="1152"/>
      <c r="AB52" s="1152"/>
      <c r="AC52" s="1152"/>
      <c r="AD52" s="1152"/>
      <c r="AE52" s="1152"/>
      <c r="AF52" s="1152"/>
      <c r="AG52" s="1152"/>
      <c r="AH52" s="1152"/>
      <c r="AI52" s="1152"/>
      <c r="AJ52" s="1152"/>
      <c r="AK52" s="1152"/>
      <c r="AL52" s="1152"/>
      <c r="AM52" s="1152"/>
      <c r="AN52" s="1152"/>
      <c r="AO52" s="1152"/>
      <c r="AP52" s="1152"/>
      <c r="AQ52" s="1152"/>
      <c r="AR52" s="1152"/>
      <c r="AS52" s="1152"/>
      <c r="AT52" s="1152"/>
      <c r="AU52" s="1152"/>
      <c r="AV52" s="1152"/>
      <c r="AW52" s="1152"/>
      <c r="AX52" s="1152"/>
      <c r="AY52" s="1152"/>
      <c r="AZ52" s="1152"/>
      <c r="BA52" s="1152"/>
      <c r="BB52" s="1152"/>
      <c r="BC52" s="1152"/>
      <c r="BD52" s="1152"/>
      <c r="BE52" s="1152"/>
      <c r="BF52" s="1152"/>
      <c r="BG52" s="1152"/>
      <c r="BH52" s="1152"/>
      <c r="BI52" s="1152"/>
      <c r="BJ52" s="1152"/>
      <c r="BK52" s="1152"/>
      <c r="BL52" s="1152"/>
      <c r="BM52" s="1152"/>
      <c r="BN52" s="1152"/>
      <c r="BO52" s="1152"/>
      <c r="BP52" s="1152"/>
      <c r="BQ52" s="1152"/>
      <c r="BR52" s="1152"/>
      <c r="BS52" s="1152"/>
      <c r="BT52" s="1152"/>
      <c r="BU52" s="1152"/>
      <c r="BV52" s="1152"/>
      <c r="BW52" s="1152"/>
      <c r="BX52" s="1152"/>
      <c r="BY52" s="1152"/>
      <c r="BZ52" s="1152"/>
      <c r="CA52" s="1152"/>
      <c r="CB52" s="1152"/>
      <c r="CC52" s="1152"/>
      <c r="CD52" s="1152"/>
      <c r="CE52" s="1152"/>
      <c r="CF52" s="1152"/>
      <c r="CG52" s="1152"/>
      <c r="CH52" s="1152"/>
      <c r="CI52" s="1152"/>
      <c r="CJ52" s="1152"/>
      <c r="CK52" s="1152"/>
      <c r="CL52" s="1152"/>
      <c r="CM52" s="1152"/>
      <c r="CN52" s="1152"/>
      <c r="CO52" s="1152"/>
      <c r="CP52" s="1152"/>
      <c r="CQ52" s="1152"/>
      <c r="CR52" s="1152"/>
      <c r="CS52" s="1152"/>
      <c r="CT52" s="1152"/>
      <c r="CU52" s="1152"/>
      <c r="CV52" s="1152"/>
      <c r="CW52" s="1152"/>
      <c r="CX52" s="1152"/>
      <c r="CY52" s="1152"/>
      <c r="CZ52" s="1152"/>
      <c r="DA52" s="1152"/>
      <c r="DB52" s="1152"/>
      <c r="DC52" s="1152"/>
      <c r="DD52" s="1152"/>
      <c r="DE52" s="1152"/>
      <c r="DF52" s="1152"/>
      <c r="DG52" s="1152"/>
      <c r="DH52" s="1152"/>
      <c r="DI52" s="1152"/>
      <c r="DJ52" s="1152"/>
      <c r="DK52" s="1152"/>
      <c r="DL52" s="1152"/>
      <c r="DM52" s="1152"/>
      <c r="DN52" s="1152"/>
      <c r="DO52" s="1152"/>
      <c r="DP52" s="1152"/>
      <c r="DQ52" s="1152"/>
      <c r="DR52" s="1152"/>
      <c r="DS52" s="1152"/>
      <c r="DT52" s="1152"/>
      <c r="DU52" s="1152"/>
      <c r="DV52" s="1152"/>
      <c r="DW52" s="1152"/>
      <c r="DX52" s="1152"/>
      <c r="DY52" s="1152"/>
      <c r="DZ52" s="1152"/>
      <c r="EA52" s="1152"/>
      <c r="EB52" s="1152"/>
      <c r="EC52" s="1152"/>
      <c r="ED52" s="1152"/>
      <c r="EE52" s="1152"/>
      <c r="EF52" s="1152"/>
      <c r="EG52" s="1152"/>
      <c r="EH52" s="1152"/>
      <c r="EI52" s="1152"/>
      <c r="EJ52" s="1152"/>
      <c r="EK52" s="1152"/>
      <c r="EL52" s="1152"/>
      <c r="EM52" s="1152"/>
      <c r="EN52" s="1152"/>
      <c r="EO52" s="1152"/>
      <c r="EP52" s="1152"/>
      <c r="EQ52" s="1152"/>
      <c r="ER52" s="1152"/>
      <c r="ES52" s="1152"/>
      <c r="ET52" s="1152"/>
      <c r="EU52" s="1152"/>
      <c r="EV52" s="1152"/>
      <c r="EW52" s="1152"/>
      <c r="EX52" s="1152"/>
      <c r="EY52" s="1152"/>
      <c r="EZ52" s="1152"/>
      <c r="FA52" s="1152"/>
      <c r="FB52" s="1152"/>
      <c r="FC52" s="1152"/>
      <c r="FD52" s="1152"/>
      <c r="FE52" s="1152"/>
      <c r="FF52" s="1152"/>
      <c r="FG52" s="1152"/>
      <c r="FH52" s="1152"/>
      <c r="FI52" s="1152"/>
      <c r="FJ52" s="1152"/>
      <c r="FK52" s="1152"/>
      <c r="FL52" s="1152"/>
      <c r="FM52" s="1152"/>
      <c r="FN52" s="1152"/>
      <c r="FO52" s="1152"/>
      <c r="FP52" s="1152"/>
      <c r="FQ52" s="1152"/>
      <c r="FR52" s="1152"/>
      <c r="FS52" s="1152"/>
      <c r="FT52" s="1152"/>
      <c r="FU52" s="1152"/>
      <c r="FV52" s="1152"/>
      <c r="FW52" s="1152"/>
      <c r="FX52" s="1152"/>
      <c r="FY52" s="1152"/>
      <c r="FZ52" s="1152"/>
      <c r="GA52" s="1152"/>
      <c r="GB52" s="1152"/>
      <c r="GC52" s="1152"/>
      <c r="GD52" s="1152"/>
      <c r="GE52" s="1152"/>
      <c r="GF52" s="1152"/>
      <c r="GG52" s="1152"/>
    </row>
    <row r="53" spans="1:189" s="1149" customFormat="1" ht="15.95" customHeight="1">
      <c r="A53" s="638" t="e">
        <f>+#REF!</f>
        <v>#REF!</v>
      </c>
      <c r="B53" s="1616" t="e">
        <f>+#REF!</f>
        <v>#REF!</v>
      </c>
      <c r="C53" s="1553" t="e">
        <f>#REF!</f>
        <v>#REF!</v>
      </c>
      <c r="D53" s="1139">
        <v>1</v>
      </c>
      <c r="E53" s="1710">
        <f>35555625</f>
        <v>35555625</v>
      </c>
      <c r="F53" s="1710">
        <f>+D53*E53</f>
        <v>35555625</v>
      </c>
      <c r="H53" s="1151">
        <v>1</v>
      </c>
      <c r="I53" s="1151">
        <f>1.05</f>
        <v>1.05</v>
      </c>
      <c r="J53" s="1151">
        <f>H53*I53</f>
        <v>1.05</v>
      </c>
      <c r="K53" s="1152"/>
      <c r="L53" s="1152"/>
      <c r="M53" s="1152"/>
      <c r="N53" s="1152"/>
      <c r="O53" s="1152"/>
      <c r="P53" s="1152"/>
      <c r="Q53" s="1152"/>
      <c r="R53" s="1152"/>
      <c r="S53" s="1152"/>
      <c r="T53" s="1152"/>
      <c r="U53" s="1152"/>
      <c r="V53" s="1152"/>
      <c r="W53" s="1152"/>
      <c r="X53" s="1152"/>
      <c r="Y53" s="1152"/>
      <c r="Z53" s="1152"/>
      <c r="AA53" s="1152"/>
      <c r="AB53" s="1152"/>
      <c r="AC53" s="1152"/>
      <c r="AD53" s="1152"/>
      <c r="AE53" s="1152"/>
      <c r="AF53" s="1152"/>
      <c r="AG53" s="1152"/>
      <c r="AH53" s="1152"/>
      <c r="AI53" s="1152"/>
      <c r="AJ53" s="1152"/>
      <c r="AK53" s="1152"/>
      <c r="AL53" s="1152"/>
      <c r="AM53" s="1152"/>
      <c r="AN53" s="1152"/>
      <c r="AO53" s="1152"/>
      <c r="AP53" s="1152"/>
      <c r="AQ53" s="1152"/>
      <c r="AR53" s="1152"/>
      <c r="AS53" s="1152"/>
      <c r="AT53" s="1152"/>
      <c r="AU53" s="1152"/>
      <c r="AV53" s="1152"/>
      <c r="AW53" s="1152"/>
      <c r="AX53" s="1152"/>
      <c r="AY53" s="1152"/>
      <c r="AZ53" s="1152"/>
      <c r="BA53" s="1152"/>
      <c r="BB53" s="1152"/>
      <c r="BC53" s="1152"/>
      <c r="BD53" s="1152"/>
      <c r="BE53" s="1152"/>
      <c r="BF53" s="1152"/>
      <c r="BG53" s="1152"/>
      <c r="BH53" s="1152"/>
      <c r="BI53" s="1152"/>
      <c r="BJ53" s="1152"/>
      <c r="BK53" s="1152"/>
      <c r="BL53" s="1152"/>
      <c r="BM53" s="1152"/>
      <c r="BN53" s="1152"/>
      <c r="BO53" s="1152"/>
      <c r="BP53" s="1152"/>
      <c r="BQ53" s="1152"/>
      <c r="BR53" s="1152"/>
      <c r="BS53" s="1152"/>
      <c r="BT53" s="1152"/>
      <c r="BU53" s="1152"/>
      <c r="BV53" s="1152"/>
      <c r="BW53" s="1152"/>
      <c r="BX53" s="1152"/>
      <c r="BY53" s="1152"/>
      <c r="BZ53" s="1152"/>
      <c r="CA53" s="1152"/>
      <c r="CB53" s="1152"/>
      <c r="CC53" s="1152"/>
      <c r="CD53" s="1152"/>
      <c r="CE53" s="1152"/>
      <c r="CF53" s="1152"/>
      <c r="CG53" s="1152"/>
      <c r="CH53" s="1152"/>
      <c r="CI53" s="1152"/>
      <c r="CJ53" s="1152"/>
      <c r="CK53" s="1152"/>
      <c r="CL53" s="1152"/>
      <c r="CM53" s="1152"/>
      <c r="CN53" s="1152"/>
      <c r="CO53" s="1152"/>
      <c r="CP53" s="1152"/>
      <c r="CQ53" s="1152"/>
      <c r="CR53" s="1152"/>
      <c r="CS53" s="1152"/>
      <c r="CT53" s="1152"/>
      <c r="CU53" s="1152"/>
      <c r="CV53" s="1152"/>
      <c r="CW53" s="1152"/>
      <c r="CX53" s="1152"/>
      <c r="CY53" s="1152"/>
      <c r="CZ53" s="1152"/>
      <c r="DA53" s="1152"/>
      <c r="DB53" s="1152"/>
      <c r="DC53" s="1152"/>
      <c r="DD53" s="1152"/>
      <c r="DE53" s="1152"/>
      <c r="DF53" s="1152"/>
      <c r="DG53" s="1152"/>
      <c r="DH53" s="1152"/>
      <c r="DI53" s="1152"/>
      <c r="DJ53" s="1152"/>
      <c r="DK53" s="1152"/>
      <c r="DL53" s="1152"/>
      <c r="DM53" s="1152"/>
      <c r="DN53" s="1152"/>
      <c r="DO53" s="1152"/>
      <c r="DP53" s="1152"/>
      <c r="DQ53" s="1152"/>
      <c r="DR53" s="1152"/>
      <c r="DS53" s="1152"/>
      <c r="DT53" s="1152"/>
      <c r="DU53" s="1152"/>
      <c r="DV53" s="1152"/>
      <c r="DW53" s="1152"/>
      <c r="DX53" s="1152"/>
      <c r="DY53" s="1152"/>
      <c r="DZ53" s="1152"/>
      <c r="EA53" s="1152"/>
      <c r="EB53" s="1152"/>
      <c r="EC53" s="1152"/>
      <c r="ED53" s="1152"/>
      <c r="EE53" s="1152"/>
      <c r="EF53" s="1152"/>
      <c r="EG53" s="1152"/>
      <c r="EH53" s="1152"/>
      <c r="EI53" s="1152"/>
      <c r="EJ53" s="1152"/>
      <c r="EK53" s="1152"/>
      <c r="EL53" s="1152"/>
      <c r="EM53" s="1152"/>
      <c r="EN53" s="1152"/>
      <c r="EO53" s="1152"/>
      <c r="EP53" s="1152"/>
      <c r="EQ53" s="1152"/>
      <c r="ER53" s="1152"/>
      <c r="ES53" s="1152"/>
      <c r="ET53" s="1152"/>
      <c r="EU53" s="1152"/>
      <c r="EV53" s="1152"/>
      <c r="EW53" s="1152"/>
      <c r="EX53" s="1152"/>
      <c r="EY53" s="1152"/>
      <c r="EZ53" s="1152"/>
      <c r="FA53" s="1152"/>
      <c r="FB53" s="1152"/>
      <c r="FC53" s="1152"/>
      <c r="FD53" s="1152"/>
      <c r="FE53" s="1152"/>
      <c r="FF53" s="1152"/>
      <c r="FG53" s="1152"/>
      <c r="FH53" s="1152"/>
      <c r="FI53" s="1152"/>
      <c r="FJ53" s="1152"/>
      <c r="FK53" s="1152"/>
      <c r="FL53" s="1152"/>
      <c r="FM53" s="1152"/>
      <c r="FN53" s="1152"/>
      <c r="FO53" s="1152"/>
      <c r="FP53" s="1152"/>
      <c r="FQ53" s="1152"/>
      <c r="FR53" s="1152"/>
      <c r="FS53" s="1152"/>
      <c r="FT53" s="1152"/>
      <c r="FU53" s="1152"/>
      <c r="FV53" s="1152"/>
      <c r="FW53" s="1152"/>
      <c r="FX53" s="1152"/>
      <c r="FY53" s="1152"/>
      <c r="FZ53" s="1152"/>
      <c r="GA53" s="1152"/>
      <c r="GB53" s="1152"/>
      <c r="GC53" s="1152"/>
      <c r="GD53" s="1152"/>
      <c r="GE53" s="1152"/>
      <c r="GF53" s="1152"/>
      <c r="GG53" s="1152"/>
    </row>
    <row r="54" spans="1:189" s="1149" customFormat="1" ht="15.95" customHeight="1">
      <c r="A54" s="638" t="e">
        <f>+#REF!</f>
        <v>#REF!</v>
      </c>
      <c r="B54" s="1616" t="e">
        <f>+#REF!</f>
        <v>#REF!</v>
      </c>
      <c r="C54" s="1553" t="e">
        <f>#REF!</f>
        <v>#REF!</v>
      </c>
      <c r="D54" s="1139">
        <v>1</v>
      </c>
      <c r="E54" s="1710">
        <f>28444500</f>
        <v>28444500</v>
      </c>
      <c r="F54" s="1710">
        <f>+D54*E54</f>
        <v>28444500</v>
      </c>
      <c r="H54" s="1151">
        <f>H53</f>
        <v>1</v>
      </c>
      <c r="I54" s="1151">
        <f>1.05</f>
        <v>1.05</v>
      </c>
      <c r="J54" s="1151">
        <f>H54*I54</f>
        <v>1.05</v>
      </c>
      <c r="K54" s="1152"/>
      <c r="L54" s="1152"/>
      <c r="M54" s="1152"/>
      <c r="N54" s="1152"/>
      <c r="O54" s="1152"/>
      <c r="P54" s="1152"/>
      <c r="Q54" s="1152"/>
      <c r="R54" s="1152"/>
      <c r="S54" s="1152"/>
      <c r="T54" s="1152"/>
      <c r="U54" s="1152"/>
      <c r="V54" s="1152"/>
      <c r="W54" s="1152"/>
      <c r="X54" s="1152"/>
      <c r="Y54" s="1152"/>
      <c r="Z54" s="1152"/>
      <c r="AA54" s="1152"/>
      <c r="AB54" s="1152"/>
      <c r="AC54" s="1152"/>
      <c r="AD54" s="1152"/>
      <c r="AE54" s="1152"/>
      <c r="AF54" s="1152"/>
      <c r="AG54" s="1152"/>
      <c r="AH54" s="1152"/>
      <c r="AI54" s="1152"/>
      <c r="AJ54" s="1152"/>
      <c r="AK54" s="1152"/>
      <c r="AL54" s="1152"/>
      <c r="AM54" s="1152"/>
      <c r="AN54" s="1152"/>
      <c r="AO54" s="1152"/>
      <c r="AP54" s="1152"/>
      <c r="AQ54" s="1152"/>
      <c r="AR54" s="1152"/>
      <c r="AS54" s="1152"/>
      <c r="AT54" s="1152"/>
      <c r="AU54" s="1152"/>
      <c r="AV54" s="1152"/>
      <c r="AW54" s="1152"/>
      <c r="AX54" s="1152"/>
      <c r="AY54" s="1152"/>
      <c r="AZ54" s="1152"/>
      <c r="BA54" s="1152"/>
      <c r="BB54" s="1152"/>
      <c r="BC54" s="1152"/>
      <c r="BD54" s="1152"/>
      <c r="BE54" s="1152"/>
      <c r="BF54" s="1152"/>
      <c r="BG54" s="1152"/>
      <c r="BH54" s="1152"/>
      <c r="BI54" s="1152"/>
      <c r="BJ54" s="1152"/>
      <c r="BK54" s="1152"/>
      <c r="BL54" s="1152"/>
      <c r="BM54" s="1152"/>
      <c r="BN54" s="1152"/>
      <c r="BO54" s="1152"/>
      <c r="BP54" s="1152"/>
      <c r="BQ54" s="1152"/>
      <c r="BR54" s="1152"/>
      <c r="BS54" s="1152"/>
      <c r="BT54" s="1152"/>
      <c r="BU54" s="1152"/>
      <c r="BV54" s="1152"/>
      <c r="BW54" s="1152"/>
      <c r="BX54" s="1152"/>
      <c r="BY54" s="1152"/>
      <c r="BZ54" s="1152"/>
      <c r="CA54" s="1152"/>
      <c r="CB54" s="1152"/>
      <c r="CC54" s="1152"/>
      <c r="CD54" s="1152"/>
      <c r="CE54" s="1152"/>
      <c r="CF54" s="1152"/>
      <c r="CG54" s="1152"/>
      <c r="CH54" s="1152"/>
      <c r="CI54" s="1152"/>
      <c r="CJ54" s="1152"/>
      <c r="CK54" s="1152"/>
      <c r="CL54" s="1152"/>
      <c r="CM54" s="1152"/>
      <c r="CN54" s="1152"/>
      <c r="CO54" s="1152"/>
      <c r="CP54" s="1152"/>
      <c r="CQ54" s="1152"/>
      <c r="CR54" s="1152"/>
      <c r="CS54" s="1152"/>
      <c r="CT54" s="1152"/>
      <c r="CU54" s="1152"/>
      <c r="CV54" s="1152"/>
      <c r="CW54" s="1152"/>
      <c r="CX54" s="1152"/>
      <c r="CY54" s="1152"/>
      <c r="CZ54" s="1152"/>
      <c r="DA54" s="1152"/>
      <c r="DB54" s="1152"/>
      <c r="DC54" s="1152"/>
      <c r="DD54" s="1152"/>
      <c r="DE54" s="1152"/>
      <c r="DF54" s="1152"/>
      <c r="DG54" s="1152"/>
      <c r="DH54" s="1152"/>
      <c r="DI54" s="1152"/>
      <c r="DJ54" s="1152"/>
      <c r="DK54" s="1152"/>
      <c r="DL54" s="1152"/>
      <c r="DM54" s="1152"/>
      <c r="DN54" s="1152"/>
      <c r="DO54" s="1152"/>
      <c r="DP54" s="1152"/>
      <c r="DQ54" s="1152"/>
      <c r="DR54" s="1152"/>
      <c r="DS54" s="1152"/>
      <c r="DT54" s="1152"/>
      <c r="DU54" s="1152"/>
      <c r="DV54" s="1152"/>
      <c r="DW54" s="1152"/>
      <c r="DX54" s="1152"/>
      <c r="DY54" s="1152"/>
      <c r="DZ54" s="1152"/>
      <c r="EA54" s="1152"/>
      <c r="EB54" s="1152"/>
      <c r="EC54" s="1152"/>
      <c r="ED54" s="1152"/>
      <c r="EE54" s="1152"/>
      <c r="EF54" s="1152"/>
      <c r="EG54" s="1152"/>
      <c r="EH54" s="1152"/>
      <c r="EI54" s="1152"/>
      <c r="EJ54" s="1152"/>
      <c r="EK54" s="1152"/>
      <c r="EL54" s="1152"/>
      <c r="EM54" s="1152"/>
      <c r="EN54" s="1152"/>
      <c r="EO54" s="1152"/>
      <c r="EP54" s="1152"/>
      <c r="EQ54" s="1152"/>
      <c r="ER54" s="1152"/>
      <c r="ES54" s="1152"/>
      <c r="ET54" s="1152"/>
      <c r="EU54" s="1152"/>
      <c r="EV54" s="1152"/>
      <c r="EW54" s="1152"/>
      <c r="EX54" s="1152"/>
      <c r="EY54" s="1152"/>
      <c r="EZ54" s="1152"/>
      <c r="FA54" s="1152"/>
      <c r="FB54" s="1152"/>
      <c r="FC54" s="1152"/>
      <c r="FD54" s="1152"/>
      <c r="FE54" s="1152"/>
      <c r="FF54" s="1152"/>
      <c r="FG54" s="1152"/>
      <c r="FH54" s="1152"/>
      <c r="FI54" s="1152"/>
      <c r="FJ54" s="1152"/>
      <c r="FK54" s="1152"/>
      <c r="FL54" s="1152"/>
      <c r="FM54" s="1152"/>
      <c r="FN54" s="1152"/>
      <c r="FO54" s="1152"/>
      <c r="FP54" s="1152"/>
      <c r="FQ54" s="1152"/>
      <c r="FR54" s="1152"/>
      <c r="FS54" s="1152"/>
      <c r="FT54" s="1152"/>
      <c r="FU54" s="1152"/>
      <c r="FV54" s="1152"/>
      <c r="FW54" s="1152"/>
      <c r="FX54" s="1152"/>
      <c r="FY54" s="1152"/>
      <c r="FZ54" s="1152"/>
      <c r="GA54" s="1152"/>
      <c r="GB54" s="1152"/>
      <c r="GC54" s="1152"/>
      <c r="GD54" s="1152"/>
      <c r="GE54" s="1152"/>
      <c r="GF54" s="1152"/>
      <c r="GG54" s="1152"/>
    </row>
    <row r="55" spans="1:189" s="1149" customFormat="1" ht="15.95" customHeight="1">
      <c r="A55" s="638" t="e">
        <f>+#REF!</f>
        <v>#REF!</v>
      </c>
      <c r="B55" s="1616" t="e">
        <f>+#REF!</f>
        <v>#REF!</v>
      </c>
      <c r="C55" s="1553" t="e">
        <f>#REF!</f>
        <v>#REF!</v>
      </c>
      <c r="D55" s="1710">
        <f>J55</f>
        <v>105</v>
      </c>
      <c r="E55" s="1710" t="e">
        <f>#REF!</f>
        <v>#REF!</v>
      </c>
      <c r="F55" s="1710" t="e">
        <f>+D55*E55</f>
        <v>#REF!</v>
      </c>
      <c r="H55" s="1674">
        <f>+F15+1500</f>
        <v>1500</v>
      </c>
      <c r="I55" s="1674">
        <f>1.4*0.05</f>
        <v>6.9999999999999993E-2</v>
      </c>
      <c r="J55" s="1151">
        <f>ROUND(H55*I55,0)</f>
        <v>105</v>
      </c>
      <c r="K55" s="1152"/>
      <c r="L55" s="1152"/>
      <c r="M55" s="1152"/>
      <c r="N55" s="1152"/>
      <c r="O55" s="1152"/>
      <c r="P55" s="1152"/>
      <c r="Q55" s="1152"/>
      <c r="R55" s="1152"/>
      <c r="S55" s="1152"/>
      <c r="T55" s="1152"/>
      <c r="U55" s="1152"/>
      <c r="V55" s="1152"/>
      <c r="W55" s="1152"/>
      <c r="X55" s="1152"/>
      <c r="Y55" s="1152"/>
      <c r="Z55" s="1152"/>
      <c r="AA55" s="1152"/>
      <c r="AB55" s="1152"/>
      <c r="AC55" s="1152"/>
      <c r="AD55" s="1152"/>
      <c r="AE55" s="1152"/>
      <c r="AF55" s="1152"/>
      <c r="AG55" s="1152"/>
      <c r="AH55" s="1152"/>
      <c r="AI55" s="1152"/>
      <c r="AJ55" s="1152"/>
      <c r="AK55" s="1152"/>
      <c r="AL55" s="1152"/>
      <c r="AM55" s="1152"/>
      <c r="AN55" s="1152"/>
      <c r="AO55" s="1152"/>
      <c r="AP55" s="1152"/>
      <c r="AQ55" s="1152"/>
      <c r="AR55" s="1152"/>
      <c r="AS55" s="1152"/>
      <c r="AT55" s="1152"/>
      <c r="AU55" s="1152"/>
      <c r="AV55" s="1152"/>
      <c r="AW55" s="1152"/>
      <c r="AX55" s="1152"/>
      <c r="AY55" s="1152"/>
      <c r="AZ55" s="1152"/>
      <c r="BA55" s="1152"/>
      <c r="BB55" s="1152"/>
      <c r="BC55" s="1152"/>
      <c r="BD55" s="1152"/>
      <c r="BE55" s="1152"/>
      <c r="BF55" s="1152"/>
      <c r="BG55" s="1152"/>
      <c r="BH55" s="1152"/>
      <c r="BI55" s="1152"/>
      <c r="BJ55" s="1152"/>
      <c r="BK55" s="1152"/>
      <c r="BL55" s="1152"/>
      <c r="BM55" s="1152"/>
      <c r="BN55" s="1152"/>
      <c r="BO55" s="1152"/>
      <c r="BP55" s="1152"/>
      <c r="BQ55" s="1152"/>
      <c r="BR55" s="1152"/>
      <c r="BS55" s="1152"/>
      <c r="BT55" s="1152"/>
      <c r="BU55" s="1152"/>
      <c r="BV55" s="1152"/>
      <c r="BW55" s="1152"/>
      <c r="BX55" s="1152"/>
      <c r="BY55" s="1152"/>
      <c r="BZ55" s="1152"/>
      <c r="CA55" s="1152"/>
      <c r="CB55" s="1152"/>
      <c r="CC55" s="1152"/>
      <c r="CD55" s="1152"/>
      <c r="CE55" s="1152"/>
      <c r="CF55" s="1152"/>
      <c r="CG55" s="1152"/>
      <c r="CH55" s="1152"/>
      <c r="CI55" s="1152"/>
      <c r="CJ55" s="1152"/>
      <c r="CK55" s="1152"/>
      <c r="CL55" s="1152"/>
      <c r="CM55" s="1152"/>
      <c r="CN55" s="1152"/>
      <c r="CO55" s="1152"/>
      <c r="CP55" s="1152"/>
      <c r="CQ55" s="1152"/>
      <c r="CR55" s="1152"/>
      <c r="CS55" s="1152"/>
      <c r="CT55" s="1152"/>
      <c r="CU55" s="1152"/>
      <c r="CV55" s="1152"/>
      <c r="CW55" s="1152"/>
      <c r="CX55" s="1152"/>
      <c r="CY55" s="1152"/>
      <c r="CZ55" s="1152"/>
      <c r="DA55" s="1152"/>
      <c r="DB55" s="1152"/>
      <c r="DC55" s="1152"/>
      <c r="DD55" s="1152"/>
      <c r="DE55" s="1152"/>
      <c r="DF55" s="1152"/>
      <c r="DG55" s="1152"/>
      <c r="DH55" s="1152"/>
      <c r="DI55" s="1152"/>
      <c r="DJ55" s="1152"/>
      <c r="DK55" s="1152"/>
      <c r="DL55" s="1152"/>
      <c r="DM55" s="1152"/>
      <c r="DN55" s="1152"/>
      <c r="DO55" s="1152"/>
      <c r="DP55" s="1152"/>
      <c r="DQ55" s="1152"/>
      <c r="DR55" s="1152"/>
      <c r="DS55" s="1152"/>
      <c r="DT55" s="1152"/>
      <c r="DU55" s="1152"/>
      <c r="DV55" s="1152"/>
      <c r="DW55" s="1152"/>
      <c r="DX55" s="1152"/>
      <c r="DY55" s="1152"/>
      <c r="DZ55" s="1152"/>
      <c r="EA55" s="1152"/>
      <c r="EB55" s="1152"/>
      <c r="EC55" s="1152"/>
      <c r="ED55" s="1152"/>
      <c r="EE55" s="1152"/>
      <c r="EF55" s="1152"/>
      <c r="EG55" s="1152"/>
      <c r="EH55" s="1152"/>
      <c r="EI55" s="1152"/>
      <c r="EJ55" s="1152"/>
      <c r="EK55" s="1152"/>
      <c r="EL55" s="1152"/>
      <c r="EM55" s="1152"/>
      <c r="EN55" s="1152"/>
      <c r="EO55" s="1152"/>
      <c r="EP55" s="1152"/>
      <c r="EQ55" s="1152"/>
      <c r="ER55" s="1152"/>
      <c r="ES55" s="1152"/>
      <c r="ET55" s="1152"/>
      <c r="EU55" s="1152"/>
      <c r="EV55" s="1152"/>
      <c r="EW55" s="1152"/>
      <c r="EX55" s="1152"/>
      <c r="EY55" s="1152"/>
      <c r="EZ55" s="1152"/>
      <c r="FA55" s="1152"/>
      <c r="FB55" s="1152"/>
      <c r="FC55" s="1152"/>
      <c r="FD55" s="1152"/>
      <c r="FE55" s="1152"/>
      <c r="FF55" s="1152"/>
      <c r="FG55" s="1152"/>
      <c r="FH55" s="1152"/>
      <c r="FI55" s="1152"/>
      <c r="FJ55" s="1152"/>
      <c r="FK55" s="1152"/>
      <c r="FL55" s="1152"/>
      <c r="FM55" s="1152"/>
      <c r="FN55" s="1152"/>
      <c r="FO55" s="1152"/>
      <c r="FP55" s="1152"/>
      <c r="FQ55" s="1152"/>
      <c r="FR55" s="1152"/>
      <c r="FS55" s="1152"/>
      <c r="FT55" s="1152"/>
      <c r="FU55" s="1152"/>
      <c r="FV55" s="1152"/>
      <c r="FW55" s="1152"/>
      <c r="FX55" s="1152"/>
      <c r="FY55" s="1152"/>
      <c r="FZ55" s="1152"/>
      <c r="GA55" s="1152"/>
      <c r="GB55" s="1152"/>
      <c r="GC55" s="1152"/>
      <c r="GD55" s="1152"/>
      <c r="GE55" s="1152"/>
      <c r="GF55" s="1152"/>
      <c r="GG55" s="1152"/>
    </row>
    <row r="56" spans="1:189" s="1149" customFormat="1" ht="15.95" customHeight="1">
      <c r="A56" s="639" t="e">
        <f>+#REF!</f>
        <v>#REF!</v>
      </c>
      <c r="B56" s="467" t="e">
        <f>+#REF!</f>
        <v>#REF!</v>
      </c>
      <c r="C56" s="1554" t="e">
        <f>#REF!</f>
        <v>#REF!</v>
      </c>
      <c r="D56" s="1140">
        <v>1</v>
      </c>
      <c r="E56" s="1711">
        <v>5835882.2130000005</v>
      </c>
      <c r="F56" s="1711">
        <f>+D56*E56</f>
        <v>5835882.2130000005</v>
      </c>
      <c r="H56" s="1151">
        <f>H54</f>
        <v>1</v>
      </c>
      <c r="I56" s="1151">
        <f>1.05</f>
        <v>1.05</v>
      </c>
      <c r="J56" s="1151">
        <f>H56*I56</f>
        <v>1.05</v>
      </c>
      <c r="K56" s="1152"/>
      <c r="L56" s="1152"/>
      <c r="M56" s="1152"/>
      <c r="N56" s="1152"/>
      <c r="O56" s="1152"/>
      <c r="P56" s="1152"/>
      <c r="Q56" s="1152"/>
      <c r="R56" s="1152"/>
      <c r="S56" s="1152"/>
      <c r="T56" s="1152"/>
      <c r="U56" s="1152"/>
      <c r="V56" s="1152"/>
      <c r="W56" s="1152"/>
      <c r="X56" s="1152"/>
      <c r="Y56" s="1152"/>
      <c r="Z56" s="1152"/>
      <c r="AA56" s="1152"/>
      <c r="AB56" s="1152"/>
      <c r="AC56" s="1152"/>
      <c r="AD56" s="1152"/>
      <c r="AE56" s="1152"/>
      <c r="AF56" s="1152"/>
      <c r="AG56" s="1152"/>
      <c r="AH56" s="1152"/>
      <c r="AI56" s="1152"/>
      <c r="AJ56" s="1152"/>
      <c r="AK56" s="1152"/>
      <c r="AL56" s="1152"/>
      <c r="AM56" s="1152"/>
      <c r="AN56" s="1152"/>
      <c r="AO56" s="1152"/>
      <c r="AP56" s="1152"/>
      <c r="AQ56" s="1152"/>
      <c r="AR56" s="1152"/>
      <c r="AS56" s="1152"/>
      <c r="AT56" s="1152"/>
      <c r="AU56" s="1152"/>
      <c r="AV56" s="1152"/>
      <c r="AW56" s="1152"/>
      <c r="AX56" s="1152"/>
      <c r="AY56" s="1152"/>
      <c r="AZ56" s="1152"/>
      <c r="BA56" s="1152"/>
      <c r="BB56" s="1152"/>
      <c r="BC56" s="1152"/>
      <c r="BD56" s="1152"/>
      <c r="BE56" s="1152"/>
      <c r="BF56" s="1152"/>
      <c r="BG56" s="1152"/>
      <c r="BH56" s="1152"/>
      <c r="BI56" s="1152"/>
      <c r="BJ56" s="1152"/>
      <c r="BK56" s="1152"/>
      <c r="BL56" s="1152"/>
      <c r="BM56" s="1152"/>
      <c r="BN56" s="1152"/>
      <c r="BO56" s="1152"/>
      <c r="BP56" s="1152"/>
      <c r="BQ56" s="1152"/>
      <c r="BR56" s="1152"/>
      <c r="BS56" s="1152"/>
      <c r="BT56" s="1152"/>
      <c r="BU56" s="1152"/>
      <c r="BV56" s="1152"/>
      <c r="BW56" s="1152"/>
      <c r="BX56" s="1152"/>
      <c r="BY56" s="1152"/>
      <c r="BZ56" s="1152"/>
      <c r="CA56" s="1152"/>
      <c r="CB56" s="1152"/>
      <c r="CC56" s="1152"/>
      <c r="CD56" s="1152"/>
      <c r="CE56" s="1152"/>
      <c r="CF56" s="1152"/>
      <c r="CG56" s="1152"/>
      <c r="CH56" s="1152"/>
      <c r="CI56" s="1152"/>
      <c r="CJ56" s="1152"/>
      <c r="CK56" s="1152"/>
      <c r="CL56" s="1152"/>
      <c r="CM56" s="1152"/>
      <c r="CN56" s="1152"/>
      <c r="CO56" s="1152"/>
      <c r="CP56" s="1152"/>
      <c r="CQ56" s="1152"/>
      <c r="CR56" s="1152"/>
      <c r="CS56" s="1152"/>
      <c r="CT56" s="1152"/>
      <c r="CU56" s="1152"/>
      <c r="CV56" s="1152"/>
      <c r="CW56" s="1152"/>
      <c r="CX56" s="1152"/>
      <c r="CY56" s="1152"/>
      <c r="CZ56" s="1152"/>
      <c r="DA56" s="1152"/>
      <c r="DB56" s="1152"/>
      <c r="DC56" s="1152"/>
      <c r="DD56" s="1152"/>
      <c r="DE56" s="1152"/>
      <c r="DF56" s="1152"/>
      <c r="DG56" s="1152"/>
      <c r="DH56" s="1152"/>
      <c r="DI56" s="1152"/>
      <c r="DJ56" s="1152"/>
      <c r="DK56" s="1152"/>
      <c r="DL56" s="1152"/>
      <c r="DM56" s="1152"/>
      <c r="DN56" s="1152"/>
      <c r="DO56" s="1152"/>
      <c r="DP56" s="1152"/>
      <c r="DQ56" s="1152"/>
      <c r="DR56" s="1152"/>
      <c r="DS56" s="1152"/>
      <c r="DT56" s="1152"/>
      <c r="DU56" s="1152"/>
      <c r="DV56" s="1152"/>
      <c r="DW56" s="1152"/>
      <c r="DX56" s="1152"/>
      <c r="DY56" s="1152"/>
      <c r="DZ56" s="1152"/>
      <c r="EA56" s="1152"/>
      <c r="EB56" s="1152"/>
      <c r="EC56" s="1152"/>
      <c r="ED56" s="1152"/>
      <c r="EE56" s="1152"/>
      <c r="EF56" s="1152"/>
      <c r="EG56" s="1152"/>
      <c r="EH56" s="1152"/>
      <c r="EI56" s="1152"/>
      <c r="EJ56" s="1152"/>
      <c r="EK56" s="1152"/>
      <c r="EL56" s="1152"/>
      <c r="EM56" s="1152"/>
      <c r="EN56" s="1152"/>
      <c r="EO56" s="1152"/>
      <c r="EP56" s="1152"/>
      <c r="EQ56" s="1152"/>
      <c r="ER56" s="1152"/>
      <c r="ES56" s="1152"/>
      <c r="ET56" s="1152"/>
      <c r="EU56" s="1152"/>
      <c r="EV56" s="1152"/>
      <c r="EW56" s="1152"/>
      <c r="EX56" s="1152"/>
      <c r="EY56" s="1152"/>
      <c r="EZ56" s="1152"/>
      <c r="FA56" s="1152"/>
      <c r="FB56" s="1152"/>
      <c r="FC56" s="1152"/>
      <c r="FD56" s="1152"/>
      <c r="FE56" s="1152"/>
      <c r="FF56" s="1152"/>
      <c r="FG56" s="1152"/>
      <c r="FH56" s="1152"/>
      <c r="FI56" s="1152"/>
      <c r="FJ56" s="1152"/>
      <c r="FK56" s="1152"/>
      <c r="FL56" s="1152"/>
      <c r="FM56" s="1152"/>
      <c r="FN56" s="1152"/>
      <c r="FO56" s="1152"/>
      <c r="FP56" s="1152"/>
      <c r="FQ56" s="1152"/>
      <c r="FR56" s="1152"/>
      <c r="FS56" s="1152"/>
      <c r="FT56" s="1152"/>
      <c r="FU56" s="1152"/>
      <c r="FV56" s="1152"/>
      <c r="FW56" s="1152"/>
      <c r="FX56" s="1152"/>
      <c r="FY56" s="1152"/>
      <c r="FZ56" s="1152"/>
      <c r="GA56" s="1152"/>
      <c r="GB56" s="1152"/>
      <c r="GC56" s="1152"/>
      <c r="GD56" s="1152"/>
      <c r="GE56" s="1152"/>
      <c r="GF56" s="1152"/>
      <c r="GG56" s="1152"/>
    </row>
    <row r="57" spans="1:189" s="1152" customFormat="1" ht="15.95" customHeight="1">
      <c r="A57" s="745" t="e">
        <f>+#REF!</f>
        <v>#REF!</v>
      </c>
      <c r="B57" s="768" t="e">
        <f>+#REF!</f>
        <v>#REF!</v>
      </c>
      <c r="C57" s="1617"/>
      <c r="D57" s="954"/>
      <c r="E57" s="544"/>
      <c r="F57" s="544"/>
      <c r="G57" s="1149"/>
      <c r="H57" s="1150"/>
      <c r="I57" s="1151"/>
      <c r="J57" s="1150"/>
    </row>
    <row r="58" spans="1:189" s="1152" customFormat="1" ht="15.95" customHeight="1">
      <c r="A58" s="639"/>
      <c r="B58" s="465"/>
      <c r="C58" s="1554" t="e">
        <f>#REF!</f>
        <v>#REF!</v>
      </c>
      <c r="D58" s="1711">
        <f>J58</f>
        <v>0</v>
      </c>
      <c r="E58" s="547" t="e">
        <f>#REF!</f>
        <v>#REF!</v>
      </c>
      <c r="F58" s="547" t="e">
        <f>+D58*E58</f>
        <v>#REF!</v>
      </c>
      <c r="G58" s="1149"/>
      <c r="H58" s="1673">
        <f>+(F13/2+F15)*10</f>
        <v>0</v>
      </c>
      <c r="I58" s="1674">
        <f>1.1*0</f>
        <v>0</v>
      </c>
      <c r="J58" s="1150">
        <f>H58*I58</f>
        <v>0</v>
      </c>
    </row>
    <row r="59" spans="1:189" s="1152" customFormat="1" ht="15.95" customHeight="1">
      <c r="A59" s="745" t="e">
        <f>+#REF!</f>
        <v>#REF!</v>
      </c>
      <c r="B59" s="768" t="e">
        <f>+#REF!</f>
        <v>#REF!</v>
      </c>
      <c r="C59" s="1617"/>
      <c r="D59" s="954"/>
      <c r="E59" s="544"/>
      <c r="F59" s="544"/>
      <c r="G59" s="1149"/>
      <c r="H59" s="1150">
        <f>370+163*2</f>
        <v>696</v>
      </c>
      <c r="I59" s="1151"/>
      <c r="J59" s="1150"/>
    </row>
    <row r="60" spans="1:189" s="1152" customFormat="1" ht="15.95" customHeight="1">
      <c r="A60" s="639"/>
      <c r="B60" s="465"/>
      <c r="C60" s="1554" t="e">
        <f>#REF!</f>
        <v>#REF!</v>
      </c>
      <c r="D60" s="1711">
        <f>J60</f>
        <v>0</v>
      </c>
      <c r="E60" s="547" t="e">
        <f>#REF!</f>
        <v>#REF!</v>
      </c>
      <c r="F60" s="547" t="e">
        <f>+D60*E60</f>
        <v>#REF!</v>
      </c>
      <c r="G60" s="1149"/>
      <c r="H60" s="1673">
        <f>+(F13/2+F15)*2</f>
        <v>0</v>
      </c>
      <c r="I60" s="1674">
        <f>1.1*0</f>
        <v>0</v>
      </c>
      <c r="J60" s="1150">
        <f>H60*I60</f>
        <v>0</v>
      </c>
    </row>
    <row r="61" spans="1:189" s="1152" customFormat="1" ht="15.95" customHeight="1">
      <c r="A61" s="745" t="e">
        <f>+#REF!</f>
        <v>#REF!</v>
      </c>
      <c r="B61" s="768" t="e">
        <f>+#REF!</f>
        <v>#REF!</v>
      </c>
      <c r="C61" s="1617"/>
      <c r="D61" s="954"/>
      <c r="E61" s="544"/>
      <c r="F61" s="544"/>
      <c r="G61" s="1149"/>
      <c r="H61" s="1150"/>
      <c r="I61" s="1151"/>
      <c r="J61" s="1150"/>
    </row>
    <row r="62" spans="1:189" s="1152" customFormat="1" ht="15.95" customHeight="1">
      <c r="A62" s="1615" t="e">
        <f>+#REF!</f>
        <v>#REF!</v>
      </c>
      <c r="B62" s="467" t="e">
        <f>+#REF!</f>
        <v>#REF!</v>
      </c>
      <c r="C62" s="1618" t="e">
        <f>#REF!</f>
        <v>#REF!</v>
      </c>
      <c r="D62" s="1141">
        <f>J62</f>
        <v>1053.6500000000001</v>
      </c>
      <c r="E62" s="1112" t="e">
        <f>#REF!</f>
        <v>#REF!</v>
      </c>
      <c r="F62" s="547" t="e">
        <f>+D62*E62</f>
        <v>#REF!</v>
      </c>
      <c r="G62" s="1149"/>
      <c r="H62" s="1674">
        <f>120+1470+401+310+260+130+320+350+250+355+350+550+255+2160+1140+175+175+130+130+745+372+245+740+1060+345+550+263+475+300+913+790+777+395+320+123+120+396+322+200+206+506+180+270+95+95+240+255+230+200+204+110</f>
        <v>21073</v>
      </c>
      <c r="I62" s="1674">
        <f>0.5*0.1</f>
        <v>0.05</v>
      </c>
      <c r="J62" s="1150">
        <f>H62*I62</f>
        <v>1053.6500000000001</v>
      </c>
    </row>
    <row r="63" spans="1:189" s="1152" customFormat="1" ht="15.95" customHeight="1">
      <c r="A63" s="745" t="e">
        <f>+#REF!</f>
        <v>#REF!</v>
      </c>
      <c r="B63" s="768" t="e">
        <f>+#REF!</f>
        <v>#REF!</v>
      </c>
      <c r="C63" s="1617"/>
      <c r="D63" s="954"/>
      <c r="E63" s="544"/>
      <c r="F63" s="544"/>
      <c r="G63" s="1149"/>
      <c r="H63" s="1150"/>
      <c r="I63" s="1151"/>
      <c r="J63" s="1150"/>
    </row>
    <row r="64" spans="1:189" s="1152" customFormat="1" ht="15.95" customHeight="1">
      <c r="A64" s="639"/>
      <c r="B64" s="465"/>
      <c r="C64" s="1554" t="e">
        <f>#REF!</f>
        <v>#REF!</v>
      </c>
      <c r="D64" s="1711">
        <f>J64</f>
        <v>0</v>
      </c>
      <c r="E64" s="547" t="e">
        <f>#REF!</f>
        <v>#REF!</v>
      </c>
      <c r="F64" s="547" t="e">
        <f>+D64*E64</f>
        <v>#REF!</v>
      </c>
      <c r="G64" s="1149"/>
      <c r="H64" s="1673">
        <f>11*(14*0+15)</f>
        <v>165</v>
      </c>
      <c r="I64" s="1674">
        <f>1*0</f>
        <v>0</v>
      </c>
      <c r="J64" s="1150">
        <f>H64*I64</f>
        <v>0</v>
      </c>
      <c r="K64" s="1152" t="s">
        <v>353</v>
      </c>
    </row>
    <row r="65" spans="1:12" s="1160" customFormat="1" ht="15.95" customHeight="1">
      <c r="A65" s="745" t="e">
        <f>+#REF!</f>
        <v>#REF!</v>
      </c>
      <c r="B65" s="768" t="e">
        <f>+#REF!</f>
        <v>#REF!</v>
      </c>
      <c r="C65" s="1617"/>
      <c r="D65" s="954"/>
      <c r="E65" s="544"/>
      <c r="F65" s="544"/>
      <c r="H65" s="1161"/>
      <c r="I65" s="1162"/>
      <c r="J65" s="1161"/>
    </row>
    <row r="66" spans="1:12" s="1160" customFormat="1" ht="15.95" customHeight="1">
      <c r="A66" s="639"/>
      <c r="B66" s="465"/>
      <c r="C66" s="1554" t="e">
        <f>#REF!</f>
        <v>#REF!</v>
      </c>
      <c r="D66" s="1711">
        <f>J66</f>
        <v>0</v>
      </c>
      <c r="E66" s="547" t="e">
        <f>#REF!</f>
        <v>#REF!</v>
      </c>
      <c r="F66" s="650" t="e">
        <f>+D66*E66</f>
        <v>#REF!</v>
      </c>
      <c r="H66" s="1161">
        <f>162*0</f>
        <v>0</v>
      </c>
      <c r="I66" s="1162">
        <v>1.1000000000000001</v>
      </c>
      <c r="J66" s="1161">
        <f>H66*I66</f>
        <v>0</v>
      </c>
    </row>
    <row r="67" spans="1:12" s="1152" customFormat="1" ht="18.75">
      <c r="A67" s="1125"/>
      <c r="B67" s="1129"/>
      <c r="C67" s="1608"/>
      <c r="D67" s="636"/>
      <c r="E67" s="1609" t="s">
        <v>111</v>
      </c>
      <c r="F67" s="1122" t="e">
        <f>SUM(F46:F66)</f>
        <v>#REF!</v>
      </c>
      <c r="G67" s="1149"/>
      <c r="H67" s="1150"/>
      <c r="I67" s="1151"/>
      <c r="J67" s="1150"/>
    </row>
    <row r="68" spans="1:12" s="1146" customFormat="1" ht="15" customHeight="1">
      <c r="A68" s="1126"/>
      <c r="B68" s="1127"/>
      <c r="C68" s="188"/>
      <c r="D68" s="410"/>
      <c r="E68" s="568"/>
      <c r="F68" s="568"/>
      <c r="G68" s="44"/>
      <c r="H68" s="1144"/>
      <c r="I68" s="1145"/>
      <c r="J68" s="1144"/>
    </row>
    <row r="69" spans="1:12" s="1146" customFormat="1" ht="24.95" customHeight="1">
      <c r="A69" s="1905" t="e">
        <f>+#REF!</f>
        <v>#REF!</v>
      </c>
      <c r="B69" s="1906"/>
      <c r="C69" s="1906"/>
      <c r="D69" s="1906"/>
      <c r="E69" s="1906"/>
      <c r="F69" s="1907"/>
      <c r="G69" s="44"/>
      <c r="H69" s="1144"/>
      <c r="I69" s="1145"/>
      <c r="J69" s="1144"/>
    </row>
    <row r="70" spans="1:12" s="1152" customFormat="1">
      <c r="A70" s="830" t="e">
        <f>+#REF!</f>
        <v>#REF!</v>
      </c>
      <c r="B70" s="768" t="e">
        <f>+#REF!</f>
        <v>#REF!</v>
      </c>
      <c r="C70" s="1478"/>
      <c r="D70" s="954"/>
      <c r="E70" s="544"/>
      <c r="F70" s="544"/>
      <c r="G70" s="1149"/>
      <c r="H70" s="1150"/>
      <c r="I70" s="1151"/>
      <c r="J70" s="1150"/>
    </row>
    <row r="71" spans="1:12" s="1152" customFormat="1">
      <c r="A71" s="1619" t="e">
        <f>+#REF!</f>
        <v>#REF!</v>
      </c>
      <c r="B71" s="467" t="e">
        <f>+#REF!</f>
        <v>#REF!</v>
      </c>
      <c r="C71" s="1714" t="e">
        <f>#REF!</f>
        <v>#REF!</v>
      </c>
      <c r="D71" s="1711">
        <f>J71</f>
        <v>0</v>
      </c>
      <c r="E71" s="547" t="e">
        <f>#REF!</f>
        <v>#REF!</v>
      </c>
      <c r="F71" s="547" t="e">
        <f>+D71*E71</f>
        <v>#REF!</v>
      </c>
      <c r="G71" s="1149"/>
      <c r="H71" s="1163">
        <f>+F15*0.7*10</f>
        <v>0</v>
      </c>
      <c r="I71" s="1151">
        <v>1.1000000000000001</v>
      </c>
      <c r="J71" s="1150">
        <f>H71*I71</f>
        <v>0</v>
      </c>
      <c r="L71" s="1152" t="s">
        <v>354</v>
      </c>
    </row>
    <row r="72" spans="1:12" s="1152" customFormat="1">
      <c r="A72" s="830" t="e">
        <f>+#REF!</f>
        <v>#REF!</v>
      </c>
      <c r="B72" s="768" t="e">
        <f>+#REF!</f>
        <v>#REF!</v>
      </c>
      <c r="C72" s="1478"/>
      <c r="D72" s="954"/>
      <c r="E72" s="544"/>
      <c r="F72" s="544"/>
      <c r="G72" s="1149"/>
      <c r="H72" s="1150"/>
      <c r="I72" s="1151"/>
      <c r="J72" s="1150">
        <f>J71*0</f>
        <v>0</v>
      </c>
    </row>
    <row r="73" spans="1:12" s="1152" customFormat="1">
      <c r="A73" s="1615"/>
      <c r="B73" s="467"/>
      <c r="C73" s="1714" t="e">
        <f>#REF!</f>
        <v>#REF!</v>
      </c>
      <c r="D73" s="1711">
        <f>D71*0.1</f>
        <v>0</v>
      </c>
      <c r="E73" s="547" t="e">
        <f>#REF!</f>
        <v>#REF!</v>
      </c>
      <c r="F73" s="547" t="e">
        <f>+D73*E73</f>
        <v>#REF!</v>
      </c>
      <c r="G73" s="1149"/>
      <c r="H73" s="1150"/>
      <c r="I73" s="1151"/>
      <c r="J73" s="1150"/>
    </row>
    <row r="74" spans="1:12" s="1152" customFormat="1">
      <c r="A74" s="830" t="e">
        <f>+#REF!</f>
        <v>#REF!</v>
      </c>
      <c r="B74" s="768" t="e">
        <f>+#REF!</f>
        <v>#REF!</v>
      </c>
      <c r="C74" s="1478"/>
      <c r="D74" s="954"/>
      <c r="E74" s="544"/>
      <c r="F74" s="544"/>
      <c r="G74" s="1149"/>
      <c r="H74" s="1150"/>
      <c r="I74" s="1151"/>
      <c r="J74" s="1150"/>
    </row>
    <row r="75" spans="1:12" s="1152" customFormat="1">
      <c r="A75" s="1615"/>
      <c r="B75" s="467"/>
      <c r="C75" s="1714" t="e">
        <f>#REF!</f>
        <v>#REF!</v>
      </c>
      <c r="D75" s="1711">
        <f>+K75</f>
        <v>0</v>
      </c>
      <c r="E75" s="547" t="e">
        <f>#REF!</f>
        <v>#REF!</v>
      </c>
      <c r="F75" s="547" t="e">
        <f>+D75*E75</f>
        <v>#REF!</v>
      </c>
      <c r="G75" s="1149"/>
      <c r="H75" s="1150">
        <f>+H71*0.3</f>
        <v>0</v>
      </c>
      <c r="I75" s="1151">
        <v>1.1000000000000001</v>
      </c>
      <c r="J75" s="1150">
        <f>H75*I75</f>
        <v>0</v>
      </c>
      <c r="K75" s="1152">
        <f>J75-J72</f>
        <v>0</v>
      </c>
    </row>
    <row r="76" spans="1:12" s="1164" customFormat="1">
      <c r="A76" s="745" t="e">
        <f>+#REF!</f>
        <v>#REF!</v>
      </c>
      <c r="B76" s="768" t="e">
        <f>+#REF!</f>
        <v>#REF!</v>
      </c>
      <c r="C76" s="1478"/>
      <c r="D76" s="954"/>
      <c r="E76" s="544"/>
      <c r="F76" s="544"/>
      <c r="H76" s="1165"/>
      <c r="I76" s="1166"/>
      <c r="J76" s="1165"/>
    </row>
    <row r="77" spans="1:12" s="1164" customFormat="1">
      <c r="A77" s="1615"/>
      <c r="B77" s="467"/>
      <c r="C77" s="1714" t="e">
        <f>#REF!</f>
        <v>#REF!</v>
      </c>
      <c r="D77" s="1711">
        <f>+J77</f>
        <v>0</v>
      </c>
      <c r="E77" s="1549" t="e">
        <f>+#REF!</f>
        <v>#REF!</v>
      </c>
      <c r="F77" s="547" t="e">
        <f t="shared" ref="F77" si="4">+D77*E77</f>
        <v>#REF!</v>
      </c>
      <c r="H77" s="1165">
        <f>+H164/0.2</f>
        <v>2280</v>
      </c>
      <c r="I77" s="1166">
        <f>1.1*0</f>
        <v>0</v>
      </c>
      <c r="J77" s="1165">
        <f>+H77*I77</f>
        <v>0</v>
      </c>
    </row>
    <row r="78" spans="1:12" s="1152" customFormat="1" ht="18.75">
      <c r="A78" s="1123"/>
      <c r="B78" s="1124"/>
      <c r="C78" s="1608"/>
      <c r="D78" s="636"/>
      <c r="E78" s="1609" t="s">
        <v>110</v>
      </c>
      <c r="F78" s="1122" t="e">
        <f>SUM(F70:F77)</f>
        <v>#REF!</v>
      </c>
      <c r="G78" s="1149"/>
      <c r="H78" s="1150"/>
      <c r="I78" s="1151"/>
      <c r="J78" s="1150"/>
    </row>
    <row r="79" spans="1:12" s="1146" customFormat="1" ht="15" customHeight="1">
      <c r="A79" s="1113"/>
      <c r="B79" s="1130"/>
      <c r="C79" s="926"/>
      <c r="D79" s="1114"/>
      <c r="E79" s="926"/>
      <c r="F79" s="118"/>
      <c r="G79" s="44"/>
      <c r="H79" s="1144"/>
      <c r="I79" s="1145"/>
      <c r="J79" s="1144"/>
    </row>
    <row r="80" spans="1:12" s="1146" customFormat="1" ht="24.95" customHeight="1">
      <c r="A80" s="1905" t="e">
        <f>+#REF!</f>
        <v>#REF!</v>
      </c>
      <c r="B80" s="1906"/>
      <c r="C80" s="1906"/>
      <c r="D80" s="1906"/>
      <c r="E80" s="1906"/>
      <c r="F80" s="1907"/>
      <c r="G80" s="44"/>
      <c r="H80" s="145">
        <f>+J87*0.15</f>
        <v>0</v>
      </c>
      <c r="I80" s="1145">
        <v>1.05</v>
      </c>
      <c r="J80" s="1144">
        <f>H80*I80</f>
        <v>0</v>
      </c>
    </row>
    <row r="81" spans="1:11" s="1152" customFormat="1" ht="30" customHeight="1">
      <c r="A81" s="745" t="e">
        <f>+#REF!</f>
        <v>#REF!</v>
      </c>
      <c r="B81" s="1448" t="e">
        <f>+#REF!</f>
        <v>#REF!</v>
      </c>
      <c r="C81" s="1478"/>
      <c r="D81" s="543"/>
      <c r="E81" s="544"/>
      <c r="F81" s="544"/>
      <c r="G81" s="1149"/>
      <c r="H81" s="1150"/>
      <c r="I81" s="1151"/>
      <c r="J81" s="1150"/>
      <c r="K81" s="1152" t="s">
        <v>273</v>
      </c>
    </row>
    <row r="82" spans="1:11" s="1152" customFormat="1">
      <c r="A82" s="1615" t="e">
        <f>+#REF!</f>
        <v>#REF!</v>
      </c>
      <c r="B82" s="1280" t="e">
        <f>+#REF!</f>
        <v>#REF!</v>
      </c>
      <c r="C82" s="1714" t="e">
        <f>#REF!</f>
        <v>#REF!</v>
      </c>
      <c r="D82" s="1711">
        <f>J82</f>
        <v>0</v>
      </c>
      <c r="E82" s="547" t="e">
        <f>#REF!</f>
        <v>#REF!</v>
      </c>
      <c r="F82" s="547" t="e">
        <f>+D82*E82</f>
        <v>#REF!</v>
      </c>
      <c r="G82" s="1149"/>
      <c r="H82" s="781">
        <f>+J87*0.35+J88*0.2</f>
        <v>0</v>
      </c>
      <c r="I82" s="1151">
        <v>1.05</v>
      </c>
      <c r="J82" s="1150">
        <f>H82*I82</f>
        <v>0</v>
      </c>
    </row>
    <row r="83" spans="1:11" s="1152" customFormat="1">
      <c r="A83" s="745" t="e">
        <f>+#REF!</f>
        <v>#REF!</v>
      </c>
      <c r="B83" s="830" t="e">
        <f>+#REF!</f>
        <v>#REF!</v>
      </c>
      <c r="C83" s="1478"/>
      <c r="D83" s="543"/>
      <c r="E83" s="544"/>
      <c r="F83" s="544"/>
      <c r="G83" s="1149"/>
      <c r="H83" s="1150"/>
      <c r="I83" s="1151"/>
      <c r="J83" s="1150"/>
    </row>
    <row r="84" spans="1:11" s="1152" customFormat="1">
      <c r="A84" s="1615"/>
      <c r="B84" s="1280"/>
      <c r="C84" s="1714" t="e">
        <f>#REF!</f>
        <v>#REF!</v>
      </c>
      <c r="D84" s="1711">
        <f>J84</f>
        <v>0</v>
      </c>
      <c r="E84" s="547" t="e">
        <f>#REF!</f>
        <v>#REF!</v>
      </c>
      <c r="F84" s="547" t="e">
        <f>+D84*E84</f>
        <v>#REF!</v>
      </c>
      <c r="G84" s="1149"/>
      <c r="H84" s="1150">
        <f>H80*1950*5%</f>
        <v>0</v>
      </c>
      <c r="I84" s="1151">
        <v>1.05</v>
      </c>
      <c r="J84" s="1150">
        <f>H84*I84</f>
        <v>0</v>
      </c>
    </row>
    <row r="85" spans="1:11" s="1152" customFormat="1">
      <c r="A85" s="745" t="e">
        <f>+#REF!</f>
        <v>#REF!</v>
      </c>
      <c r="B85" s="830" t="e">
        <f>+#REF!</f>
        <v>#REF!</v>
      </c>
      <c r="C85" s="1713"/>
      <c r="D85" s="650"/>
      <c r="E85" s="650"/>
      <c r="F85" s="650"/>
      <c r="G85" s="1149"/>
      <c r="H85" s="1150"/>
      <c r="I85" s="1151"/>
      <c r="J85" s="1150"/>
    </row>
    <row r="86" spans="1:11" s="1152" customFormat="1">
      <c r="A86" s="791" t="e">
        <f>+#REF!</f>
        <v>#REF!</v>
      </c>
      <c r="B86" s="824" t="e">
        <f>+#REF!</f>
        <v>#REF!</v>
      </c>
      <c r="C86" s="1713"/>
      <c r="D86" s="650"/>
      <c r="E86" s="650"/>
      <c r="F86" s="650"/>
      <c r="G86" s="1149"/>
      <c r="H86" s="1150"/>
      <c r="I86" s="1151"/>
      <c r="J86" s="1150"/>
    </row>
    <row r="87" spans="1:11" s="1152" customFormat="1">
      <c r="A87" s="484" t="e">
        <f>+#REF!</f>
        <v>#REF!</v>
      </c>
      <c r="B87" s="239" t="e">
        <f>+#REF!</f>
        <v>#REF!</v>
      </c>
      <c r="C87" s="1713" t="e">
        <f>#REF!</f>
        <v>#REF!</v>
      </c>
      <c r="D87" s="650">
        <f>+J87*0.91</f>
        <v>0</v>
      </c>
      <c r="E87" s="650" t="e">
        <f>+#REF!</f>
        <v>#REF!</v>
      </c>
      <c r="F87" s="650" t="e">
        <f>+D87*E87</f>
        <v>#REF!</v>
      </c>
      <c r="G87" s="1149"/>
      <c r="H87" s="698">
        <f>+H19*0</f>
        <v>0</v>
      </c>
      <c r="I87" s="1151">
        <v>1.05</v>
      </c>
      <c r="J87" s="1150">
        <f>+H87*I87</f>
        <v>0</v>
      </c>
    </row>
    <row r="88" spans="1:11" s="1152" customFormat="1">
      <c r="A88" s="484" t="e">
        <f>+#REF!</f>
        <v>#REF!</v>
      </c>
      <c r="B88" s="239" t="e">
        <f>+#REF!</f>
        <v>#REF!</v>
      </c>
      <c r="C88" s="1713" t="e">
        <f>#REF!</f>
        <v>#REF!</v>
      </c>
      <c r="D88" s="650">
        <f>+J88*0.83</f>
        <v>0</v>
      </c>
      <c r="E88" s="650" t="e">
        <f>+#REF!</f>
        <v>#REF!</v>
      </c>
      <c r="F88" s="650" t="e">
        <f t="shared" ref="F88:F107" si="5">+D88*E88</f>
        <v>#REF!</v>
      </c>
      <c r="G88" s="1149"/>
      <c r="H88" s="1150">
        <f>+J19</f>
        <v>0</v>
      </c>
      <c r="I88" s="1151">
        <v>1.05</v>
      </c>
      <c r="J88" s="1150">
        <f>+H88*I88</f>
        <v>0</v>
      </c>
    </row>
    <row r="89" spans="1:11" s="1152" customFormat="1">
      <c r="A89" s="791" t="e">
        <f>+#REF!</f>
        <v>#REF!</v>
      </c>
      <c r="B89" s="824" t="e">
        <f>+#REF!</f>
        <v>#REF!</v>
      </c>
      <c r="C89" s="1713"/>
      <c r="D89" s="1710"/>
      <c r="E89" s="650"/>
      <c r="F89" s="650"/>
      <c r="G89" s="1149"/>
      <c r="H89" s="1150"/>
      <c r="I89" s="1151">
        <v>1.05</v>
      </c>
      <c r="J89" s="1150">
        <f t="shared" ref="J89:J95" si="6">+H89*I89</f>
        <v>0</v>
      </c>
    </row>
    <row r="90" spans="1:11" s="1152" customFormat="1">
      <c r="A90" s="484" t="e">
        <f>+#REF!</f>
        <v>#REF!</v>
      </c>
      <c r="B90" s="239" t="e">
        <f>+#REF!</f>
        <v>#REF!</v>
      </c>
      <c r="C90" s="1713" t="e">
        <f>#REF!</f>
        <v>#REF!</v>
      </c>
      <c r="D90" s="1710">
        <f>+D87</f>
        <v>0</v>
      </c>
      <c r="E90" s="650" t="e">
        <f>+#REF!</f>
        <v>#REF!</v>
      </c>
      <c r="F90" s="650" t="e">
        <f t="shared" si="5"/>
        <v>#REF!</v>
      </c>
      <c r="G90" s="1149"/>
      <c r="H90" s="1150"/>
      <c r="I90" s="1151">
        <v>1.05</v>
      </c>
      <c r="J90" s="1150">
        <f t="shared" si="6"/>
        <v>0</v>
      </c>
    </row>
    <row r="91" spans="1:11" s="1152" customFormat="1">
      <c r="A91" s="1615" t="e">
        <f>+#REF!</f>
        <v>#REF!</v>
      </c>
      <c r="B91" s="1280" t="e">
        <f>+#REF!</f>
        <v>#REF!</v>
      </c>
      <c r="C91" s="1714" t="e">
        <f>#REF!</f>
        <v>#REF!</v>
      </c>
      <c r="D91" s="1711">
        <f>+D88</f>
        <v>0</v>
      </c>
      <c r="E91" s="547" t="e">
        <f>+#REF!</f>
        <v>#REF!</v>
      </c>
      <c r="F91" s="547" t="e">
        <f t="shared" si="5"/>
        <v>#REF!</v>
      </c>
      <c r="G91" s="1149"/>
      <c r="H91" s="1150"/>
      <c r="I91" s="1151">
        <v>1.05</v>
      </c>
      <c r="J91" s="1150">
        <f t="shared" si="6"/>
        <v>0</v>
      </c>
    </row>
    <row r="92" spans="1:11" s="1152" customFormat="1">
      <c r="A92" s="745" t="e">
        <f>+#REF!</f>
        <v>#REF!</v>
      </c>
      <c r="B92" s="830" t="e">
        <f>+#REF!</f>
        <v>#REF!</v>
      </c>
      <c r="C92" s="1713"/>
      <c r="D92" s="1710"/>
      <c r="E92" s="650"/>
      <c r="F92" s="962"/>
      <c r="G92" s="1149"/>
      <c r="H92" s="1150"/>
      <c r="I92" s="1151">
        <v>1.05</v>
      </c>
      <c r="J92" s="1150">
        <f t="shared" si="6"/>
        <v>0</v>
      </c>
    </row>
    <row r="93" spans="1:11" s="1152" customFormat="1">
      <c r="A93" s="791" t="e">
        <f>+#REF!</f>
        <v>#REF!</v>
      </c>
      <c r="B93" s="824" t="e">
        <f>+#REF!</f>
        <v>#REF!</v>
      </c>
      <c r="C93" s="1713"/>
      <c r="D93" s="1710"/>
      <c r="E93" s="650"/>
      <c r="F93" s="962"/>
      <c r="G93" s="1149"/>
      <c r="H93" s="1150"/>
      <c r="I93" s="1151">
        <v>1.05</v>
      </c>
      <c r="J93" s="1150">
        <f t="shared" si="6"/>
        <v>0</v>
      </c>
    </row>
    <row r="94" spans="1:11" s="1152" customFormat="1">
      <c r="A94" s="484" t="e">
        <f>+#REF!</f>
        <v>#REF!</v>
      </c>
      <c r="B94" s="239" t="e">
        <f>+#REF!</f>
        <v>#REF!</v>
      </c>
      <c r="C94" s="1713" t="e">
        <f>#REF!</f>
        <v>#REF!</v>
      </c>
      <c r="D94" s="1710">
        <f>+J94</f>
        <v>0</v>
      </c>
      <c r="E94" s="650" t="e">
        <f>+#REF!</f>
        <v>#REF!</v>
      </c>
      <c r="F94" s="962" t="e">
        <f t="shared" si="5"/>
        <v>#REF!</v>
      </c>
      <c r="G94" s="1149"/>
      <c r="H94" s="1150">
        <f>20*20*0</f>
        <v>0</v>
      </c>
      <c r="I94" s="1151">
        <v>1.05</v>
      </c>
      <c r="J94" s="1150">
        <f t="shared" si="6"/>
        <v>0</v>
      </c>
    </row>
    <row r="95" spans="1:11" s="1152" customFormat="1">
      <c r="A95" s="484" t="e">
        <f>+#REF!</f>
        <v>#REF!</v>
      </c>
      <c r="B95" s="239" t="e">
        <f>+#REF!</f>
        <v>#REF!</v>
      </c>
      <c r="C95" s="1713" t="e">
        <f>#REF!</f>
        <v>#REF!</v>
      </c>
      <c r="D95" s="1710">
        <f>+J95</f>
        <v>0</v>
      </c>
      <c r="E95" s="650" t="e">
        <f>+#REF!</f>
        <v>#REF!</v>
      </c>
      <c r="F95" s="962" t="e">
        <f t="shared" si="5"/>
        <v>#REF!</v>
      </c>
      <c r="G95" s="1149"/>
      <c r="H95" s="1150">
        <f>+F13+F14+F15*2+F16*2+F17*2+20*2*(50-35)*0</f>
        <v>0</v>
      </c>
      <c r="I95" s="1151">
        <v>0.2</v>
      </c>
      <c r="J95" s="1150">
        <f t="shared" si="6"/>
        <v>0</v>
      </c>
    </row>
    <row r="96" spans="1:11" s="1152" customFormat="1">
      <c r="A96" s="484" t="e">
        <f>+#REF!</f>
        <v>#REF!</v>
      </c>
      <c r="B96" s="239" t="e">
        <f>+#REF!</f>
        <v>#REF!</v>
      </c>
      <c r="C96" s="1713" t="e">
        <f>#REF!</f>
        <v>#REF!</v>
      </c>
      <c r="D96" s="1710">
        <f>+J96</f>
        <v>0</v>
      </c>
      <c r="E96" s="650" t="e">
        <f>+#REF!</f>
        <v>#REF!</v>
      </c>
      <c r="F96" s="962" t="e">
        <f t="shared" si="5"/>
        <v>#REF!</v>
      </c>
      <c r="G96" s="1149"/>
      <c r="H96" s="1150">
        <f>+(F13+F14+F15+F16)*2+F17*2+20*(50-35)*2*0</f>
        <v>0</v>
      </c>
      <c r="I96" s="1151">
        <v>1.05</v>
      </c>
      <c r="J96" s="1150">
        <f>+H96*I96</f>
        <v>0</v>
      </c>
    </row>
    <row r="97" spans="1:17" s="1152" customFormat="1">
      <c r="A97" s="791" t="e">
        <f>+#REF!</f>
        <v>#REF!</v>
      </c>
      <c r="B97" s="824" t="e">
        <f>+#REF!</f>
        <v>#REF!</v>
      </c>
      <c r="C97" s="1713"/>
      <c r="D97" s="1710"/>
      <c r="E97" s="650"/>
      <c r="F97" s="962"/>
      <c r="G97" s="1149"/>
      <c r="H97" s="1150"/>
      <c r="I97" s="1151"/>
      <c r="J97" s="1150"/>
    </row>
    <row r="98" spans="1:17" s="1152" customFormat="1">
      <c r="A98" s="484" t="e">
        <f>+#REF!</f>
        <v>#REF!</v>
      </c>
      <c r="B98" s="239" t="e">
        <f>+#REF!</f>
        <v>#REF!</v>
      </c>
      <c r="C98" s="1713" t="e">
        <f>#REF!</f>
        <v>#REF!</v>
      </c>
      <c r="D98" s="1710">
        <f>+D94</f>
        <v>0</v>
      </c>
      <c r="E98" s="650" t="e">
        <f>+#REF!</f>
        <v>#REF!</v>
      </c>
      <c r="F98" s="962" t="e">
        <f t="shared" si="5"/>
        <v>#REF!</v>
      </c>
      <c r="G98" s="1149"/>
      <c r="H98" s="1150"/>
      <c r="I98" s="1151"/>
      <c r="J98" s="1150"/>
    </row>
    <row r="99" spans="1:17" s="1152" customFormat="1">
      <c r="A99" s="484" t="e">
        <f>+#REF!</f>
        <v>#REF!</v>
      </c>
      <c r="B99" s="239" t="e">
        <f>+#REF!</f>
        <v>#REF!</v>
      </c>
      <c r="C99" s="1713" t="e">
        <f>#REF!</f>
        <v>#REF!</v>
      </c>
      <c r="D99" s="1710">
        <f>+D95</f>
        <v>0</v>
      </c>
      <c r="E99" s="650" t="e">
        <f>+#REF!</f>
        <v>#REF!</v>
      </c>
      <c r="F99" s="962" t="e">
        <f t="shared" si="5"/>
        <v>#REF!</v>
      </c>
      <c r="G99" s="1149"/>
      <c r="H99" s="1150"/>
      <c r="I99" s="1151"/>
      <c r="J99" s="1150"/>
    </row>
    <row r="100" spans="1:17" s="1152" customFormat="1">
      <c r="A100" s="1615" t="e">
        <f>+#REF!</f>
        <v>#REF!</v>
      </c>
      <c r="B100" s="1280" t="e">
        <f>+#REF!</f>
        <v>#REF!</v>
      </c>
      <c r="C100" s="1714" t="e">
        <f>#REF!</f>
        <v>#REF!</v>
      </c>
      <c r="D100" s="1711">
        <f>+D96</f>
        <v>0</v>
      </c>
      <c r="E100" s="547" t="e">
        <f>+#REF!</f>
        <v>#REF!</v>
      </c>
      <c r="F100" s="963" t="e">
        <f t="shared" si="5"/>
        <v>#REF!</v>
      </c>
      <c r="G100" s="1149"/>
      <c r="H100" s="1150"/>
      <c r="I100" s="1151"/>
      <c r="J100" s="1150"/>
    </row>
    <row r="101" spans="1:17" s="1152" customFormat="1" ht="30" customHeight="1">
      <c r="A101" s="745" t="e">
        <f>+#REF!</f>
        <v>#REF!</v>
      </c>
      <c r="B101" s="1614" t="e">
        <f>+#REF!</f>
        <v>#REF!</v>
      </c>
      <c r="C101" s="1713"/>
      <c r="D101" s="1710"/>
      <c r="E101" s="650"/>
      <c r="F101" s="962"/>
      <c r="G101" s="1149"/>
      <c r="H101" s="1150"/>
      <c r="I101" s="1151"/>
      <c r="J101" s="1150"/>
    </row>
    <row r="102" spans="1:17" s="1152" customFormat="1">
      <c r="A102" s="791" t="e">
        <f>+#REF!</f>
        <v>#REF!</v>
      </c>
      <c r="B102" s="1620" t="e">
        <f>+#REF!</f>
        <v>#REF!</v>
      </c>
      <c r="C102" s="1713"/>
      <c r="D102" s="1710"/>
      <c r="E102" s="650"/>
      <c r="F102" s="962"/>
      <c r="G102" s="1149"/>
      <c r="H102" s="1150"/>
      <c r="I102" s="1151"/>
      <c r="J102" s="1150">
        <v>1</v>
      </c>
      <c r="K102" s="1152">
        <v>1.5</v>
      </c>
      <c r="L102" s="1319">
        <f>+J132+J133</f>
        <v>0</v>
      </c>
      <c r="M102" s="1320">
        <f t="shared" ref="M102:M105" si="7">+J102*K102*L102</f>
        <v>0</v>
      </c>
      <c r="N102" s="1152">
        <v>1</v>
      </c>
      <c r="O102" s="1152">
        <v>1</v>
      </c>
      <c r="P102" s="1319"/>
      <c r="Q102" s="1152" t="s">
        <v>734</v>
      </c>
    </row>
    <row r="103" spans="1:17" s="1152" customFormat="1">
      <c r="A103" s="484" t="e">
        <f>+#REF!</f>
        <v>#REF!</v>
      </c>
      <c r="B103" s="1616" t="e">
        <f>+#REF!</f>
        <v>#REF!</v>
      </c>
      <c r="C103" s="1713" t="e">
        <f>#REF!</f>
        <v>#REF!</v>
      </c>
      <c r="D103" s="1710">
        <f>+D87*0.1</f>
        <v>0</v>
      </c>
      <c r="E103" s="650" t="e">
        <f>+#REF!</f>
        <v>#REF!</v>
      </c>
      <c r="F103" s="962" t="e">
        <f t="shared" si="5"/>
        <v>#REF!</v>
      </c>
      <c r="G103" s="1149"/>
      <c r="H103" s="1150"/>
      <c r="I103" s="1151"/>
      <c r="J103" s="1150">
        <f>1.5*2+0.3*3+0.1*2+1*2</f>
        <v>6.1</v>
      </c>
      <c r="K103" s="1152">
        <v>3</v>
      </c>
      <c r="L103" s="1319">
        <f>+D140</f>
        <v>129.80000000000001</v>
      </c>
      <c r="M103" s="1320">
        <f t="shared" si="7"/>
        <v>2375.3399999999997</v>
      </c>
      <c r="N103" s="1152">
        <f>1.5+0.3*3</f>
        <v>2.4</v>
      </c>
      <c r="P103" s="1319">
        <f>+Q103*L103*N103</f>
        <v>545.16000000000008</v>
      </c>
      <c r="Q103" s="1152">
        <f>1.5+0.25</f>
        <v>1.75</v>
      </c>
    </row>
    <row r="104" spans="1:17" s="1152" customFormat="1">
      <c r="A104" s="484" t="e">
        <f>+#REF!</f>
        <v>#REF!</v>
      </c>
      <c r="B104" s="1616" t="e">
        <f>+#REF!</f>
        <v>#REF!</v>
      </c>
      <c r="C104" s="1713" t="e">
        <f>#REF!</f>
        <v>#REF!</v>
      </c>
      <c r="D104" s="1710">
        <f>+D88*0.2</f>
        <v>0</v>
      </c>
      <c r="E104" s="650" t="e">
        <f>+#REF!</f>
        <v>#REF!</v>
      </c>
      <c r="F104" s="962" t="e">
        <f t="shared" si="5"/>
        <v>#REF!</v>
      </c>
      <c r="G104" s="1149"/>
      <c r="H104" s="1150"/>
      <c r="I104" s="1151"/>
      <c r="J104" s="1150">
        <f>1+0.1*2+0.6*2</f>
        <v>2.4</v>
      </c>
      <c r="K104" s="1152">
        <f>3.5*0</f>
        <v>0</v>
      </c>
      <c r="L104" s="1319"/>
      <c r="M104" s="1320">
        <f t="shared" si="7"/>
        <v>0</v>
      </c>
      <c r="N104" s="1152">
        <v>1.4</v>
      </c>
      <c r="O104" s="1152">
        <v>1</v>
      </c>
      <c r="P104" s="1319">
        <f t="shared" ref="P104:P107" si="8">+Q104*L104*N104</f>
        <v>0</v>
      </c>
    </row>
    <row r="105" spans="1:17" s="1152" customFormat="1">
      <c r="A105" s="791" t="e">
        <f>+#REF!</f>
        <v>#REF!</v>
      </c>
      <c r="B105" s="1620" t="e">
        <f>+#REF!</f>
        <v>#REF!</v>
      </c>
      <c r="C105" s="1713"/>
      <c r="D105" s="1710"/>
      <c r="E105" s="650"/>
      <c r="F105" s="962"/>
      <c r="G105" s="1149"/>
      <c r="H105" s="1150"/>
      <c r="I105" s="1151"/>
      <c r="J105" s="1150">
        <f>1.6*3+0.1*2+1*2</f>
        <v>7.0000000000000009</v>
      </c>
      <c r="K105" s="1152">
        <v>3</v>
      </c>
      <c r="L105" s="1318">
        <f>+J141</f>
        <v>0</v>
      </c>
      <c r="M105" s="1320">
        <f t="shared" si="7"/>
        <v>0</v>
      </c>
      <c r="N105" s="1152">
        <f>1.6*3+0.3*4</f>
        <v>6.0000000000000009</v>
      </c>
      <c r="O105" s="1152">
        <f>1.6+0.3*2</f>
        <v>2.2000000000000002</v>
      </c>
      <c r="P105" s="1319">
        <f t="shared" si="8"/>
        <v>0</v>
      </c>
    </row>
    <row r="106" spans="1:17" s="1152" customFormat="1">
      <c r="A106" s="484" t="e">
        <f>+#REF!</f>
        <v>#REF!</v>
      </c>
      <c r="B106" s="1616" t="e">
        <f>+#REF!</f>
        <v>#REF!</v>
      </c>
      <c r="C106" s="1713" t="e">
        <f>#REF!</f>
        <v>#REF!</v>
      </c>
      <c r="D106" s="1710">
        <f>+D103</f>
        <v>0</v>
      </c>
      <c r="E106" s="650" t="e">
        <f>+#REF!</f>
        <v>#REF!</v>
      </c>
      <c r="F106" s="962" t="e">
        <f t="shared" si="5"/>
        <v>#REF!</v>
      </c>
      <c r="G106" s="1149"/>
      <c r="H106" s="1150"/>
      <c r="I106" s="1151"/>
      <c r="J106" s="1150">
        <f>1.6*4+0.1*2+1*2</f>
        <v>8.6000000000000014</v>
      </c>
      <c r="K106" s="1152">
        <v>3</v>
      </c>
      <c r="L106" s="1318">
        <f>+D142</f>
        <v>158</v>
      </c>
      <c r="M106" s="1320">
        <f>+J106*K106*L106</f>
        <v>4076.4000000000005</v>
      </c>
      <c r="N106" s="1152">
        <f>1.6*4+0.3*5</f>
        <v>7.9</v>
      </c>
      <c r="O106" s="1152">
        <f t="shared" ref="O106:O107" si="9">1.6+0.3*2</f>
        <v>2.2000000000000002</v>
      </c>
      <c r="P106" s="1319">
        <f t="shared" si="8"/>
        <v>2371.5800000000004</v>
      </c>
      <c r="Q106" s="1152">
        <f>1.6+0.3</f>
        <v>1.9000000000000001</v>
      </c>
    </row>
    <row r="107" spans="1:17" s="1152" customFormat="1">
      <c r="A107" s="1615" t="e">
        <f>+#REF!</f>
        <v>#REF!</v>
      </c>
      <c r="B107" s="467" t="e">
        <f>+#REF!</f>
        <v>#REF!</v>
      </c>
      <c r="C107" s="1713" t="e">
        <f>#REF!</f>
        <v>#REF!</v>
      </c>
      <c r="D107" s="1710">
        <f>+D104</f>
        <v>0</v>
      </c>
      <c r="E107" s="650" t="e">
        <f>+#REF!</f>
        <v>#REF!</v>
      </c>
      <c r="F107" s="962" t="e">
        <f t="shared" si="5"/>
        <v>#REF!</v>
      </c>
      <c r="G107" s="1149"/>
      <c r="H107" s="1150"/>
      <c r="I107" s="1151"/>
      <c r="J107" s="1150">
        <f>1.6*5+0.1*2+1*2</f>
        <v>10.199999999999999</v>
      </c>
      <c r="K107" s="1152">
        <v>3</v>
      </c>
      <c r="L107" s="1318">
        <f>+D143</f>
        <v>289</v>
      </c>
      <c r="M107" s="1320">
        <f>+J107*K107*L107</f>
        <v>8843.4</v>
      </c>
      <c r="N107" s="1152">
        <f>5*1.6+0.3*6</f>
        <v>9.8000000000000007</v>
      </c>
      <c r="O107" s="1152">
        <f t="shared" si="9"/>
        <v>2.2000000000000002</v>
      </c>
      <c r="P107" s="1319">
        <f t="shared" si="8"/>
        <v>5381.18</v>
      </c>
      <c r="Q107" s="1152">
        <f>1.6+0.3</f>
        <v>1.9000000000000001</v>
      </c>
    </row>
    <row r="108" spans="1:17" s="1152" customFormat="1" ht="18.75">
      <c r="A108" s="1125"/>
      <c r="B108" s="1134"/>
      <c r="C108" s="1608"/>
      <c r="D108" s="636"/>
      <c r="E108" s="1609" t="s">
        <v>109</v>
      </c>
      <c r="F108" s="1122" t="e">
        <f>SUM(F81:F107)</f>
        <v>#REF!</v>
      </c>
      <c r="G108" s="1149"/>
      <c r="H108" s="1150"/>
      <c r="I108" s="1151"/>
      <c r="J108" s="1150"/>
      <c r="M108" s="1320">
        <f>SUM(M102:M107)</f>
        <v>15295.14</v>
      </c>
      <c r="P108" s="1152">
        <f>SUM(P102:P107)</f>
        <v>8297.9200000000019</v>
      </c>
    </row>
    <row r="109" spans="1:17" s="1146" customFormat="1" ht="15" customHeight="1">
      <c r="A109" s="1126"/>
      <c r="B109" s="1117"/>
      <c r="C109" s="188"/>
      <c r="D109" s="410"/>
      <c r="E109" s="1131"/>
      <c r="F109" s="1131"/>
      <c r="G109" s="44"/>
      <c r="H109" s="1144"/>
      <c r="I109" s="1145"/>
      <c r="J109" s="1144"/>
      <c r="L109" s="1146">
        <f>5.9/2</f>
        <v>2.95</v>
      </c>
    </row>
    <row r="110" spans="1:17" s="1146" customFormat="1" ht="24.95" customHeight="1">
      <c r="A110" s="1905" t="e">
        <f>+#REF!</f>
        <v>#REF!</v>
      </c>
      <c r="B110" s="1906"/>
      <c r="C110" s="1906"/>
      <c r="D110" s="1906"/>
      <c r="E110" s="1906"/>
      <c r="F110" s="1907"/>
      <c r="G110" s="44"/>
      <c r="H110" s="1144"/>
      <c r="I110" s="1145"/>
      <c r="J110" s="1144"/>
      <c r="L110" s="1146">
        <f>2.95*2</f>
        <v>5.9</v>
      </c>
    </row>
    <row r="111" spans="1:17" s="1146" customFormat="1">
      <c r="A111" s="1449" t="e">
        <f>+#REF!</f>
        <v>#REF!</v>
      </c>
      <c r="B111" s="1614" t="e">
        <f>+#REF!</f>
        <v>#REF!</v>
      </c>
      <c r="C111" s="1534"/>
      <c r="D111" s="543"/>
      <c r="E111" s="544"/>
      <c r="F111" s="1142"/>
      <c r="G111" s="44"/>
      <c r="H111" s="1144"/>
      <c r="I111" s="1145"/>
      <c r="J111" s="1144"/>
      <c r="L111" s="1146">
        <v>6.1</v>
      </c>
    </row>
    <row r="112" spans="1:17" s="1146" customFormat="1">
      <c r="A112" s="1621"/>
      <c r="B112" s="465"/>
      <c r="C112" s="1554" t="e">
        <f>#REF!</f>
        <v>#REF!</v>
      </c>
      <c r="D112" s="1711">
        <f>J112</f>
        <v>18354.167999999998</v>
      </c>
      <c r="E112" s="547" t="e">
        <f>#REF!</f>
        <v>#REF!</v>
      </c>
      <c r="F112" s="547" t="e">
        <f>+D112*E112</f>
        <v>#REF!</v>
      </c>
      <c r="G112" s="44"/>
      <c r="H112" s="1171">
        <f>+M108</f>
        <v>15295.14</v>
      </c>
      <c r="I112" s="1145">
        <v>1.2</v>
      </c>
      <c r="J112" s="1144">
        <f>H112*I112</f>
        <v>18354.167999999998</v>
      </c>
      <c r="K112" s="1146">
        <f>10*3*1500</f>
        <v>45000</v>
      </c>
      <c r="L112" s="1146">
        <f>2*9</f>
        <v>18</v>
      </c>
    </row>
    <row r="113" spans="1:14" s="1146" customFormat="1">
      <c r="A113" s="1449" t="e">
        <f>+#REF!</f>
        <v>#REF!</v>
      </c>
      <c r="B113" s="1614" t="e">
        <f>+#REF!</f>
        <v>#REF!</v>
      </c>
      <c r="C113" s="1534"/>
      <c r="D113" s="543"/>
      <c r="E113" s="544"/>
      <c r="F113" s="1142"/>
      <c r="G113" s="44"/>
      <c r="H113" s="1144"/>
      <c r="I113" s="1145"/>
      <c r="J113" s="1144"/>
      <c r="L113" s="1146">
        <f>2*2</f>
        <v>4</v>
      </c>
    </row>
    <row r="114" spans="1:14" s="1146" customFormat="1">
      <c r="A114" s="1621"/>
      <c r="B114" s="465"/>
      <c r="C114" s="1554" t="e">
        <f>#REF!</f>
        <v>#REF!</v>
      </c>
      <c r="D114" s="1711">
        <f>J114</f>
        <v>10495.829999999996</v>
      </c>
      <c r="E114" s="547" t="e">
        <f>#REF!</f>
        <v>#REF!</v>
      </c>
      <c r="F114" s="547" t="e">
        <f>+D114*E114</f>
        <v>#REF!</v>
      </c>
      <c r="G114" s="44"/>
      <c r="H114" s="1171">
        <f>+H112-P108</f>
        <v>6997.2199999999975</v>
      </c>
      <c r="I114" s="1145">
        <v>1.5</v>
      </c>
      <c r="J114" s="1144">
        <f>H114*I114</f>
        <v>10495.829999999996</v>
      </c>
      <c r="L114" s="1146">
        <f>2*3</f>
        <v>6</v>
      </c>
    </row>
    <row r="115" spans="1:14" s="1146" customFormat="1">
      <c r="A115" s="1449" t="e">
        <f>+#REF!</f>
        <v>#REF!</v>
      </c>
      <c r="B115" s="1614" t="e">
        <f>+#REF!</f>
        <v>#REF!</v>
      </c>
      <c r="C115" s="1534"/>
      <c r="D115" s="543"/>
      <c r="E115" s="544"/>
      <c r="F115" s="1142"/>
      <c r="G115" s="44"/>
      <c r="H115" s="1144"/>
      <c r="I115" s="1145"/>
      <c r="J115" s="1144"/>
    </row>
    <row r="116" spans="1:14" s="1146" customFormat="1">
      <c r="A116" s="1621"/>
      <c r="B116" s="465"/>
      <c r="C116" s="1554" t="e">
        <f>#REF!</f>
        <v>#REF!</v>
      </c>
      <c r="D116" s="1711">
        <f>100*0.6/3</f>
        <v>20</v>
      </c>
      <c r="E116" s="547" t="e">
        <f>#REF!</f>
        <v>#REF!</v>
      </c>
      <c r="F116" s="547" t="e">
        <f>+D116*E116</f>
        <v>#REF!</v>
      </c>
      <c r="G116" s="44"/>
      <c r="H116" s="1144"/>
      <c r="I116" s="1145"/>
      <c r="J116" s="1144"/>
    </row>
    <row r="117" spans="1:14" s="1146" customFormat="1">
      <c r="A117" s="1449" t="e">
        <f>+#REF!</f>
        <v>#REF!</v>
      </c>
      <c r="B117" s="1614" t="e">
        <f>+#REF!</f>
        <v>#REF!</v>
      </c>
      <c r="C117" s="1534"/>
      <c r="D117" s="543"/>
      <c r="E117" s="544"/>
      <c r="F117" s="1142"/>
      <c r="G117" s="44"/>
      <c r="H117" s="1144"/>
      <c r="I117" s="1145"/>
      <c r="J117" s="1144"/>
    </row>
    <row r="118" spans="1:14" s="1146" customFormat="1">
      <c r="A118" s="1621"/>
      <c r="B118" s="465"/>
      <c r="C118" s="1554" t="e">
        <f>#REF!</f>
        <v>#REF!</v>
      </c>
      <c r="D118" s="1711">
        <f>350</f>
        <v>350</v>
      </c>
      <c r="E118" s="547" t="e">
        <f>#REF!</f>
        <v>#REF!</v>
      </c>
      <c r="F118" s="547" t="e">
        <f>+D118*E118</f>
        <v>#REF!</v>
      </c>
      <c r="G118" s="44"/>
      <c r="H118" s="1144"/>
      <c r="I118" s="1145"/>
      <c r="J118" s="1144">
        <f>6.2+2</f>
        <v>8.1999999999999993</v>
      </c>
      <c r="K118" s="1146">
        <f>2</f>
        <v>2</v>
      </c>
    </row>
    <row r="119" spans="1:14" s="1146" customFormat="1">
      <c r="A119" s="1449" t="e">
        <f>+#REF!</f>
        <v>#REF!</v>
      </c>
      <c r="B119" s="1614" t="e">
        <f>+#REF!</f>
        <v>#REF!</v>
      </c>
      <c r="C119" s="1534"/>
      <c r="D119" s="543"/>
      <c r="E119" s="544"/>
      <c r="F119" s="1142"/>
      <c r="G119" s="44"/>
      <c r="H119" s="1144"/>
      <c r="I119" s="1145"/>
      <c r="J119" s="1144"/>
      <c r="K119" s="1146">
        <f>J118*K118/2</f>
        <v>8.1999999999999993</v>
      </c>
    </row>
    <row r="120" spans="1:14" s="1146" customFormat="1">
      <c r="A120" s="1621" t="e">
        <f>+#REF!</f>
        <v>#REF!</v>
      </c>
      <c r="B120" s="465" t="e">
        <f>+#REF!</f>
        <v>#REF!</v>
      </c>
      <c r="C120" s="1554" t="e">
        <f>#REF!</f>
        <v>#REF!</v>
      </c>
      <c r="D120" s="1711">
        <f>(D124)*110</f>
        <v>10725</v>
      </c>
      <c r="E120" s="547" t="e">
        <f>#REF!</f>
        <v>#REF!</v>
      </c>
      <c r="F120" s="547" t="e">
        <f>+D120*E120</f>
        <v>#REF!</v>
      </c>
      <c r="G120" s="44"/>
      <c r="H120" s="1144"/>
      <c r="I120" s="1145"/>
      <c r="J120" s="1144"/>
    </row>
    <row r="121" spans="1:14" s="1146" customFormat="1">
      <c r="A121" s="1449" t="e">
        <f>+#REF!</f>
        <v>#REF!</v>
      </c>
      <c r="B121" s="1614" t="e">
        <f>+#REF!</f>
        <v>#REF!</v>
      </c>
      <c r="C121" s="1534"/>
      <c r="D121" s="543"/>
      <c r="E121" s="544"/>
      <c r="F121" s="1142"/>
      <c r="G121" s="44"/>
      <c r="H121" s="1144"/>
      <c r="I121" s="1145"/>
      <c r="J121" s="1144"/>
      <c r="L121" s="1146">
        <f>0.1+0.25+0.25+0.25+0.1</f>
        <v>0.95</v>
      </c>
    </row>
    <row r="122" spans="1:14" s="1146" customFormat="1">
      <c r="A122" s="1621"/>
      <c r="B122" s="465"/>
      <c r="C122" s="1554" t="e">
        <f>#REF!</f>
        <v>#REF!</v>
      </c>
      <c r="D122" s="1711">
        <f>150*0.6/2</f>
        <v>45</v>
      </c>
      <c r="E122" s="547" t="e">
        <f>#REF!</f>
        <v>#REF!</v>
      </c>
      <c r="F122" s="547" t="e">
        <f>+D122*E122</f>
        <v>#REF!</v>
      </c>
      <c r="G122" s="44"/>
      <c r="H122" s="1144"/>
      <c r="I122" s="1145"/>
      <c r="J122" s="1144"/>
      <c r="L122" s="1146">
        <f>1*2+L121</f>
        <v>2.95</v>
      </c>
      <c r="N122" s="1146">
        <f>0.1+0.25+1.8+0.25</f>
        <v>2.4</v>
      </c>
    </row>
    <row r="123" spans="1:14" s="1146" customFormat="1">
      <c r="A123" s="1449" t="e">
        <f>+#REF!</f>
        <v>#REF!</v>
      </c>
      <c r="B123" s="1614" t="e">
        <f>+#REF!</f>
        <v>#REF!</v>
      </c>
      <c r="C123" s="1534"/>
      <c r="D123" s="543"/>
      <c r="E123" s="544"/>
      <c r="F123" s="1142"/>
      <c r="G123" s="44"/>
      <c r="H123" s="1144"/>
      <c r="I123" s="1145"/>
      <c r="J123" s="1144"/>
    </row>
    <row r="124" spans="1:14" s="1146" customFormat="1">
      <c r="A124" s="1621"/>
      <c r="B124" s="465"/>
      <c r="C124" s="1553" t="e">
        <f>#REF!</f>
        <v>#REF!</v>
      </c>
      <c r="D124" s="1710">
        <f>300*0.65/2</f>
        <v>97.5</v>
      </c>
      <c r="E124" s="650" t="e">
        <f>#REF!</f>
        <v>#REF!</v>
      </c>
      <c r="F124" s="650" t="e">
        <f>+D124*E124</f>
        <v>#REF!</v>
      </c>
      <c r="G124" s="44"/>
      <c r="H124" s="1144"/>
      <c r="I124" s="1145"/>
      <c r="J124" s="1144"/>
    </row>
    <row r="125" spans="1:14" s="1146" customFormat="1" ht="30" customHeight="1">
      <c r="A125" s="1449" t="e">
        <f>+#REF!</f>
        <v>#REF!</v>
      </c>
      <c r="B125" s="1614" t="e">
        <f>+#REF!</f>
        <v>#REF!</v>
      </c>
      <c r="C125" s="1617"/>
      <c r="D125" s="954"/>
      <c r="E125" s="544"/>
      <c r="F125" s="544"/>
      <c r="G125" s="44"/>
      <c r="H125" s="1144"/>
      <c r="I125" s="1145"/>
      <c r="J125" s="1144"/>
    </row>
    <row r="126" spans="1:14" s="1146" customFormat="1">
      <c r="A126" s="484" t="e">
        <f>+#REF!</f>
        <v>#REF!</v>
      </c>
      <c r="B126" s="1616" t="e">
        <f>+#REF!</f>
        <v>#REF!</v>
      </c>
      <c r="C126" s="1553" t="e">
        <f>#REF!</f>
        <v>#REF!</v>
      </c>
      <c r="D126" s="955">
        <f>J126</f>
        <v>0</v>
      </c>
      <c r="E126" s="650" t="e">
        <f>#REF!</f>
        <v>#REF!</v>
      </c>
      <c r="F126" s="650" t="e">
        <f>+D126*E126</f>
        <v>#REF!</v>
      </c>
      <c r="G126" s="44"/>
      <c r="H126" s="1144">
        <f>J62/10</f>
        <v>105.36500000000001</v>
      </c>
      <c r="I126" s="1145">
        <f>1*0</f>
        <v>0</v>
      </c>
      <c r="J126" s="1144">
        <f>H126*I126</f>
        <v>0</v>
      </c>
    </row>
    <row r="127" spans="1:14" s="1146" customFormat="1">
      <c r="A127" s="484" t="e">
        <f>+#REF!</f>
        <v>#REF!</v>
      </c>
      <c r="B127" s="1616" t="e">
        <f>+#REF!</f>
        <v>#REF!</v>
      </c>
      <c r="C127" s="1553" t="e">
        <f>#REF!</f>
        <v>#REF!</v>
      </c>
      <c r="D127" s="955">
        <f>J127</f>
        <v>0</v>
      </c>
      <c r="E127" s="650" t="e">
        <f>#REF!</f>
        <v>#REF!</v>
      </c>
      <c r="F127" s="650" t="e">
        <f>+D127*E127</f>
        <v>#REF!</v>
      </c>
      <c r="G127" s="44"/>
      <c r="H127" s="1144">
        <f>0.2%*H62</f>
        <v>42.146000000000001</v>
      </c>
      <c r="I127" s="1145">
        <f>1*0</f>
        <v>0</v>
      </c>
      <c r="J127" s="1144">
        <f>H127*I127</f>
        <v>0</v>
      </c>
    </row>
    <row r="128" spans="1:14" s="1146" customFormat="1">
      <c r="A128" s="1615" t="e">
        <f>+#REF!</f>
        <v>#REF!</v>
      </c>
      <c r="B128" s="467" t="e">
        <f>+#REF!</f>
        <v>#REF!</v>
      </c>
      <c r="C128" s="1554" t="e">
        <f>#REF!</f>
        <v>#REF!</v>
      </c>
      <c r="D128" s="1143">
        <f>H128</f>
        <v>0</v>
      </c>
      <c r="E128" s="547" t="e">
        <f>#REF!</f>
        <v>#REF!</v>
      </c>
      <c r="F128" s="547" t="e">
        <f>+D128*E128</f>
        <v>#REF!</v>
      </c>
      <c r="G128" s="44"/>
      <c r="H128" s="1144">
        <f>10*2*0</f>
        <v>0</v>
      </c>
      <c r="I128" s="1145"/>
      <c r="J128" s="1144"/>
    </row>
    <row r="129" spans="1:189" s="1146" customFormat="1">
      <c r="A129" s="1449" t="e">
        <f>+#REF!</f>
        <v>#REF!</v>
      </c>
      <c r="B129" s="1614" t="e">
        <f>+#REF!</f>
        <v>#REF!</v>
      </c>
      <c r="C129" s="1534"/>
      <c r="D129" s="543"/>
      <c r="E129" s="544"/>
      <c r="F129" s="1142"/>
      <c r="G129" s="44"/>
      <c r="H129" s="1144"/>
      <c r="I129" s="1145"/>
      <c r="J129" s="1144"/>
      <c r="L129" s="1146">
        <f>+(10+7)*2*2</f>
        <v>68</v>
      </c>
    </row>
    <row r="130" spans="1:189" s="1146" customFormat="1">
      <c r="A130" s="1621" t="e">
        <f>+#REF!</f>
        <v>#REF!</v>
      </c>
      <c r="B130" s="465" t="e">
        <f>+#REF!</f>
        <v>#REF!</v>
      </c>
      <c r="C130" s="1553" t="e">
        <f>#REF!</f>
        <v>#REF!</v>
      </c>
      <c r="D130" s="1710">
        <f>5*60*0</f>
        <v>0</v>
      </c>
      <c r="E130" s="650" t="e">
        <f>#REF!</f>
        <v>#REF!</v>
      </c>
      <c r="F130" s="650" t="e">
        <f>+D130*E130</f>
        <v>#REF!</v>
      </c>
      <c r="G130" s="44"/>
      <c r="H130" s="1144"/>
      <c r="I130" s="1145"/>
      <c r="J130" s="1144"/>
      <c r="L130" s="1172" t="e">
        <f>+#REF!+#REF!</f>
        <v>#REF!</v>
      </c>
    </row>
    <row r="131" spans="1:189" s="1158" customFormat="1">
      <c r="A131" s="1281" t="e">
        <f>+#REF!</f>
        <v>#REF!</v>
      </c>
      <c r="B131" s="1620" t="e">
        <f>+#REF!</f>
        <v>#REF!</v>
      </c>
      <c r="C131" s="1712"/>
      <c r="D131" s="1709"/>
      <c r="E131" s="544"/>
      <c r="F131" s="544"/>
      <c r="H131" s="1155"/>
      <c r="I131" s="1156"/>
      <c r="J131" s="1155"/>
      <c r="K131" s="1157"/>
      <c r="L131" s="1157"/>
      <c r="M131" s="1157"/>
      <c r="N131" s="1157"/>
      <c r="O131" s="1157"/>
      <c r="P131" s="1157"/>
      <c r="Q131" s="1157"/>
      <c r="R131" s="1157"/>
      <c r="S131" s="1157"/>
      <c r="T131" s="1157"/>
      <c r="U131" s="1157"/>
      <c r="V131" s="1157"/>
      <c r="W131" s="1157"/>
      <c r="X131" s="1157"/>
      <c r="Y131" s="1157"/>
      <c r="Z131" s="1157"/>
      <c r="AA131" s="1157"/>
      <c r="AB131" s="1157"/>
      <c r="AC131" s="1157"/>
      <c r="AD131" s="1157"/>
      <c r="AE131" s="1157"/>
      <c r="AF131" s="1157"/>
      <c r="AG131" s="1157"/>
      <c r="AH131" s="1157"/>
      <c r="AI131" s="1157"/>
      <c r="AJ131" s="1157"/>
      <c r="AK131" s="1157"/>
      <c r="AL131" s="1157"/>
      <c r="AM131" s="1157"/>
      <c r="AN131" s="1157"/>
      <c r="AO131" s="1157"/>
      <c r="AP131" s="1157"/>
      <c r="AQ131" s="1157"/>
      <c r="AR131" s="1157"/>
      <c r="AS131" s="1157"/>
      <c r="AT131" s="1157"/>
      <c r="AU131" s="1157"/>
      <c r="AV131" s="1157"/>
      <c r="AW131" s="1157"/>
      <c r="AX131" s="1157"/>
      <c r="AY131" s="1157"/>
      <c r="AZ131" s="1157"/>
      <c r="BA131" s="1157"/>
      <c r="BB131" s="1157"/>
      <c r="BC131" s="1157"/>
      <c r="BD131" s="1157"/>
      <c r="BE131" s="1157"/>
      <c r="BF131" s="1157"/>
      <c r="BG131" s="1157"/>
      <c r="BH131" s="1157"/>
      <c r="BI131" s="1157"/>
      <c r="BJ131" s="1157"/>
      <c r="BK131" s="1157"/>
      <c r="BL131" s="1157"/>
      <c r="BM131" s="1157"/>
      <c r="BN131" s="1157"/>
      <c r="BO131" s="1157"/>
      <c r="BP131" s="1157"/>
      <c r="BQ131" s="1157"/>
      <c r="BR131" s="1157"/>
      <c r="BS131" s="1157"/>
      <c r="BT131" s="1157"/>
      <c r="BU131" s="1157"/>
      <c r="BV131" s="1157"/>
      <c r="BW131" s="1157"/>
      <c r="BX131" s="1157"/>
      <c r="BY131" s="1157"/>
      <c r="BZ131" s="1157"/>
      <c r="CA131" s="1157"/>
      <c r="CB131" s="1157"/>
      <c r="CC131" s="1157"/>
      <c r="CD131" s="1157"/>
      <c r="CE131" s="1157"/>
      <c r="CF131" s="1157"/>
      <c r="CG131" s="1157"/>
      <c r="CH131" s="1157"/>
      <c r="CI131" s="1157"/>
      <c r="CJ131" s="1157"/>
      <c r="CK131" s="1157"/>
      <c r="CL131" s="1157"/>
      <c r="CM131" s="1157"/>
      <c r="CN131" s="1157"/>
      <c r="CO131" s="1157"/>
      <c r="CP131" s="1157"/>
      <c r="CQ131" s="1157"/>
      <c r="CR131" s="1157"/>
      <c r="CS131" s="1157"/>
      <c r="CT131" s="1157"/>
      <c r="CU131" s="1157"/>
      <c r="CV131" s="1157"/>
      <c r="CW131" s="1157"/>
      <c r="CX131" s="1157"/>
      <c r="CY131" s="1157"/>
      <c r="CZ131" s="1157"/>
      <c r="DA131" s="1157"/>
      <c r="DB131" s="1157"/>
      <c r="DC131" s="1157"/>
      <c r="DD131" s="1157"/>
      <c r="DE131" s="1157"/>
      <c r="DF131" s="1157"/>
      <c r="DG131" s="1157"/>
      <c r="DH131" s="1157"/>
      <c r="DI131" s="1157"/>
      <c r="DJ131" s="1157"/>
      <c r="DK131" s="1157"/>
      <c r="DL131" s="1157"/>
      <c r="DM131" s="1157"/>
      <c r="DN131" s="1157"/>
      <c r="DO131" s="1157"/>
      <c r="DP131" s="1157"/>
      <c r="DQ131" s="1157"/>
      <c r="DR131" s="1157"/>
      <c r="DS131" s="1157"/>
      <c r="DT131" s="1157"/>
      <c r="DU131" s="1157"/>
      <c r="DV131" s="1157"/>
      <c r="DW131" s="1157"/>
      <c r="DX131" s="1157"/>
      <c r="DY131" s="1157"/>
      <c r="DZ131" s="1157"/>
      <c r="EA131" s="1157"/>
      <c r="EB131" s="1157"/>
      <c r="EC131" s="1157"/>
      <c r="ED131" s="1157"/>
      <c r="EE131" s="1157"/>
      <c r="EF131" s="1157"/>
      <c r="EG131" s="1157"/>
      <c r="EH131" s="1157"/>
      <c r="EI131" s="1157"/>
      <c r="EJ131" s="1157"/>
      <c r="EK131" s="1157"/>
      <c r="EL131" s="1157"/>
      <c r="EM131" s="1157"/>
      <c r="EN131" s="1157"/>
      <c r="EO131" s="1157"/>
      <c r="EP131" s="1157"/>
      <c r="EQ131" s="1157"/>
      <c r="ER131" s="1157"/>
      <c r="ES131" s="1157"/>
      <c r="ET131" s="1157"/>
      <c r="EU131" s="1157"/>
      <c r="EV131" s="1157"/>
      <c r="EW131" s="1157"/>
      <c r="EX131" s="1157"/>
      <c r="EY131" s="1157"/>
      <c r="EZ131" s="1157"/>
      <c r="FA131" s="1157"/>
      <c r="FB131" s="1157"/>
      <c r="FC131" s="1157"/>
      <c r="FD131" s="1157"/>
      <c r="FE131" s="1157"/>
      <c r="FF131" s="1157"/>
      <c r="FG131" s="1157"/>
      <c r="FH131" s="1157"/>
      <c r="FI131" s="1157"/>
      <c r="FJ131" s="1157"/>
      <c r="FK131" s="1157"/>
      <c r="FL131" s="1157"/>
      <c r="FM131" s="1157"/>
      <c r="FN131" s="1157"/>
      <c r="FO131" s="1157"/>
      <c r="FP131" s="1157"/>
      <c r="FQ131" s="1157"/>
      <c r="FR131" s="1157"/>
      <c r="FS131" s="1157"/>
      <c r="FT131" s="1157"/>
      <c r="FU131" s="1157"/>
      <c r="FV131" s="1157"/>
      <c r="FW131" s="1157"/>
      <c r="FX131" s="1157"/>
      <c r="FY131" s="1157"/>
      <c r="FZ131" s="1157"/>
      <c r="GA131" s="1157"/>
      <c r="GB131" s="1157"/>
      <c r="GC131" s="1157"/>
      <c r="GD131" s="1157"/>
      <c r="GE131" s="1157"/>
      <c r="GF131" s="1157"/>
      <c r="GG131" s="1157"/>
    </row>
    <row r="132" spans="1:189" s="1158" customFormat="1">
      <c r="A132" s="484" t="e">
        <f>+#REF!</f>
        <v>#REF!</v>
      </c>
      <c r="B132" s="1616" t="e">
        <f>+#REF!</f>
        <v>#REF!</v>
      </c>
      <c r="C132" s="1713" t="e">
        <f>#REF!</f>
        <v>#REF!</v>
      </c>
      <c r="D132" s="1710">
        <f>J132</f>
        <v>0</v>
      </c>
      <c r="E132" s="650" t="e">
        <f>#REF!</f>
        <v>#REF!</v>
      </c>
      <c r="F132" s="650" t="e">
        <f t="shared" ref="F132:F140" si="10">+D132*E132</f>
        <v>#REF!</v>
      </c>
      <c r="H132" s="1155">
        <f>F7</f>
        <v>0</v>
      </c>
      <c r="I132" s="1156">
        <v>1.05</v>
      </c>
      <c r="J132" s="1155">
        <f t="shared" ref="J132:J140" si="11">H132*I132</f>
        <v>0</v>
      </c>
      <c r="K132" s="1157"/>
      <c r="L132" s="1157"/>
      <c r="M132" s="1157"/>
      <c r="N132" s="1157"/>
      <c r="O132" s="1157"/>
      <c r="P132" s="1157"/>
      <c r="Q132" s="1157"/>
      <c r="R132" s="1157"/>
      <c r="S132" s="1157"/>
      <c r="T132" s="1157"/>
      <c r="U132" s="1157"/>
      <c r="V132" s="1157"/>
      <c r="W132" s="1157"/>
      <c r="X132" s="1157"/>
      <c r="Y132" s="1157"/>
      <c r="Z132" s="1157"/>
      <c r="AA132" s="1157"/>
      <c r="AB132" s="1157"/>
      <c r="AC132" s="1157"/>
      <c r="AD132" s="1157"/>
      <c r="AE132" s="1157"/>
      <c r="AF132" s="1157"/>
      <c r="AG132" s="1157"/>
      <c r="AH132" s="1157"/>
      <c r="AI132" s="1157"/>
      <c r="AJ132" s="1157"/>
      <c r="AK132" s="1157"/>
      <c r="AL132" s="1157"/>
      <c r="AM132" s="1157"/>
      <c r="AN132" s="1157"/>
      <c r="AO132" s="1157"/>
      <c r="AP132" s="1157"/>
      <c r="AQ132" s="1157"/>
      <c r="AR132" s="1157"/>
      <c r="AS132" s="1157"/>
      <c r="AT132" s="1157"/>
      <c r="AU132" s="1157"/>
      <c r="AV132" s="1157"/>
      <c r="AW132" s="1157"/>
      <c r="AX132" s="1157"/>
      <c r="AY132" s="1157"/>
      <c r="AZ132" s="1157"/>
      <c r="BA132" s="1157"/>
      <c r="BB132" s="1157"/>
      <c r="BC132" s="1157"/>
      <c r="BD132" s="1157"/>
      <c r="BE132" s="1157"/>
      <c r="BF132" s="1157"/>
      <c r="BG132" s="1157"/>
      <c r="BH132" s="1157"/>
      <c r="BI132" s="1157"/>
      <c r="BJ132" s="1157"/>
      <c r="BK132" s="1157"/>
      <c r="BL132" s="1157"/>
      <c r="BM132" s="1157"/>
      <c r="BN132" s="1157"/>
      <c r="BO132" s="1157"/>
      <c r="BP132" s="1157"/>
      <c r="BQ132" s="1157"/>
      <c r="BR132" s="1157"/>
      <c r="BS132" s="1157"/>
      <c r="BT132" s="1157"/>
      <c r="BU132" s="1157"/>
      <c r="BV132" s="1157"/>
      <c r="BW132" s="1157"/>
      <c r="BX132" s="1157"/>
      <c r="BY132" s="1157"/>
      <c r="BZ132" s="1157"/>
      <c r="CA132" s="1157"/>
      <c r="CB132" s="1157"/>
      <c r="CC132" s="1157"/>
      <c r="CD132" s="1157"/>
      <c r="CE132" s="1157"/>
      <c r="CF132" s="1157"/>
      <c r="CG132" s="1157"/>
      <c r="CH132" s="1157"/>
      <c r="CI132" s="1157"/>
      <c r="CJ132" s="1157"/>
      <c r="CK132" s="1157"/>
      <c r="CL132" s="1157"/>
      <c r="CM132" s="1157"/>
      <c r="CN132" s="1157"/>
      <c r="CO132" s="1157"/>
      <c r="CP132" s="1157"/>
      <c r="CQ132" s="1157"/>
      <c r="CR132" s="1157"/>
      <c r="CS132" s="1157"/>
      <c r="CT132" s="1157"/>
      <c r="CU132" s="1157"/>
      <c r="CV132" s="1157"/>
      <c r="CW132" s="1157"/>
      <c r="CX132" s="1157"/>
      <c r="CY132" s="1157"/>
      <c r="CZ132" s="1157"/>
      <c r="DA132" s="1157"/>
      <c r="DB132" s="1157"/>
      <c r="DC132" s="1157"/>
      <c r="DD132" s="1157"/>
      <c r="DE132" s="1157"/>
      <c r="DF132" s="1157"/>
      <c r="DG132" s="1157"/>
      <c r="DH132" s="1157"/>
      <c r="DI132" s="1157"/>
      <c r="DJ132" s="1157"/>
      <c r="DK132" s="1157"/>
      <c r="DL132" s="1157"/>
      <c r="DM132" s="1157"/>
      <c r="DN132" s="1157"/>
      <c r="DO132" s="1157"/>
      <c r="DP132" s="1157"/>
      <c r="DQ132" s="1157"/>
      <c r="DR132" s="1157"/>
      <c r="DS132" s="1157"/>
      <c r="DT132" s="1157"/>
      <c r="DU132" s="1157"/>
      <c r="DV132" s="1157"/>
      <c r="DW132" s="1157"/>
      <c r="DX132" s="1157"/>
      <c r="DY132" s="1157"/>
      <c r="DZ132" s="1157"/>
      <c r="EA132" s="1157"/>
      <c r="EB132" s="1157"/>
      <c r="EC132" s="1157"/>
      <c r="ED132" s="1157"/>
      <c r="EE132" s="1157"/>
      <c r="EF132" s="1157"/>
      <c r="EG132" s="1157"/>
      <c r="EH132" s="1157"/>
      <c r="EI132" s="1157"/>
      <c r="EJ132" s="1157"/>
      <c r="EK132" s="1157"/>
      <c r="EL132" s="1157"/>
      <c r="EM132" s="1157"/>
      <c r="EN132" s="1157"/>
      <c r="EO132" s="1157"/>
      <c r="EP132" s="1157"/>
      <c r="EQ132" s="1157"/>
      <c r="ER132" s="1157"/>
      <c r="ES132" s="1157"/>
      <c r="ET132" s="1157"/>
      <c r="EU132" s="1157"/>
      <c r="EV132" s="1157"/>
      <c r="EW132" s="1157"/>
      <c r="EX132" s="1157"/>
      <c r="EY132" s="1157"/>
      <c r="EZ132" s="1157"/>
      <c r="FA132" s="1157"/>
      <c r="FB132" s="1157"/>
      <c r="FC132" s="1157"/>
      <c r="FD132" s="1157"/>
      <c r="FE132" s="1157"/>
      <c r="FF132" s="1157"/>
      <c r="FG132" s="1157"/>
      <c r="FH132" s="1157"/>
      <c r="FI132" s="1157"/>
      <c r="FJ132" s="1157"/>
      <c r="FK132" s="1157"/>
      <c r="FL132" s="1157"/>
      <c r="FM132" s="1157"/>
      <c r="FN132" s="1157"/>
      <c r="FO132" s="1157"/>
      <c r="FP132" s="1157"/>
      <c r="FQ132" s="1157"/>
      <c r="FR132" s="1157"/>
      <c r="FS132" s="1157"/>
      <c r="FT132" s="1157"/>
      <c r="FU132" s="1157"/>
      <c r="FV132" s="1157"/>
      <c r="FW132" s="1157"/>
      <c r="FX132" s="1157"/>
      <c r="FY132" s="1157"/>
      <c r="FZ132" s="1157"/>
      <c r="GA132" s="1157"/>
      <c r="GB132" s="1157"/>
      <c r="GC132" s="1157"/>
      <c r="GD132" s="1157"/>
      <c r="GE132" s="1157"/>
      <c r="GF132" s="1157"/>
      <c r="GG132" s="1157"/>
    </row>
    <row r="133" spans="1:189" s="1158" customFormat="1">
      <c r="A133" s="484" t="e">
        <f>+#REF!</f>
        <v>#REF!</v>
      </c>
      <c r="B133" s="1616" t="e">
        <f>+#REF!</f>
        <v>#REF!</v>
      </c>
      <c r="C133" s="1713" t="e">
        <f>#REF!</f>
        <v>#REF!</v>
      </c>
      <c r="D133" s="1710">
        <f t="shared" ref="D133:D140" si="12">J133</f>
        <v>0</v>
      </c>
      <c r="E133" s="650" t="e">
        <f>#REF!</f>
        <v>#REF!</v>
      </c>
      <c r="F133" s="650" t="e">
        <f t="shared" si="10"/>
        <v>#REF!</v>
      </c>
      <c r="H133" s="1155">
        <f>F6</f>
        <v>0</v>
      </c>
      <c r="I133" s="1156">
        <v>1.05</v>
      </c>
      <c r="J133" s="1155">
        <f t="shared" si="11"/>
        <v>0</v>
      </c>
      <c r="K133" s="1157"/>
      <c r="L133" s="1157"/>
      <c r="M133" s="1157"/>
      <c r="N133" s="1157"/>
      <c r="O133" s="1157"/>
      <c r="P133" s="1157"/>
      <c r="Q133" s="1157"/>
      <c r="R133" s="1157"/>
      <c r="S133" s="1157"/>
      <c r="T133" s="1157"/>
      <c r="U133" s="1157"/>
      <c r="V133" s="1157"/>
      <c r="W133" s="1157"/>
      <c r="X133" s="1157"/>
      <c r="Y133" s="1157"/>
      <c r="Z133" s="1157"/>
      <c r="AA133" s="1157"/>
      <c r="AB133" s="1157"/>
      <c r="AC133" s="1157"/>
      <c r="AD133" s="1157"/>
      <c r="AE133" s="1157"/>
      <c r="AF133" s="1157"/>
      <c r="AG133" s="1157"/>
      <c r="AH133" s="1157"/>
      <c r="AI133" s="1157"/>
      <c r="AJ133" s="1157"/>
      <c r="AK133" s="1157"/>
      <c r="AL133" s="1157"/>
      <c r="AM133" s="1157"/>
      <c r="AN133" s="1157"/>
      <c r="AO133" s="1157"/>
      <c r="AP133" s="1157"/>
      <c r="AQ133" s="1157"/>
      <c r="AR133" s="1157"/>
      <c r="AS133" s="1157"/>
      <c r="AT133" s="1157"/>
      <c r="AU133" s="1157"/>
      <c r="AV133" s="1157"/>
      <c r="AW133" s="1157"/>
      <c r="AX133" s="1157"/>
      <c r="AY133" s="1157"/>
      <c r="AZ133" s="1157"/>
      <c r="BA133" s="1157"/>
      <c r="BB133" s="1157"/>
      <c r="BC133" s="1157"/>
      <c r="BD133" s="1157"/>
      <c r="BE133" s="1157"/>
      <c r="BF133" s="1157"/>
      <c r="BG133" s="1157"/>
      <c r="BH133" s="1157"/>
      <c r="BI133" s="1157"/>
      <c r="BJ133" s="1157"/>
      <c r="BK133" s="1157"/>
      <c r="BL133" s="1157"/>
      <c r="BM133" s="1157"/>
      <c r="BN133" s="1157"/>
      <c r="BO133" s="1157"/>
      <c r="BP133" s="1157"/>
      <c r="BQ133" s="1157"/>
      <c r="BR133" s="1157"/>
      <c r="BS133" s="1157"/>
      <c r="BT133" s="1157"/>
      <c r="BU133" s="1157"/>
      <c r="BV133" s="1157"/>
      <c r="BW133" s="1157"/>
      <c r="BX133" s="1157"/>
      <c r="BY133" s="1157"/>
      <c r="BZ133" s="1157"/>
      <c r="CA133" s="1157"/>
      <c r="CB133" s="1157"/>
      <c r="CC133" s="1157"/>
      <c r="CD133" s="1157"/>
      <c r="CE133" s="1157"/>
      <c r="CF133" s="1157"/>
      <c r="CG133" s="1157"/>
      <c r="CH133" s="1157"/>
      <c r="CI133" s="1157"/>
      <c r="CJ133" s="1157"/>
      <c r="CK133" s="1157"/>
      <c r="CL133" s="1157"/>
      <c r="CM133" s="1157"/>
      <c r="CN133" s="1157"/>
      <c r="CO133" s="1157"/>
      <c r="CP133" s="1157"/>
      <c r="CQ133" s="1157"/>
      <c r="CR133" s="1157"/>
      <c r="CS133" s="1157"/>
      <c r="CT133" s="1157"/>
      <c r="CU133" s="1157"/>
      <c r="CV133" s="1157"/>
      <c r="CW133" s="1157"/>
      <c r="CX133" s="1157"/>
      <c r="CY133" s="1157"/>
      <c r="CZ133" s="1157"/>
      <c r="DA133" s="1157"/>
      <c r="DB133" s="1157"/>
      <c r="DC133" s="1157"/>
      <c r="DD133" s="1157"/>
      <c r="DE133" s="1157"/>
      <c r="DF133" s="1157"/>
      <c r="DG133" s="1157"/>
      <c r="DH133" s="1157"/>
      <c r="DI133" s="1157"/>
      <c r="DJ133" s="1157"/>
      <c r="DK133" s="1157"/>
      <c r="DL133" s="1157"/>
      <c r="DM133" s="1157"/>
      <c r="DN133" s="1157"/>
      <c r="DO133" s="1157"/>
      <c r="DP133" s="1157"/>
      <c r="DQ133" s="1157"/>
      <c r="DR133" s="1157"/>
      <c r="DS133" s="1157"/>
      <c r="DT133" s="1157"/>
      <c r="DU133" s="1157"/>
      <c r="DV133" s="1157"/>
      <c r="DW133" s="1157"/>
      <c r="DX133" s="1157"/>
      <c r="DY133" s="1157"/>
      <c r="DZ133" s="1157"/>
      <c r="EA133" s="1157"/>
      <c r="EB133" s="1157"/>
      <c r="EC133" s="1157"/>
      <c r="ED133" s="1157"/>
      <c r="EE133" s="1157"/>
      <c r="EF133" s="1157"/>
      <c r="EG133" s="1157"/>
      <c r="EH133" s="1157"/>
      <c r="EI133" s="1157"/>
      <c r="EJ133" s="1157"/>
      <c r="EK133" s="1157"/>
      <c r="EL133" s="1157"/>
      <c r="EM133" s="1157"/>
      <c r="EN133" s="1157"/>
      <c r="EO133" s="1157"/>
      <c r="EP133" s="1157"/>
      <c r="EQ133" s="1157"/>
      <c r="ER133" s="1157"/>
      <c r="ES133" s="1157"/>
      <c r="ET133" s="1157"/>
      <c r="EU133" s="1157"/>
      <c r="EV133" s="1157"/>
      <c r="EW133" s="1157"/>
      <c r="EX133" s="1157"/>
      <c r="EY133" s="1157"/>
      <c r="EZ133" s="1157"/>
      <c r="FA133" s="1157"/>
      <c r="FB133" s="1157"/>
      <c r="FC133" s="1157"/>
      <c r="FD133" s="1157"/>
      <c r="FE133" s="1157"/>
      <c r="FF133" s="1157"/>
      <c r="FG133" s="1157"/>
      <c r="FH133" s="1157"/>
      <c r="FI133" s="1157"/>
      <c r="FJ133" s="1157"/>
      <c r="FK133" s="1157"/>
      <c r="FL133" s="1157"/>
      <c r="FM133" s="1157"/>
      <c r="FN133" s="1157"/>
      <c r="FO133" s="1157"/>
      <c r="FP133" s="1157"/>
      <c r="FQ133" s="1157"/>
      <c r="FR133" s="1157"/>
      <c r="FS133" s="1157"/>
      <c r="FT133" s="1157"/>
      <c r="FU133" s="1157"/>
      <c r="FV133" s="1157"/>
      <c r="FW133" s="1157"/>
      <c r="FX133" s="1157"/>
      <c r="FY133" s="1157"/>
      <c r="FZ133" s="1157"/>
      <c r="GA133" s="1157"/>
      <c r="GB133" s="1157"/>
      <c r="GC133" s="1157"/>
      <c r="GD133" s="1157"/>
      <c r="GE133" s="1157"/>
      <c r="GF133" s="1157"/>
      <c r="GG133" s="1157"/>
    </row>
    <row r="134" spans="1:189" s="1174" customFormat="1">
      <c r="A134" s="484" t="e">
        <f>+#REF!</f>
        <v>#REF!</v>
      </c>
      <c r="B134" s="1616" t="e">
        <f>+#REF!</f>
        <v>#REF!</v>
      </c>
      <c r="C134" s="1713" t="e">
        <f>#REF!</f>
        <v>#REF!</v>
      </c>
      <c r="D134" s="1710">
        <f t="shared" si="12"/>
        <v>0</v>
      </c>
      <c r="E134" s="650" t="e">
        <f>#REF!</f>
        <v>#REF!</v>
      </c>
      <c r="F134" s="650" t="e">
        <f t="shared" si="10"/>
        <v>#REF!</v>
      </c>
      <c r="H134" s="1175">
        <f>F5</f>
        <v>0</v>
      </c>
      <c r="I134" s="1176">
        <v>1.05</v>
      </c>
      <c r="J134" s="1175">
        <f t="shared" si="11"/>
        <v>0</v>
      </c>
    </row>
    <row r="135" spans="1:189" s="1174" customFormat="1">
      <c r="A135" s="484" t="e">
        <f>+#REF!</f>
        <v>#REF!</v>
      </c>
      <c r="B135" s="1616" t="e">
        <f>+#REF!</f>
        <v>#REF!</v>
      </c>
      <c r="C135" s="1713" t="e">
        <f>#REF!</f>
        <v>#REF!</v>
      </c>
      <c r="D135" s="1710">
        <f t="shared" si="12"/>
        <v>0</v>
      </c>
      <c r="E135" s="650" t="e">
        <f>+#REF!</f>
        <v>#REF!</v>
      </c>
      <c r="F135" s="650" t="e">
        <f t="shared" si="10"/>
        <v>#REF!</v>
      </c>
      <c r="H135" s="1175">
        <f>F4</f>
        <v>0</v>
      </c>
      <c r="I135" s="1176">
        <v>1.05</v>
      </c>
      <c r="J135" s="1175">
        <f t="shared" si="11"/>
        <v>0</v>
      </c>
    </row>
    <row r="136" spans="1:189" s="1174" customFormat="1">
      <c r="A136" s="484" t="e">
        <f>+#REF!</f>
        <v>#REF!</v>
      </c>
      <c r="B136" s="1616" t="e">
        <f>+#REF!</f>
        <v>#REF!</v>
      </c>
      <c r="C136" s="1714" t="e">
        <f>#REF!</f>
        <v>#REF!</v>
      </c>
      <c r="D136" s="1711">
        <f t="shared" si="12"/>
        <v>0</v>
      </c>
      <c r="E136" s="547" t="e">
        <f>+#REF!</f>
        <v>#REF!</v>
      </c>
      <c r="F136" s="547" t="e">
        <f t="shared" si="10"/>
        <v>#REF!</v>
      </c>
      <c r="H136" s="1175">
        <f>F3</f>
        <v>0</v>
      </c>
      <c r="I136" s="1176">
        <v>1.05</v>
      </c>
      <c r="J136" s="1175">
        <f t="shared" si="11"/>
        <v>0</v>
      </c>
    </row>
    <row r="137" spans="1:189" s="1174" customFormat="1">
      <c r="A137" s="1449" t="e">
        <f>+#REF!</f>
        <v>#REF!</v>
      </c>
      <c r="B137" s="1614" t="e">
        <f>+#REF!</f>
        <v>#REF!</v>
      </c>
      <c r="C137" s="1562"/>
      <c r="D137" s="1709"/>
      <c r="E137" s="544"/>
      <c r="F137" s="544"/>
      <c r="H137" s="1175"/>
      <c r="I137" s="1176"/>
      <c r="J137" s="1175"/>
    </row>
    <row r="138" spans="1:189" s="1174" customFormat="1" ht="15" customHeight="1">
      <c r="A138" s="785" t="e">
        <f>+#REF!</f>
        <v>#REF!</v>
      </c>
      <c r="B138" s="786" t="e">
        <f>+#REF!</f>
        <v>#REF!</v>
      </c>
      <c r="C138" s="1553" t="e">
        <f>#REF!</f>
        <v>#REF!</v>
      </c>
      <c r="D138" s="1710">
        <f t="shared" si="12"/>
        <v>0</v>
      </c>
      <c r="E138" s="650" t="e">
        <f>+#REF!</f>
        <v>#REF!</v>
      </c>
      <c r="F138" s="650" t="e">
        <f t="shared" si="10"/>
        <v>#REF!</v>
      </c>
      <c r="H138" s="1175">
        <f>15*25</f>
        <v>375</v>
      </c>
      <c r="I138" s="1176">
        <f>1.1*0</f>
        <v>0</v>
      </c>
      <c r="J138" s="1175">
        <f t="shared" si="11"/>
        <v>0</v>
      </c>
    </row>
    <row r="139" spans="1:189" s="1174" customFormat="1">
      <c r="A139" s="1616" t="e">
        <f>+#REF!</f>
        <v>#REF!</v>
      </c>
      <c r="B139" s="1616" t="e">
        <f>+#REF!</f>
        <v>#REF!</v>
      </c>
      <c r="C139" s="1553" t="e">
        <f>#REF!</f>
        <v>#REF!</v>
      </c>
      <c r="D139" s="1710">
        <f t="shared" si="12"/>
        <v>0</v>
      </c>
      <c r="E139" s="650" t="e">
        <f>+#REF!</f>
        <v>#REF!</v>
      </c>
      <c r="F139" s="650" t="e">
        <f t="shared" si="10"/>
        <v>#REF!</v>
      </c>
      <c r="H139" s="1175">
        <f>4*25</f>
        <v>100</v>
      </c>
      <c r="I139" s="1176">
        <f>1.1*0</f>
        <v>0</v>
      </c>
      <c r="J139" s="1175">
        <f t="shared" si="11"/>
        <v>0</v>
      </c>
    </row>
    <row r="140" spans="1:189" s="1174" customFormat="1">
      <c r="A140" s="1616" t="e">
        <f>+#REF!</f>
        <v>#REF!</v>
      </c>
      <c r="B140" s="1616" t="e">
        <f>+#REF!</f>
        <v>#REF!</v>
      </c>
      <c r="C140" s="1553" t="e">
        <f>#REF!</f>
        <v>#REF!</v>
      </c>
      <c r="D140" s="1710">
        <f t="shared" si="12"/>
        <v>129.80000000000001</v>
      </c>
      <c r="E140" s="650" t="e">
        <f>+#REF!</f>
        <v>#REF!</v>
      </c>
      <c r="F140" s="650" t="e">
        <f t="shared" si="10"/>
        <v>#REF!</v>
      </c>
      <c r="H140" s="1175">
        <f>53+65</f>
        <v>118</v>
      </c>
      <c r="I140" s="1176">
        <v>1.1000000000000001</v>
      </c>
      <c r="J140" s="1175">
        <f t="shared" si="11"/>
        <v>129.80000000000001</v>
      </c>
    </row>
    <row r="141" spans="1:189" s="1158" customFormat="1">
      <c r="A141" s="484" t="e">
        <f>+#REF!</f>
        <v>#REF!</v>
      </c>
      <c r="B141" s="1616" t="e">
        <f>+#REF!</f>
        <v>#REF!</v>
      </c>
      <c r="C141" s="1553" t="e">
        <f>#REF!</f>
        <v>#REF!</v>
      </c>
      <c r="D141" s="1710">
        <f>+J141</f>
        <v>0</v>
      </c>
      <c r="E141" s="650" t="e">
        <f>+#REF!</f>
        <v>#REF!</v>
      </c>
      <c r="F141" s="650" t="e">
        <f>+D141*E141</f>
        <v>#REF!</v>
      </c>
      <c r="H141" s="1155">
        <f>F9</f>
        <v>0</v>
      </c>
      <c r="I141" s="1176">
        <v>1.1000000000000001</v>
      </c>
      <c r="J141" s="1155">
        <f>H141*I141</f>
        <v>0</v>
      </c>
      <c r="K141" s="1157"/>
      <c r="L141" s="1157"/>
      <c r="M141" s="1157"/>
      <c r="N141" s="1157"/>
      <c r="O141" s="1157"/>
      <c r="P141" s="1157"/>
      <c r="Q141" s="1157"/>
      <c r="R141" s="1157"/>
      <c r="S141" s="1157"/>
      <c r="T141" s="1157"/>
      <c r="U141" s="1157"/>
      <c r="V141" s="1157"/>
      <c r="W141" s="1157"/>
      <c r="X141" s="1157"/>
      <c r="Y141" s="1157"/>
      <c r="Z141" s="1157"/>
      <c r="AA141" s="1157"/>
      <c r="AB141" s="1157"/>
      <c r="AC141" s="1157"/>
      <c r="AD141" s="1157"/>
      <c r="AE141" s="1157"/>
      <c r="AF141" s="1157"/>
      <c r="AG141" s="1157"/>
      <c r="AH141" s="1157"/>
      <c r="AI141" s="1157"/>
      <c r="AJ141" s="1157"/>
      <c r="AK141" s="1157"/>
      <c r="AL141" s="1157"/>
      <c r="AM141" s="1157"/>
      <c r="AN141" s="1157"/>
      <c r="AO141" s="1157"/>
      <c r="AP141" s="1157"/>
      <c r="AQ141" s="1157"/>
      <c r="AR141" s="1157"/>
      <c r="AS141" s="1157"/>
      <c r="AT141" s="1157"/>
      <c r="AU141" s="1157"/>
      <c r="AV141" s="1157"/>
      <c r="AW141" s="1157"/>
      <c r="AX141" s="1157"/>
      <c r="AY141" s="1157"/>
      <c r="AZ141" s="1157"/>
      <c r="BA141" s="1157"/>
      <c r="BB141" s="1157"/>
      <c r="BC141" s="1157"/>
      <c r="BD141" s="1157"/>
      <c r="BE141" s="1157"/>
      <c r="BF141" s="1157"/>
      <c r="BG141" s="1157"/>
      <c r="BH141" s="1157"/>
      <c r="BI141" s="1157"/>
      <c r="BJ141" s="1157"/>
      <c r="BK141" s="1157"/>
      <c r="BL141" s="1157"/>
      <c r="BM141" s="1157"/>
      <c r="BN141" s="1157"/>
      <c r="BO141" s="1157"/>
      <c r="BP141" s="1157"/>
      <c r="BQ141" s="1157"/>
      <c r="BR141" s="1157"/>
      <c r="BS141" s="1157"/>
      <c r="BT141" s="1157"/>
      <c r="BU141" s="1157"/>
      <c r="BV141" s="1157"/>
      <c r="BW141" s="1157"/>
      <c r="BX141" s="1157"/>
      <c r="BY141" s="1157"/>
      <c r="BZ141" s="1157"/>
      <c r="CA141" s="1157"/>
      <c r="CB141" s="1157"/>
      <c r="CC141" s="1157"/>
      <c r="CD141" s="1157"/>
      <c r="CE141" s="1157"/>
      <c r="CF141" s="1157"/>
      <c r="CG141" s="1157"/>
      <c r="CH141" s="1157"/>
      <c r="CI141" s="1157"/>
      <c r="CJ141" s="1157"/>
      <c r="CK141" s="1157"/>
      <c r="CL141" s="1157"/>
      <c r="CM141" s="1157"/>
      <c r="CN141" s="1157"/>
      <c r="CO141" s="1157"/>
      <c r="CP141" s="1157"/>
      <c r="CQ141" s="1157"/>
      <c r="CR141" s="1157"/>
      <c r="CS141" s="1157"/>
      <c r="CT141" s="1157"/>
      <c r="CU141" s="1157"/>
      <c r="CV141" s="1157"/>
      <c r="CW141" s="1157"/>
      <c r="CX141" s="1157"/>
      <c r="CY141" s="1157"/>
      <c r="CZ141" s="1157"/>
      <c r="DA141" s="1157"/>
      <c r="DB141" s="1157"/>
      <c r="DC141" s="1157"/>
      <c r="DD141" s="1157"/>
      <c r="DE141" s="1157"/>
      <c r="DF141" s="1157"/>
      <c r="DG141" s="1157"/>
      <c r="DH141" s="1157"/>
      <c r="DI141" s="1157"/>
      <c r="DJ141" s="1157"/>
      <c r="DK141" s="1157"/>
      <c r="DL141" s="1157"/>
      <c r="DM141" s="1157"/>
      <c r="DN141" s="1157"/>
      <c r="DO141" s="1157"/>
      <c r="DP141" s="1157"/>
      <c r="DQ141" s="1157"/>
      <c r="DR141" s="1157"/>
      <c r="DS141" s="1157"/>
      <c r="DT141" s="1157"/>
      <c r="DU141" s="1157"/>
      <c r="DV141" s="1157"/>
      <c r="DW141" s="1157"/>
      <c r="DX141" s="1157"/>
      <c r="DY141" s="1157"/>
      <c r="DZ141" s="1157"/>
      <c r="EA141" s="1157"/>
      <c r="EB141" s="1157"/>
      <c r="EC141" s="1157"/>
      <c r="ED141" s="1157"/>
      <c r="EE141" s="1157"/>
      <c r="EF141" s="1157"/>
      <c r="EG141" s="1157"/>
      <c r="EH141" s="1157"/>
      <c r="EI141" s="1157"/>
      <c r="EJ141" s="1157"/>
      <c r="EK141" s="1157"/>
      <c r="EL141" s="1157"/>
      <c r="EM141" s="1157"/>
      <c r="EN141" s="1157"/>
      <c r="EO141" s="1157"/>
      <c r="EP141" s="1157"/>
      <c r="EQ141" s="1157"/>
      <c r="ER141" s="1157"/>
      <c r="ES141" s="1157"/>
      <c r="ET141" s="1157"/>
      <c r="EU141" s="1157"/>
      <c r="EV141" s="1157"/>
      <c r="EW141" s="1157"/>
      <c r="EX141" s="1157"/>
      <c r="EY141" s="1157"/>
      <c r="EZ141" s="1157"/>
      <c r="FA141" s="1157"/>
      <c r="FB141" s="1157"/>
      <c r="FC141" s="1157"/>
      <c r="FD141" s="1157"/>
      <c r="FE141" s="1157"/>
      <c r="FF141" s="1157"/>
      <c r="FG141" s="1157"/>
      <c r="FH141" s="1157"/>
      <c r="FI141" s="1157"/>
      <c r="FJ141" s="1157"/>
      <c r="FK141" s="1157"/>
      <c r="FL141" s="1157"/>
      <c r="FM141" s="1157"/>
      <c r="FN141" s="1157"/>
      <c r="FO141" s="1157"/>
      <c r="FP141" s="1157"/>
      <c r="FQ141" s="1157"/>
      <c r="FR141" s="1157"/>
      <c r="FS141" s="1157"/>
      <c r="FT141" s="1157"/>
      <c r="FU141" s="1157"/>
      <c r="FV141" s="1157"/>
      <c r="FW141" s="1157"/>
      <c r="FX141" s="1157"/>
      <c r="FY141" s="1157"/>
      <c r="FZ141" s="1157"/>
      <c r="GA141" s="1157"/>
      <c r="GB141" s="1157"/>
      <c r="GC141" s="1157"/>
      <c r="GD141" s="1157"/>
      <c r="GE141" s="1157"/>
      <c r="GF141" s="1157"/>
      <c r="GG141" s="1157"/>
    </row>
    <row r="142" spans="1:189" s="1158" customFormat="1">
      <c r="A142" s="484" t="e">
        <f>+#REF!</f>
        <v>#REF!</v>
      </c>
      <c r="B142" s="1616" t="e">
        <f>+#REF!</f>
        <v>#REF!</v>
      </c>
      <c r="C142" s="1553" t="e">
        <f>#REF!</f>
        <v>#REF!</v>
      </c>
      <c r="D142" s="1710">
        <f>+J142</f>
        <v>158</v>
      </c>
      <c r="E142" s="650" t="e">
        <f>+#REF!</f>
        <v>#REF!</v>
      </c>
      <c r="F142" s="650" t="e">
        <f>+D142*E142</f>
        <v>#REF!</v>
      </c>
      <c r="H142" s="1155">
        <v>150</v>
      </c>
      <c r="I142" s="1176">
        <v>1.05</v>
      </c>
      <c r="J142" s="1155">
        <f>ROUND(H142*I142,0)</f>
        <v>158</v>
      </c>
      <c r="K142" s="1157"/>
      <c r="L142" s="1157"/>
      <c r="M142" s="1157"/>
      <c r="N142" s="1157"/>
      <c r="O142" s="1157"/>
      <c r="P142" s="1157"/>
      <c r="Q142" s="1157"/>
      <c r="R142" s="1157"/>
      <c r="S142" s="1157"/>
      <c r="T142" s="1157"/>
      <c r="U142" s="1157"/>
      <c r="V142" s="1157"/>
      <c r="W142" s="1157"/>
      <c r="X142" s="1157"/>
      <c r="Y142" s="1157"/>
      <c r="Z142" s="1157"/>
      <c r="AA142" s="1157"/>
      <c r="AB142" s="1157"/>
      <c r="AC142" s="1157"/>
      <c r="AD142" s="1157"/>
      <c r="AE142" s="1157"/>
      <c r="AF142" s="1157"/>
      <c r="AG142" s="1157"/>
      <c r="AH142" s="1157"/>
      <c r="AI142" s="1157"/>
      <c r="AJ142" s="1157"/>
      <c r="AK142" s="1157"/>
      <c r="AL142" s="1157"/>
      <c r="AM142" s="1157"/>
      <c r="AN142" s="1157"/>
      <c r="AO142" s="1157"/>
      <c r="AP142" s="1157"/>
      <c r="AQ142" s="1157"/>
      <c r="AR142" s="1157"/>
      <c r="AS142" s="1157"/>
      <c r="AT142" s="1157"/>
      <c r="AU142" s="1157"/>
      <c r="AV142" s="1157"/>
      <c r="AW142" s="1157"/>
      <c r="AX142" s="1157"/>
      <c r="AY142" s="1157"/>
      <c r="AZ142" s="1157"/>
      <c r="BA142" s="1157"/>
      <c r="BB142" s="1157"/>
      <c r="BC142" s="1157"/>
      <c r="BD142" s="1157"/>
      <c r="BE142" s="1157"/>
      <c r="BF142" s="1157"/>
      <c r="BG142" s="1157"/>
      <c r="BH142" s="1157"/>
      <c r="BI142" s="1157"/>
      <c r="BJ142" s="1157"/>
      <c r="BK142" s="1157"/>
      <c r="BL142" s="1157"/>
      <c r="BM142" s="1157"/>
      <c r="BN142" s="1157"/>
      <c r="BO142" s="1157"/>
      <c r="BP142" s="1157"/>
      <c r="BQ142" s="1157"/>
      <c r="BR142" s="1157"/>
      <c r="BS142" s="1157"/>
      <c r="BT142" s="1157"/>
      <c r="BU142" s="1157"/>
      <c r="BV142" s="1157"/>
      <c r="BW142" s="1157"/>
      <c r="BX142" s="1157"/>
      <c r="BY142" s="1157"/>
      <c r="BZ142" s="1157"/>
      <c r="CA142" s="1157"/>
      <c r="CB142" s="1157"/>
      <c r="CC142" s="1157"/>
      <c r="CD142" s="1157"/>
      <c r="CE142" s="1157"/>
      <c r="CF142" s="1157"/>
      <c r="CG142" s="1157"/>
      <c r="CH142" s="1157"/>
      <c r="CI142" s="1157"/>
      <c r="CJ142" s="1157"/>
      <c r="CK142" s="1157"/>
      <c r="CL142" s="1157"/>
      <c r="CM142" s="1157"/>
      <c r="CN142" s="1157"/>
      <c r="CO142" s="1157"/>
      <c r="CP142" s="1157"/>
      <c r="CQ142" s="1157"/>
      <c r="CR142" s="1157"/>
      <c r="CS142" s="1157"/>
      <c r="CT142" s="1157"/>
      <c r="CU142" s="1157"/>
      <c r="CV142" s="1157"/>
      <c r="CW142" s="1157"/>
      <c r="CX142" s="1157"/>
      <c r="CY142" s="1157"/>
      <c r="CZ142" s="1157"/>
      <c r="DA142" s="1157"/>
      <c r="DB142" s="1157"/>
      <c r="DC142" s="1157"/>
      <c r="DD142" s="1157"/>
      <c r="DE142" s="1157"/>
      <c r="DF142" s="1157"/>
      <c r="DG142" s="1157"/>
      <c r="DH142" s="1157"/>
      <c r="DI142" s="1157"/>
      <c r="DJ142" s="1157"/>
      <c r="DK142" s="1157"/>
      <c r="DL142" s="1157"/>
      <c r="DM142" s="1157"/>
      <c r="DN142" s="1157"/>
      <c r="DO142" s="1157"/>
      <c r="DP142" s="1157"/>
      <c r="DQ142" s="1157"/>
      <c r="DR142" s="1157"/>
      <c r="DS142" s="1157"/>
      <c r="DT142" s="1157"/>
      <c r="DU142" s="1157"/>
      <c r="DV142" s="1157"/>
      <c r="DW142" s="1157"/>
      <c r="DX142" s="1157"/>
      <c r="DY142" s="1157"/>
      <c r="DZ142" s="1157"/>
      <c r="EA142" s="1157"/>
      <c r="EB142" s="1157"/>
      <c r="EC142" s="1157"/>
      <c r="ED142" s="1157"/>
      <c r="EE142" s="1157"/>
      <c r="EF142" s="1157"/>
      <c r="EG142" s="1157"/>
      <c r="EH142" s="1157"/>
      <c r="EI142" s="1157"/>
      <c r="EJ142" s="1157"/>
      <c r="EK142" s="1157"/>
      <c r="EL142" s="1157"/>
      <c r="EM142" s="1157"/>
      <c r="EN142" s="1157"/>
      <c r="EO142" s="1157"/>
      <c r="EP142" s="1157"/>
      <c r="EQ142" s="1157"/>
      <c r="ER142" s="1157"/>
      <c r="ES142" s="1157"/>
      <c r="ET142" s="1157"/>
      <c r="EU142" s="1157"/>
      <c r="EV142" s="1157"/>
      <c r="EW142" s="1157"/>
      <c r="EX142" s="1157"/>
      <c r="EY142" s="1157"/>
      <c r="EZ142" s="1157"/>
      <c r="FA142" s="1157"/>
      <c r="FB142" s="1157"/>
      <c r="FC142" s="1157"/>
      <c r="FD142" s="1157"/>
      <c r="FE142" s="1157"/>
      <c r="FF142" s="1157"/>
      <c r="FG142" s="1157"/>
      <c r="FH142" s="1157"/>
      <c r="FI142" s="1157"/>
      <c r="FJ142" s="1157"/>
      <c r="FK142" s="1157"/>
      <c r="FL142" s="1157"/>
      <c r="FM142" s="1157"/>
      <c r="FN142" s="1157"/>
      <c r="FO142" s="1157"/>
      <c r="FP142" s="1157"/>
      <c r="FQ142" s="1157"/>
      <c r="FR142" s="1157"/>
      <c r="FS142" s="1157"/>
      <c r="FT142" s="1157"/>
      <c r="FU142" s="1157"/>
      <c r="FV142" s="1157"/>
      <c r="FW142" s="1157"/>
      <c r="FX142" s="1157"/>
      <c r="FY142" s="1157"/>
      <c r="FZ142" s="1157"/>
      <c r="GA142" s="1157"/>
      <c r="GB142" s="1157"/>
      <c r="GC142" s="1157"/>
      <c r="GD142" s="1157"/>
      <c r="GE142" s="1157"/>
      <c r="GF142" s="1157"/>
      <c r="GG142" s="1157"/>
    </row>
    <row r="143" spans="1:189" s="1158" customFormat="1">
      <c r="A143" s="1615" t="e">
        <f>+#REF!</f>
        <v>#REF!</v>
      </c>
      <c r="B143" s="467" t="e">
        <f>+#REF!</f>
        <v>#REF!</v>
      </c>
      <c r="C143" s="1554" t="e">
        <f>#REF!</f>
        <v>#REF!</v>
      </c>
      <c r="D143" s="1711">
        <f>+J143</f>
        <v>289</v>
      </c>
      <c r="E143" s="547" t="e">
        <f>+#REF!</f>
        <v>#REF!</v>
      </c>
      <c r="F143" s="547" t="e">
        <f>+D143*E143</f>
        <v>#REF!</v>
      </c>
      <c r="H143" s="1155">
        <v>275</v>
      </c>
      <c r="I143" s="1176">
        <v>1.05</v>
      </c>
      <c r="J143" s="1155">
        <f>ROUND(H143*I143,0)</f>
        <v>289</v>
      </c>
      <c r="K143" s="1157"/>
      <c r="L143" s="1157"/>
      <c r="M143" s="1157"/>
      <c r="N143" s="1157"/>
      <c r="O143" s="1157"/>
      <c r="P143" s="1157"/>
      <c r="Q143" s="1157"/>
      <c r="R143" s="1157"/>
      <c r="S143" s="1157"/>
      <c r="T143" s="1157"/>
      <c r="U143" s="1157"/>
      <c r="V143" s="1157"/>
      <c r="W143" s="1157"/>
      <c r="X143" s="1157"/>
      <c r="Y143" s="1157"/>
      <c r="Z143" s="1157"/>
      <c r="AA143" s="1157"/>
      <c r="AB143" s="1157"/>
      <c r="AC143" s="1157"/>
      <c r="AD143" s="1157"/>
      <c r="AE143" s="1157"/>
      <c r="AF143" s="1157"/>
      <c r="AG143" s="1157"/>
      <c r="AH143" s="1157"/>
      <c r="AI143" s="1157"/>
      <c r="AJ143" s="1157"/>
      <c r="AK143" s="1157"/>
      <c r="AL143" s="1157"/>
      <c r="AM143" s="1157"/>
      <c r="AN143" s="1157"/>
      <c r="AO143" s="1157"/>
      <c r="AP143" s="1157"/>
      <c r="AQ143" s="1157"/>
      <c r="AR143" s="1157"/>
      <c r="AS143" s="1157"/>
      <c r="AT143" s="1157"/>
      <c r="AU143" s="1157"/>
      <c r="AV143" s="1157"/>
      <c r="AW143" s="1157"/>
      <c r="AX143" s="1157"/>
      <c r="AY143" s="1157"/>
      <c r="AZ143" s="1157"/>
      <c r="BA143" s="1157"/>
      <c r="BB143" s="1157"/>
      <c r="BC143" s="1157"/>
      <c r="BD143" s="1157"/>
      <c r="BE143" s="1157"/>
      <c r="BF143" s="1157"/>
      <c r="BG143" s="1157"/>
      <c r="BH143" s="1157"/>
      <c r="BI143" s="1157"/>
      <c r="BJ143" s="1157"/>
      <c r="BK143" s="1157"/>
      <c r="BL143" s="1157"/>
      <c r="BM143" s="1157"/>
      <c r="BN143" s="1157"/>
      <c r="BO143" s="1157"/>
      <c r="BP143" s="1157"/>
      <c r="BQ143" s="1157"/>
      <c r="BR143" s="1157"/>
      <c r="BS143" s="1157"/>
      <c r="BT143" s="1157"/>
      <c r="BU143" s="1157"/>
      <c r="BV143" s="1157"/>
      <c r="BW143" s="1157"/>
      <c r="BX143" s="1157"/>
      <c r="BY143" s="1157"/>
      <c r="BZ143" s="1157"/>
      <c r="CA143" s="1157"/>
      <c r="CB143" s="1157"/>
      <c r="CC143" s="1157"/>
      <c r="CD143" s="1157"/>
      <c r="CE143" s="1157"/>
      <c r="CF143" s="1157"/>
      <c r="CG143" s="1157"/>
      <c r="CH143" s="1157"/>
      <c r="CI143" s="1157"/>
      <c r="CJ143" s="1157"/>
      <c r="CK143" s="1157"/>
      <c r="CL143" s="1157"/>
      <c r="CM143" s="1157"/>
      <c r="CN143" s="1157"/>
      <c r="CO143" s="1157"/>
      <c r="CP143" s="1157"/>
      <c r="CQ143" s="1157"/>
      <c r="CR143" s="1157"/>
      <c r="CS143" s="1157"/>
      <c r="CT143" s="1157"/>
      <c r="CU143" s="1157"/>
      <c r="CV143" s="1157"/>
      <c r="CW143" s="1157"/>
      <c r="CX143" s="1157"/>
      <c r="CY143" s="1157"/>
      <c r="CZ143" s="1157"/>
      <c r="DA143" s="1157"/>
      <c r="DB143" s="1157"/>
      <c r="DC143" s="1157"/>
      <c r="DD143" s="1157"/>
      <c r="DE143" s="1157"/>
      <c r="DF143" s="1157"/>
      <c r="DG143" s="1157"/>
      <c r="DH143" s="1157"/>
      <c r="DI143" s="1157"/>
      <c r="DJ143" s="1157"/>
      <c r="DK143" s="1157"/>
      <c r="DL143" s="1157"/>
      <c r="DM143" s="1157"/>
      <c r="DN143" s="1157"/>
      <c r="DO143" s="1157"/>
      <c r="DP143" s="1157"/>
      <c r="DQ143" s="1157"/>
      <c r="DR143" s="1157"/>
      <c r="DS143" s="1157"/>
      <c r="DT143" s="1157"/>
      <c r="DU143" s="1157"/>
      <c r="DV143" s="1157"/>
      <c r="DW143" s="1157"/>
      <c r="DX143" s="1157"/>
      <c r="DY143" s="1157"/>
      <c r="DZ143" s="1157"/>
      <c r="EA143" s="1157"/>
      <c r="EB143" s="1157"/>
      <c r="EC143" s="1157"/>
      <c r="ED143" s="1157"/>
      <c r="EE143" s="1157"/>
      <c r="EF143" s="1157"/>
      <c r="EG143" s="1157"/>
      <c r="EH143" s="1157"/>
      <c r="EI143" s="1157"/>
      <c r="EJ143" s="1157"/>
      <c r="EK143" s="1157"/>
      <c r="EL143" s="1157"/>
      <c r="EM143" s="1157"/>
      <c r="EN143" s="1157"/>
      <c r="EO143" s="1157"/>
      <c r="EP143" s="1157"/>
      <c r="EQ143" s="1157"/>
      <c r="ER143" s="1157"/>
      <c r="ES143" s="1157"/>
      <c r="ET143" s="1157"/>
      <c r="EU143" s="1157"/>
      <c r="EV143" s="1157"/>
      <c r="EW143" s="1157"/>
      <c r="EX143" s="1157"/>
      <c r="EY143" s="1157"/>
      <c r="EZ143" s="1157"/>
      <c r="FA143" s="1157"/>
      <c r="FB143" s="1157"/>
      <c r="FC143" s="1157"/>
      <c r="FD143" s="1157"/>
      <c r="FE143" s="1157"/>
      <c r="FF143" s="1157"/>
      <c r="FG143" s="1157"/>
      <c r="FH143" s="1157"/>
      <c r="FI143" s="1157"/>
      <c r="FJ143" s="1157"/>
      <c r="FK143" s="1157"/>
      <c r="FL143" s="1157"/>
      <c r="FM143" s="1157"/>
      <c r="FN143" s="1157"/>
      <c r="FO143" s="1157"/>
      <c r="FP143" s="1157"/>
      <c r="FQ143" s="1157"/>
      <c r="FR143" s="1157"/>
      <c r="FS143" s="1157"/>
      <c r="FT143" s="1157"/>
      <c r="FU143" s="1157"/>
      <c r="FV143" s="1157"/>
      <c r="FW143" s="1157"/>
      <c r="FX143" s="1157"/>
      <c r="FY143" s="1157"/>
      <c r="FZ143" s="1157"/>
      <c r="GA143" s="1157"/>
      <c r="GB143" s="1157"/>
      <c r="GC143" s="1157"/>
      <c r="GD143" s="1157"/>
      <c r="GE143" s="1157"/>
      <c r="GF143" s="1157"/>
      <c r="GG143" s="1157"/>
    </row>
    <row r="144" spans="1:189" s="1178" customFormat="1">
      <c r="A144" s="1281" t="e">
        <f>+#REF!</f>
        <v>#REF!</v>
      </c>
      <c r="B144" s="1620" t="e">
        <f>+#REF!</f>
        <v>#REF!</v>
      </c>
      <c r="C144" s="1713"/>
      <c r="D144" s="1710"/>
      <c r="E144" s="650"/>
      <c r="F144" s="650"/>
      <c r="G144" s="1158"/>
      <c r="H144" s="1155"/>
      <c r="I144" s="1156"/>
      <c r="J144" s="1155"/>
      <c r="K144" s="1177"/>
      <c r="L144" s="1177"/>
      <c r="M144" s="1177"/>
      <c r="N144" s="1177"/>
      <c r="O144" s="1177"/>
      <c r="P144" s="1177"/>
      <c r="Q144" s="1177"/>
      <c r="R144" s="1177"/>
      <c r="S144" s="1177"/>
      <c r="T144" s="1177"/>
      <c r="U144" s="1177"/>
      <c r="V144" s="1177"/>
      <c r="W144" s="1177"/>
      <c r="X144" s="1177"/>
      <c r="Y144" s="1177"/>
      <c r="Z144" s="1177"/>
      <c r="AA144" s="1177"/>
      <c r="AB144" s="1177"/>
      <c r="AC144" s="1177"/>
      <c r="AD144" s="1177"/>
      <c r="AE144" s="1177"/>
      <c r="AF144" s="1177"/>
      <c r="AG144" s="1177"/>
      <c r="AH144" s="1177"/>
      <c r="AI144" s="1177"/>
      <c r="AJ144" s="1177"/>
      <c r="AK144" s="1177"/>
      <c r="AL144" s="1177"/>
      <c r="AM144" s="1177"/>
      <c r="AN144" s="1177"/>
      <c r="AO144" s="1177"/>
      <c r="AP144" s="1177"/>
      <c r="AQ144" s="1177"/>
      <c r="AR144" s="1177"/>
      <c r="AS144" s="1177"/>
      <c r="AT144" s="1177"/>
      <c r="AU144" s="1177"/>
      <c r="AV144" s="1177"/>
      <c r="AW144" s="1177"/>
      <c r="AX144" s="1177"/>
      <c r="AY144" s="1177"/>
      <c r="AZ144" s="1177"/>
      <c r="BA144" s="1177"/>
      <c r="BB144" s="1177"/>
      <c r="BC144" s="1177"/>
      <c r="BD144" s="1177"/>
      <c r="BE144" s="1177"/>
      <c r="BF144" s="1177"/>
      <c r="BG144" s="1177"/>
      <c r="BH144" s="1177"/>
      <c r="BI144" s="1177"/>
      <c r="BJ144" s="1177"/>
      <c r="BK144" s="1177"/>
      <c r="BL144" s="1177"/>
      <c r="BM144" s="1177"/>
      <c r="BN144" s="1177"/>
      <c r="BO144" s="1177"/>
      <c r="BP144" s="1177"/>
      <c r="BQ144" s="1177"/>
      <c r="BR144" s="1177"/>
      <c r="BS144" s="1177"/>
      <c r="BT144" s="1177"/>
      <c r="BU144" s="1177"/>
      <c r="BV144" s="1177"/>
      <c r="BW144" s="1177"/>
      <c r="BX144" s="1177"/>
      <c r="BY144" s="1177"/>
      <c r="BZ144" s="1177"/>
      <c r="CA144" s="1177"/>
      <c r="CB144" s="1177"/>
      <c r="CC144" s="1177"/>
      <c r="CD144" s="1177"/>
      <c r="CE144" s="1177"/>
      <c r="CF144" s="1177"/>
      <c r="CG144" s="1177"/>
      <c r="CH144" s="1177"/>
      <c r="CI144" s="1177"/>
      <c r="CJ144" s="1177"/>
      <c r="CK144" s="1177"/>
      <c r="CL144" s="1177"/>
      <c r="CM144" s="1177"/>
      <c r="CN144" s="1177"/>
      <c r="CO144" s="1177"/>
      <c r="CP144" s="1177"/>
      <c r="CQ144" s="1177"/>
      <c r="CR144" s="1177"/>
      <c r="CS144" s="1177"/>
      <c r="CT144" s="1177"/>
      <c r="CU144" s="1177"/>
      <c r="CV144" s="1177"/>
      <c r="CW144" s="1177"/>
      <c r="CX144" s="1177"/>
      <c r="CY144" s="1177"/>
      <c r="CZ144" s="1177"/>
      <c r="DA144" s="1177"/>
      <c r="DB144" s="1177"/>
      <c r="DC144" s="1177"/>
      <c r="DD144" s="1177"/>
      <c r="DE144" s="1177"/>
      <c r="DF144" s="1177"/>
      <c r="DG144" s="1177"/>
      <c r="DH144" s="1177"/>
      <c r="DI144" s="1177"/>
      <c r="DJ144" s="1177"/>
      <c r="DK144" s="1177"/>
      <c r="DL144" s="1177"/>
      <c r="DM144" s="1177"/>
      <c r="DN144" s="1177"/>
      <c r="DO144" s="1177"/>
      <c r="DP144" s="1177"/>
      <c r="DQ144" s="1177"/>
      <c r="DR144" s="1177"/>
      <c r="DS144" s="1177"/>
      <c r="DT144" s="1177"/>
      <c r="DU144" s="1177"/>
      <c r="DV144" s="1177"/>
      <c r="DW144" s="1177"/>
      <c r="DX144" s="1177"/>
      <c r="DY144" s="1177"/>
      <c r="DZ144" s="1177"/>
      <c r="EA144" s="1177"/>
      <c r="EB144" s="1177"/>
      <c r="EC144" s="1177"/>
      <c r="ED144" s="1177"/>
      <c r="EE144" s="1177"/>
      <c r="EF144" s="1177"/>
      <c r="EG144" s="1177"/>
      <c r="EH144" s="1177"/>
      <c r="EI144" s="1177"/>
      <c r="EJ144" s="1177"/>
      <c r="EK144" s="1177"/>
      <c r="EL144" s="1177"/>
      <c r="EM144" s="1177"/>
      <c r="EN144" s="1177"/>
      <c r="EO144" s="1177"/>
      <c r="EP144" s="1177"/>
      <c r="EQ144" s="1177"/>
      <c r="ER144" s="1177"/>
      <c r="ES144" s="1177"/>
      <c r="ET144" s="1177"/>
      <c r="EU144" s="1177"/>
      <c r="EV144" s="1177"/>
      <c r="EW144" s="1177"/>
      <c r="EX144" s="1177"/>
      <c r="EY144" s="1177"/>
      <c r="EZ144" s="1177"/>
      <c r="FA144" s="1177"/>
      <c r="FB144" s="1177"/>
      <c r="FC144" s="1177"/>
      <c r="FD144" s="1177"/>
      <c r="FE144" s="1177"/>
      <c r="FF144" s="1177"/>
      <c r="FG144" s="1177"/>
      <c r="FH144" s="1177"/>
      <c r="FI144" s="1177"/>
      <c r="FJ144" s="1177"/>
      <c r="FK144" s="1177"/>
      <c r="FL144" s="1177"/>
      <c r="FM144" s="1177"/>
      <c r="FN144" s="1177"/>
      <c r="FO144" s="1177"/>
      <c r="FP144" s="1177"/>
      <c r="FQ144" s="1177"/>
      <c r="FR144" s="1177"/>
      <c r="FS144" s="1177"/>
      <c r="FT144" s="1177"/>
      <c r="FU144" s="1177"/>
      <c r="FV144" s="1177"/>
      <c r="FW144" s="1177"/>
      <c r="FX144" s="1177"/>
      <c r="FY144" s="1177"/>
      <c r="FZ144" s="1177"/>
      <c r="GA144" s="1177"/>
      <c r="GB144" s="1177"/>
      <c r="GC144" s="1177"/>
      <c r="GD144" s="1177"/>
      <c r="GE144" s="1177"/>
      <c r="GF144" s="1177"/>
      <c r="GG144" s="1177"/>
    </row>
    <row r="145" spans="1:189" s="1158" customFormat="1">
      <c r="A145" s="1622" t="e">
        <f>+#REF!</f>
        <v>#REF!</v>
      </c>
      <c r="B145" s="1623" t="e">
        <f>+#REF!</f>
        <v>#REF!</v>
      </c>
      <c r="C145" s="1714" t="e">
        <f>#REF!</f>
        <v>#REF!</v>
      </c>
      <c r="D145" s="1711">
        <f>J145</f>
        <v>0</v>
      </c>
      <c r="E145" s="547" t="e">
        <f>#REF!</f>
        <v>#REF!</v>
      </c>
      <c r="F145" s="547" t="e">
        <f>+D145*E145</f>
        <v>#REF!</v>
      </c>
      <c r="H145" s="1155">
        <f>F12</f>
        <v>0</v>
      </c>
      <c r="I145" s="1156">
        <v>0</v>
      </c>
      <c r="J145" s="1155">
        <f>H145*I145</f>
        <v>0</v>
      </c>
      <c r="K145" s="1157"/>
      <c r="L145" s="1157"/>
      <c r="M145" s="1157"/>
      <c r="N145" s="1157"/>
      <c r="O145" s="1157"/>
      <c r="P145" s="1157"/>
      <c r="Q145" s="1157"/>
      <c r="R145" s="1157"/>
      <c r="S145" s="1157"/>
      <c r="T145" s="1157"/>
      <c r="U145" s="1157"/>
      <c r="V145" s="1157"/>
      <c r="W145" s="1157"/>
      <c r="X145" s="1157"/>
      <c r="Y145" s="1157"/>
      <c r="Z145" s="1157"/>
      <c r="AA145" s="1157"/>
      <c r="AB145" s="1157"/>
      <c r="AC145" s="1157"/>
      <c r="AD145" s="1157"/>
      <c r="AE145" s="1157"/>
      <c r="AF145" s="1157"/>
      <c r="AG145" s="1157"/>
      <c r="AH145" s="1157"/>
      <c r="AI145" s="1157"/>
      <c r="AJ145" s="1157"/>
      <c r="AK145" s="1157"/>
      <c r="AL145" s="1157"/>
      <c r="AM145" s="1157"/>
      <c r="AN145" s="1157"/>
      <c r="AO145" s="1157"/>
      <c r="AP145" s="1157"/>
      <c r="AQ145" s="1157"/>
      <c r="AR145" s="1157"/>
      <c r="AS145" s="1157"/>
      <c r="AT145" s="1157"/>
      <c r="AU145" s="1157"/>
      <c r="AV145" s="1157"/>
      <c r="AW145" s="1157"/>
      <c r="AX145" s="1157"/>
      <c r="AY145" s="1157"/>
      <c r="AZ145" s="1157"/>
      <c r="BA145" s="1157"/>
      <c r="BB145" s="1157"/>
      <c r="BC145" s="1157"/>
      <c r="BD145" s="1157"/>
      <c r="BE145" s="1157"/>
      <c r="BF145" s="1157"/>
      <c r="BG145" s="1157"/>
      <c r="BH145" s="1157"/>
      <c r="BI145" s="1157"/>
      <c r="BJ145" s="1157"/>
      <c r="BK145" s="1157"/>
      <c r="BL145" s="1157"/>
      <c r="BM145" s="1157"/>
      <c r="BN145" s="1157"/>
      <c r="BO145" s="1157"/>
      <c r="BP145" s="1157"/>
      <c r="BQ145" s="1157"/>
      <c r="BR145" s="1157"/>
      <c r="BS145" s="1157"/>
      <c r="BT145" s="1157"/>
      <c r="BU145" s="1157"/>
      <c r="BV145" s="1157"/>
      <c r="BW145" s="1157"/>
      <c r="BX145" s="1157"/>
      <c r="BY145" s="1157"/>
      <c r="BZ145" s="1157"/>
      <c r="CA145" s="1157"/>
      <c r="CB145" s="1157"/>
      <c r="CC145" s="1157"/>
      <c r="CD145" s="1157"/>
      <c r="CE145" s="1157"/>
      <c r="CF145" s="1157"/>
      <c r="CG145" s="1157"/>
      <c r="CH145" s="1157"/>
      <c r="CI145" s="1157"/>
      <c r="CJ145" s="1157"/>
      <c r="CK145" s="1157"/>
      <c r="CL145" s="1157"/>
      <c r="CM145" s="1157"/>
      <c r="CN145" s="1157"/>
      <c r="CO145" s="1157"/>
      <c r="CP145" s="1157"/>
      <c r="CQ145" s="1157"/>
      <c r="CR145" s="1157"/>
      <c r="CS145" s="1157"/>
      <c r="CT145" s="1157"/>
      <c r="CU145" s="1157"/>
      <c r="CV145" s="1157"/>
      <c r="CW145" s="1157"/>
      <c r="CX145" s="1157"/>
      <c r="CY145" s="1157"/>
      <c r="CZ145" s="1157"/>
      <c r="DA145" s="1157"/>
      <c r="DB145" s="1157"/>
      <c r="DC145" s="1157"/>
      <c r="DD145" s="1157"/>
      <c r="DE145" s="1157"/>
      <c r="DF145" s="1157"/>
      <c r="DG145" s="1157"/>
      <c r="DH145" s="1157"/>
      <c r="DI145" s="1157"/>
      <c r="DJ145" s="1157"/>
      <c r="DK145" s="1157"/>
      <c r="DL145" s="1157"/>
      <c r="DM145" s="1157"/>
      <c r="DN145" s="1157"/>
      <c r="DO145" s="1157"/>
      <c r="DP145" s="1157"/>
      <c r="DQ145" s="1157"/>
      <c r="DR145" s="1157"/>
      <c r="DS145" s="1157"/>
      <c r="DT145" s="1157"/>
      <c r="DU145" s="1157"/>
      <c r="DV145" s="1157"/>
      <c r="DW145" s="1157"/>
      <c r="DX145" s="1157"/>
      <c r="DY145" s="1157"/>
      <c r="DZ145" s="1157"/>
      <c r="EA145" s="1157"/>
      <c r="EB145" s="1157"/>
      <c r="EC145" s="1157"/>
      <c r="ED145" s="1157"/>
      <c r="EE145" s="1157"/>
      <c r="EF145" s="1157"/>
      <c r="EG145" s="1157"/>
      <c r="EH145" s="1157"/>
      <c r="EI145" s="1157"/>
      <c r="EJ145" s="1157"/>
      <c r="EK145" s="1157"/>
      <c r="EL145" s="1157"/>
      <c r="EM145" s="1157"/>
      <c r="EN145" s="1157"/>
      <c r="EO145" s="1157"/>
      <c r="EP145" s="1157"/>
      <c r="EQ145" s="1157"/>
      <c r="ER145" s="1157"/>
      <c r="ES145" s="1157"/>
      <c r="ET145" s="1157"/>
      <c r="EU145" s="1157"/>
      <c r="EV145" s="1157"/>
      <c r="EW145" s="1157"/>
      <c r="EX145" s="1157"/>
      <c r="EY145" s="1157"/>
      <c r="EZ145" s="1157"/>
      <c r="FA145" s="1157"/>
      <c r="FB145" s="1157"/>
      <c r="FC145" s="1157"/>
      <c r="FD145" s="1157"/>
      <c r="FE145" s="1157"/>
      <c r="FF145" s="1157"/>
      <c r="FG145" s="1157"/>
      <c r="FH145" s="1157"/>
      <c r="FI145" s="1157"/>
      <c r="FJ145" s="1157"/>
      <c r="FK145" s="1157"/>
      <c r="FL145" s="1157"/>
      <c r="FM145" s="1157"/>
      <c r="FN145" s="1157"/>
      <c r="FO145" s="1157"/>
      <c r="FP145" s="1157"/>
      <c r="FQ145" s="1157"/>
      <c r="FR145" s="1157"/>
      <c r="FS145" s="1157"/>
      <c r="FT145" s="1157"/>
      <c r="FU145" s="1157"/>
      <c r="FV145" s="1157"/>
      <c r="FW145" s="1157"/>
      <c r="FX145" s="1157"/>
      <c r="FY145" s="1157"/>
      <c r="FZ145" s="1157"/>
      <c r="GA145" s="1157"/>
      <c r="GB145" s="1157"/>
      <c r="GC145" s="1157"/>
      <c r="GD145" s="1157"/>
      <c r="GE145" s="1157"/>
      <c r="GF145" s="1157"/>
      <c r="GG145" s="1157"/>
    </row>
    <row r="146" spans="1:189" s="1178" customFormat="1">
      <c r="A146" s="1449" t="e">
        <f>+#REF!</f>
        <v>#REF!</v>
      </c>
      <c r="B146" s="1614" t="e">
        <f>+#REF!</f>
        <v>#REF!</v>
      </c>
      <c r="C146" s="1712"/>
      <c r="D146" s="1709"/>
      <c r="E146" s="544"/>
      <c r="F146" s="544"/>
      <c r="G146" s="1158"/>
      <c r="H146" s="1155"/>
      <c r="I146" s="1156"/>
      <c r="J146" s="1155"/>
      <c r="K146" s="1177"/>
      <c r="L146" s="1177"/>
      <c r="M146" s="1177"/>
      <c r="N146" s="1177"/>
      <c r="O146" s="1177"/>
      <c r="P146" s="1177"/>
      <c r="Q146" s="1177"/>
      <c r="R146" s="1177"/>
      <c r="S146" s="1177"/>
      <c r="T146" s="1177"/>
      <c r="U146" s="1177"/>
      <c r="V146" s="1177"/>
      <c r="W146" s="1177"/>
      <c r="X146" s="1177"/>
      <c r="Y146" s="1177"/>
      <c r="Z146" s="1177"/>
      <c r="AA146" s="1177"/>
      <c r="AB146" s="1177"/>
      <c r="AC146" s="1177"/>
      <c r="AD146" s="1177"/>
      <c r="AE146" s="1177"/>
      <c r="AF146" s="1177"/>
      <c r="AG146" s="1177"/>
      <c r="AH146" s="1177"/>
      <c r="AI146" s="1177"/>
      <c r="AJ146" s="1177"/>
      <c r="AK146" s="1177"/>
      <c r="AL146" s="1177"/>
      <c r="AM146" s="1177"/>
      <c r="AN146" s="1177"/>
      <c r="AO146" s="1177"/>
      <c r="AP146" s="1177"/>
      <c r="AQ146" s="1177"/>
      <c r="AR146" s="1177"/>
      <c r="AS146" s="1177"/>
      <c r="AT146" s="1177"/>
      <c r="AU146" s="1177"/>
      <c r="AV146" s="1177"/>
      <c r="AW146" s="1177"/>
      <c r="AX146" s="1177"/>
      <c r="AY146" s="1177"/>
      <c r="AZ146" s="1177"/>
      <c r="BA146" s="1177"/>
      <c r="BB146" s="1177"/>
      <c r="BC146" s="1177"/>
      <c r="BD146" s="1177"/>
      <c r="BE146" s="1177"/>
      <c r="BF146" s="1177"/>
      <c r="BG146" s="1177"/>
      <c r="BH146" s="1177"/>
      <c r="BI146" s="1177"/>
      <c r="BJ146" s="1177"/>
      <c r="BK146" s="1177"/>
      <c r="BL146" s="1177"/>
      <c r="BM146" s="1177"/>
      <c r="BN146" s="1177"/>
      <c r="BO146" s="1177"/>
      <c r="BP146" s="1177"/>
      <c r="BQ146" s="1177"/>
      <c r="BR146" s="1177"/>
      <c r="BS146" s="1177"/>
      <c r="BT146" s="1177"/>
      <c r="BU146" s="1177"/>
      <c r="BV146" s="1177"/>
      <c r="BW146" s="1177"/>
      <c r="BX146" s="1177"/>
      <c r="BY146" s="1177"/>
      <c r="BZ146" s="1177"/>
      <c r="CA146" s="1177"/>
      <c r="CB146" s="1177"/>
      <c r="CC146" s="1177"/>
      <c r="CD146" s="1177"/>
      <c r="CE146" s="1177"/>
      <c r="CF146" s="1177"/>
      <c r="CG146" s="1177"/>
      <c r="CH146" s="1177"/>
      <c r="CI146" s="1177"/>
      <c r="CJ146" s="1177"/>
      <c r="CK146" s="1177"/>
      <c r="CL146" s="1177"/>
      <c r="CM146" s="1177"/>
      <c r="CN146" s="1177"/>
      <c r="CO146" s="1177"/>
      <c r="CP146" s="1177"/>
      <c r="CQ146" s="1177"/>
      <c r="CR146" s="1177"/>
      <c r="CS146" s="1177"/>
      <c r="CT146" s="1177"/>
      <c r="CU146" s="1177"/>
      <c r="CV146" s="1177"/>
      <c r="CW146" s="1177"/>
      <c r="CX146" s="1177"/>
      <c r="CY146" s="1177"/>
      <c r="CZ146" s="1177"/>
      <c r="DA146" s="1177"/>
      <c r="DB146" s="1177"/>
      <c r="DC146" s="1177"/>
      <c r="DD146" s="1177"/>
      <c r="DE146" s="1177"/>
      <c r="DF146" s="1177"/>
      <c r="DG146" s="1177"/>
      <c r="DH146" s="1177"/>
      <c r="DI146" s="1177"/>
      <c r="DJ146" s="1177"/>
      <c r="DK146" s="1177"/>
      <c r="DL146" s="1177"/>
      <c r="DM146" s="1177"/>
      <c r="DN146" s="1177"/>
      <c r="DO146" s="1177"/>
      <c r="DP146" s="1177"/>
      <c r="DQ146" s="1177"/>
      <c r="DR146" s="1177"/>
      <c r="DS146" s="1177"/>
      <c r="DT146" s="1177"/>
      <c r="DU146" s="1177"/>
      <c r="DV146" s="1177"/>
      <c r="DW146" s="1177"/>
      <c r="DX146" s="1177"/>
      <c r="DY146" s="1177"/>
      <c r="DZ146" s="1177"/>
      <c r="EA146" s="1177"/>
      <c r="EB146" s="1177"/>
      <c r="EC146" s="1177"/>
      <c r="ED146" s="1177"/>
      <c r="EE146" s="1177"/>
      <c r="EF146" s="1177"/>
      <c r="EG146" s="1177"/>
      <c r="EH146" s="1177"/>
      <c r="EI146" s="1177"/>
      <c r="EJ146" s="1177"/>
      <c r="EK146" s="1177"/>
      <c r="EL146" s="1177"/>
      <c r="EM146" s="1177"/>
      <c r="EN146" s="1177"/>
      <c r="EO146" s="1177"/>
      <c r="EP146" s="1177"/>
      <c r="EQ146" s="1177"/>
      <c r="ER146" s="1177"/>
      <c r="ES146" s="1177"/>
      <c r="ET146" s="1177"/>
      <c r="EU146" s="1177"/>
      <c r="EV146" s="1177"/>
      <c r="EW146" s="1177"/>
      <c r="EX146" s="1177"/>
      <c r="EY146" s="1177"/>
      <c r="EZ146" s="1177"/>
      <c r="FA146" s="1177"/>
      <c r="FB146" s="1177"/>
      <c r="FC146" s="1177"/>
      <c r="FD146" s="1177"/>
      <c r="FE146" s="1177"/>
      <c r="FF146" s="1177"/>
      <c r="FG146" s="1177"/>
      <c r="FH146" s="1177"/>
      <c r="FI146" s="1177"/>
      <c r="FJ146" s="1177"/>
      <c r="FK146" s="1177"/>
      <c r="FL146" s="1177"/>
      <c r="FM146" s="1177"/>
      <c r="FN146" s="1177"/>
      <c r="FO146" s="1177"/>
      <c r="FP146" s="1177"/>
      <c r="FQ146" s="1177"/>
      <c r="FR146" s="1177"/>
      <c r="FS146" s="1177"/>
      <c r="FT146" s="1177"/>
      <c r="FU146" s="1177"/>
      <c r="FV146" s="1177"/>
      <c r="FW146" s="1177"/>
      <c r="FX146" s="1177"/>
      <c r="FY146" s="1177"/>
      <c r="FZ146" s="1177"/>
      <c r="GA146" s="1177"/>
      <c r="GB146" s="1177"/>
      <c r="GC146" s="1177"/>
      <c r="GD146" s="1177"/>
      <c r="GE146" s="1177"/>
      <c r="GF146" s="1177"/>
      <c r="GG146" s="1177"/>
    </row>
    <row r="147" spans="1:189" s="1158" customFormat="1">
      <c r="A147" s="1615"/>
      <c r="B147" s="467"/>
      <c r="C147" s="1714" t="e">
        <f>#REF!</f>
        <v>#REF!</v>
      </c>
      <c r="D147" s="1711">
        <f>1*0</f>
        <v>0</v>
      </c>
      <c r="E147" s="547" t="e">
        <f>#REF!</f>
        <v>#REF!</v>
      </c>
      <c r="F147" s="547" t="e">
        <f>+D147*E147</f>
        <v>#REF!</v>
      </c>
      <c r="H147" s="1155">
        <v>0</v>
      </c>
      <c r="I147" s="1156">
        <v>1</v>
      </c>
      <c r="J147" s="1155">
        <f>H147*I147</f>
        <v>0</v>
      </c>
      <c r="K147" s="1157"/>
      <c r="L147" s="1157"/>
      <c r="M147" s="1157"/>
      <c r="N147" s="1157"/>
      <c r="O147" s="1157"/>
      <c r="P147" s="1157"/>
      <c r="Q147" s="1157"/>
      <c r="R147" s="1157"/>
      <c r="S147" s="1157"/>
      <c r="T147" s="1157"/>
      <c r="U147" s="1157"/>
      <c r="V147" s="1157"/>
      <c r="W147" s="1157"/>
      <c r="X147" s="1157"/>
      <c r="Y147" s="1157"/>
      <c r="Z147" s="1157"/>
      <c r="AA147" s="1157"/>
      <c r="AB147" s="1157"/>
      <c r="AC147" s="1157"/>
      <c r="AD147" s="1157"/>
      <c r="AE147" s="1157"/>
      <c r="AF147" s="1157"/>
      <c r="AG147" s="1157"/>
      <c r="AH147" s="1157"/>
      <c r="AI147" s="1157"/>
      <c r="AJ147" s="1157"/>
      <c r="AK147" s="1157"/>
      <c r="AL147" s="1157"/>
      <c r="AM147" s="1157"/>
      <c r="AN147" s="1157"/>
      <c r="AO147" s="1157"/>
      <c r="AP147" s="1157"/>
      <c r="AQ147" s="1157"/>
      <c r="AR147" s="1157"/>
      <c r="AS147" s="1157"/>
      <c r="AT147" s="1157"/>
      <c r="AU147" s="1157"/>
      <c r="AV147" s="1157"/>
      <c r="AW147" s="1157"/>
      <c r="AX147" s="1157"/>
      <c r="AY147" s="1157"/>
      <c r="AZ147" s="1157"/>
      <c r="BA147" s="1157"/>
      <c r="BB147" s="1157"/>
      <c r="BC147" s="1157"/>
      <c r="BD147" s="1157"/>
      <c r="BE147" s="1157"/>
      <c r="BF147" s="1157"/>
      <c r="BG147" s="1157"/>
      <c r="BH147" s="1157"/>
      <c r="BI147" s="1157"/>
      <c r="BJ147" s="1157"/>
      <c r="BK147" s="1157"/>
      <c r="BL147" s="1157"/>
      <c r="BM147" s="1157"/>
      <c r="BN147" s="1157"/>
      <c r="BO147" s="1157"/>
      <c r="BP147" s="1157"/>
      <c r="BQ147" s="1157"/>
      <c r="BR147" s="1157"/>
      <c r="BS147" s="1157"/>
      <c r="BT147" s="1157"/>
      <c r="BU147" s="1157"/>
      <c r="BV147" s="1157"/>
      <c r="BW147" s="1157"/>
      <c r="BX147" s="1157"/>
      <c r="BY147" s="1157"/>
      <c r="BZ147" s="1157"/>
      <c r="CA147" s="1157"/>
      <c r="CB147" s="1157"/>
      <c r="CC147" s="1157"/>
      <c r="CD147" s="1157"/>
      <c r="CE147" s="1157"/>
      <c r="CF147" s="1157"/>
      <c r="CG147" s="1157"/>
      <c r="CH147" s="1157"/>
      <c r="CI147" s="1157"/>
      <c r="CJ147" s="1157"/>
      <c r="CK147" s="1157"/>
      <c r="CL147" s="1157"/>
      <c r="CM147" s="1157"/>
      <c r="CN147" s="1157"/>
      <c r="CO147" s="1157"/>
      <c r="CP147" s="1157"/>
      <c r="CQ147" s="1157"/>
      <c r="CR147" s="1157"/>
      <c r="CS147" s="1157"/>
      <c r="CT147" s="1157"/>
      <c r="CU147" s="1157"/>
      <c r="CV147" s="1157"/>
      <c r="CW147" s="1157"/>
      <c r="CX147" s="1157"/>
      <c r="CY147" s="1157"/>
      <c r="CZ147" s="1157"/>
      <c r="DA147" s="1157"/>
      <c r="DB147" s="1157"/>
      <c r="DC147" s="1157"/>
      <c r="DD147" s="1157"/>
      <c r="DE147" s="1157"/>
      <c r="DF147" s="1157"/>
      <c r="DG147" s="1157"/>
      <c r="DH147" s="1157"/>
      <c r="DI147" s="1157"/>
      <c r="DJ147" s="1157"/>
      <c r="DK147" s="1157"/>
      <c r="DL147" s="1157"/>
      <c r="DM147" s="1157"/>
      <c r="DN147" s="1157"/>
      <c r="DO147" s="1157"/>
      <c r="DP147" s="1157"/>
      <c r="DQ147" s="1157"/>
      <c r="DR147" s="1157"/>
      <c r="DS147" s="1157"/>
      <c r="DT147" s="1157"/>
      <c r="DU147" s="1157"/>
      <c r="DV147" s="1157"/>
      <c r="DW147" s="1157"/>
      <c r="DX147" s="1157"/>
      <c r="DY147" s="1157"/>
      <c r="DZ147" s="1157"/>
      <c r="EA147" s="1157"/>
      <c r="EB147" s="1157"/>
      <c r="EC147" s="1157"/>
      <c r="ED147" s="1157"/>
      <c r="EE147" s="1157"/>
      <c r="EF147" s="1157"/>
      <c r="EG147" s="1157"/>
      <c r="EH147" s="1157"/>
      <c r="EI147" s="1157"/>
      <c r="EJ147" s="1157"/>
      <c r="EK147" s="1157"/>
      <c r="EL147" s="1157"/>
      <c r="EM147" s="1157"/>
      <c r="EN147" s="1157"/>
      <c r="EO147" s="1157"/>
      <c r="EP147" s="1157"/>
      <c r="EQ147" s="1157"/>
      <c r="ER147" s="1157"/>
      <c r="ES147" s="1157"/>
      <c r="ET147" s="1157"/>
      <c r="EU147" s="1157"/>
      <c r="EV147" s="1157"/>
      <c r="EW147" s="1157"/>
      <c r="EX147" s="1157"/>
      <c r="EY147" s="1157"/>
      <c r="EZ147" s="1157"/>
      <c r="FA147" s="1157"/>
      <c r="FB147" s="1157"/>
      <c r="FC147" s="1157"/>
      <c r="FD147" s="1157"/>
      <c r="FE147" s="1157"/>
      <c r="FF147" s="1157"/>
      <c r="FG147" s="1157"/>
      <c r="FH147" s="1157"/>
      <c r="FI147" s="1157"/>
      <c r="FJ147" s="1157"/>
      <c r="FK147" s="1157"/>
      <c r="FL147" s="1157"/>
      <c r="FM147" s="1157"/>
      <c r="FN147" s="1157"/>
      <c r="FO147" s="1157"/>
      <c r="FP147" s="1157"/>
      <c r="FQ147" s="1157"/>
      <c r="FR147" s="1157"/>
      <c r="FS147" s="1157"/>
      <c r="FT147" s="1157"/>
      <c r="FU147" s="1157"/>
      <c r="FV147" s="1157"/>
      <c r="FW147" s="1157"/>
      <c r="FX147" s="1157"/>
      <c r="FY147" s="1157"/>
      <c r="FZ147" s="1157"/>
      <c r="GA147" s="1157"/>
      <c r="GB147" s="1157"/>
      <c r="GC147" s="1157"/>
      <c r="GD147" s="1157"/>
      <c r="GE147" s="1157"/>
      <c r="GF147" s="1157"/>
      <c r="GG147" s="1157"/>
    </row>
    <row r="148" spans="1:189" s="1158" customFormat="1">
      <c r="A148" s="1281" t="e">
        <f>+#REF!</f>
        <v>#REF!</v>
      </c>
      <c r="B148" s="1620" t="e">
        <f>+#REF!</f>
        <v>#REF!</v>
      </c>
      <c r="C148" s="1712"/>
      <c r="D148" s="1709"/>
      <c r="E148" s="544"/>
      <c r="F148" s="544"/>
      <c r="H148" s="1155"/>
      <c r="I148" s="1156"/>
      <c r="J148" s="1155"/>
      <c r="K148" s="1181" t="e">
        <f>+#REF!/#REF!</f>
        <v>#REF!</v>
      </c>
      <c r="L148" s="1157">
        <v>3</v>
      </c>
      <c r="M148" s="1157"/>
      <c r="N148" s="1157"/>
      <c r="O148" s="1157"/>
      <c r="P148" s="1157"/>
      <c r="Q148" s="1157"/>
      <c r="R148" s="1157"/>
      <c r="S148" s="1157"/>
      <c r="T148" s="1157"/>
      <c r="U148" s="1157"/>
      <c r="V148" s="1157"/>
      <c r="W148" s="1157"/>
      <c r="X148" s="1157"/>
      <c r="Y148" s="1157"/>
      <c r="Z148" s="1157"/>
      <c r="AA148" s="1157"/>
      <c r="AB148" s="1157"/>
      <c r="AC148" s="1157"/>
      <c r="AD148" s="1157"/>
      <c r="AE148" s="1157"/>
      <c r="AF148" s="1157"/>
      <c r="AG148" s="1157"/>
      <c r="AH148" s="1157"/>
      <c r="AI148" s="1157"/>
      <c r="AJ148" s="1157"/>
      <c r="AK148" s="1157"/>
      <c r="AL148" s="1157"/>
      <c r="AM148" s="1157"/>
      <c r="AN148" s="1157"/>
      <c r="AO148" s="1157"/>
      <c r="AP148" s="1157"/>
      <c r="AQ148" s="1157"/>
      <c r="AR148" s="1157"/>
      <c r="AS148" s="1157"/>
      <c r="AT148" s="1157"/>
      <c r="AU148" s="1157"/>
      <c r="AV148" s="1157"/>
      <c r="AW148" s="1157"/>
      <c r="AX148" s="1157"/>
      <c r="AY148" s="1157"/>
      <c r="AZ148" s="1157"/>
      <c r="BA148" s="1157"/>
      <c r="BB148" s="1157"/>
      <c r="BC148" s="1157"/>
      <c r="BD148" s="1157"/>
      <c r="BE148" s="1157"/>
      <c r="BF148" s="1157"/>
      <c r="BG148" s="1157"/>
      <c r="BH148" s="1157"/>
      <c r="BI148" s="1157"/>
      <c r="BJ148" s="1157"/>
      <c r="BK148" s="1157"/>
      <c r="BL148" s="1157"/>
      <c r="BM148" s="1157"/>
      <c r="BN148" s="1157"/>
      <c r="BO148" s="1157"/>
      <c r="BP148" s="1157"/>
      <c r="BQ148" s="1157"/>
      <c r="BR148" s="1157"/>
      <c r="BS148" s="1157"/>
      <c r="BT148" s="1157"/>
      <c r="BU148" s="1157"/>
      <c r="BV148" s="1157"/>
      <c r="BW148" s="1157"/>
      <c r="BX148" s="1157"/>
      <c r="BY148" s="1157"/>
      <c r="BZ148" s="1157"/>
      <c r="CA148" s="1157"/>
      <c r="CB148" s="1157"/>
      <c r="CC148" s="1157"/>
      <c r="CD148" s="1157"/>
      <c r="CE148" s="1157"/>
      <c r="CF148" s="1157"/>
      <c r="CG148" s="1157"/>
      <c r="CH148" s="1157"/>
      <c r="CI148" s="1157"/>
      <c r="CJ148" s="1157"/>
      <c r="CK148" s="1157"/>
      <c r="CL148" s="1157"/>
      <c r="CM148" s="1157"/>
      <c r="CN148" s="1157"/>
      <c r="CO148" s="1157"/>
      <c r="CP148" s="1157"/>
      <c r="CQ148" s="1157"/>
      <c r="CR148" s="1157"/>
      <c r="CS148" s="1157"/>
      <c r="CT148" s="1157"/>
      <c r="CU148" s="1157"/>
      <c r="CV148" s="1157"/>
      <c r="CW148" s="1157"/>
      <c r="CX148" s="1157"/>
      <c r="CY148" s="1157"/>
      <c r="CZ148" s="1157"/>
      <c r="DA148" s="1157"/>
      <c r="DB148" s="1157"/>
      <c r="DC148" s="1157"/>
      <c r="DD148" s="1157"/>
      <c r="DE148" s="1157"/>
      <c r="DF148" s="1157"/>
      <c r="DG148" s="1157"/>
      <c r="DH148" s="1157"/>
      <c r="DI148" s="1157"/>
      <c r="DJ148" s="1157"/>
      <c r="DK148" s="1157"/>
      <c r="DL148" s="1157"/>
      <c r="DM148" s="1157"/>
      <c r="DN148" s="1157"/>
      <c r="DO148" s="1157"/>
      <c r="DP148" s="1157"/>
      <c r="DQ148" s="1157"/>
      <c r="DR148" s="1157"/>
      <c r="DS148" s="1157"/>
      <c r="DT148" s="1157"/>
      <c r="DU148" s="1157"/>
      <c r="DV148" s="1157"/>
      <c r="DW148" s="1157"/>
      <c r="DX148" s="1157"/>
      <c r="DY148" s="1157"/>
      <c r="DZ148" s="1157"/>
      <c r="EA148" s="1157"/>
      <c r="EB148" s="1157"/>
      <c r="EC148" s="1157"/>
      <c r="ED148" s="1157"/>
      <c r="EE148" s="1157"/>
      <c r="EF148" s="1157"/>
      <c r="EG148" s="1157"/>
      <c r="EH148" s="1157"/>
      <c r="EI148" s="1157"/>
      <c r="EJ148" s="1157"/>
      <c r="EK148" s="1157"/>
      <c r="EL148" s="1157"/>
      <c r="EM148" s="1157"/>
      <c r="EN148" s="1157"/>
      <c r="EO148" s="1157"/>
      <c r="EP148" s="1157"/>
      <c r="EQ148" s="1157"/>
      <c r="ER148" s="1157"/>
      <c r="ES148" s="1157"/>
      <c r="ET148" s="1157"/>
      <c r="EU148" s="1157"/>
      <c r="EV148" s="1157"/>
      <c r="EW148" s="1157"/>
      <c r="EX148" s="1157"/>
      <c r="EY148" s="1157"/>
      <c r="EZ148" s="1157"/>
      <c r="FA148" s="1157"/>
      <c r="FB148" s="1157"/>
      <c r="FC148" s="1157"/>
      <c r="FD148" s="1157"/>
      <c r="FE148" s="1157"/>
      <c r="FF148" s="1157"/>
      <c r="FG148" s="1157"/>
      <c r="FH148" s="1157"/>
      <c r="FI148" s="1157"/>
      <c r="FJ148" s="1157"/>
      <c r="FK148" s="1157"/>
      <c r="FL148" s="1157"/>
      <c r="FM148" s="1157"/>
      <c r="FN148" s="1157"/>
      <c r="FO148" s="1157"/>
      <c r="FP148" s="1157"/>
      <c r="FQ148" s="1157"/>
      <c r="FR148" s="1157"/>
      <c r="FS148" s="1157"/>
      <c r="FT148" s="1157"/>
      <c r="FU148" s="1157"/>
      <c r="FV148" s="1157"/>
      <c r="FW148" s="1157"/>
      <c r="FX148" s="1157"/>
      <c r="FY148" s="1157"/>
      <c r="FZ148" s="1157"/>
      <c r="GA148" s="1157"/>
      <c r="GB148" s="1157"/>
      <c r="GC148" s="1157"/>
      <c r="GD148" s="1157"/>
      <c r="GE148" s="1157"/>
      <c r="GF148" s="1157"/>
      <c r="GG148" s="1157"/>
    </row>
    <row r="149" spans="1:189" s="1158" customFormat="1" ht="30" customHeight="1">
      <c r="A149" s="1624" t="e">
        <f>+#REF!</f>
        <v>#REF!</v>
      </c>
      <c r="B149" s="1625" t="e">
        <f>+#REF!</f>
        <v>#REF!</v>
      </c>
      <c r="C149" s="1713" t="e">
        <f>#REF!</f>
        <v>#REF!</v>
      </c>
      <c r="D149" s="1710">
        <f>J149</f>
        <v>17.362800000000004</v>
      </c>
      <c r="E149" s="650" t="e">
        <f>#REF!</f>
        <v>#REF!</v>
      </c>
      <c r="F149" s="650" t="e">
        <f>+D149*E149</f>
        <v>#REF!</v>
      </c>
      <c r="H149" s="1155">
        <f>SUM(D138:D143)/50+5</f>
        <v>16.536000000000001</v>
      </c>
      <c r="I149" s="1156">
        <v>1.05</v>
      </c>
      <c r="J149" s="1155">
        <f>H149*I149</f>
        <v>17.362800000000004</v>
      </c>
      <c r="K149" s="1157"/>
      <c r="L149" s="1184" t="e">
        <f>+#REF!/#REF!*L148</f>
        <v>#REF!</v>
      </c>
      <c r="M149" s="1157"/>
      <c r="N149" s="1157"/>
      <c r="O149" s="1157"/>
      <c r="P149" s="1157"/>
      <c r="Q149" s="1157"/>
      <c r="R149" s="1157"/>
      <c r="S149" s="1157"/>
      <c r="T149" s="1157"/>
      <c r="U149" s="1157"/>
      <c r="V149" s="1157"/>
      <c r="W149" s="1157"/>
      <c r="X149" s="1157"/>
      <c r="Y149" s="1157"/>
      <c r="Z149" s="1157"/>
      <c r="AA149" s="1157"/>
      <c r="AB149" s="1157"/>
      <c r="AC149" s="1157"/>
      <c r="AD149" s="1157"/>
      <c r="AE149" s="1157"/>
      <c r="AF149" s="1157"/>
      <c r="AG149" s="1157"/>
      <c r="AH149" s="1157"/>
      <c r="AI149" s="1157"/>
      <c r="AJ149" s="1157"/>
      <c r="AK149" s="1157"/>
      <c r="AL149" s="1157"/>
      <c r="AM149" s="1157"/>
      <c r="AN149" s="1157"/>
      <c r="AO149" s="1157"/>
      <c r="AP149" s="1157"/>
      <c r="AQ149" s="1157"/>
      <c r="AR149" s="1157"/>
      <c r="AS149" s="1157"/>
      <c r="AT149" s="1157"/>
      <c r="AU149" s="1157"/>
      <c r="AV149" s="1157"/>
      <c r="AW149" s="1157"/>
      <c r="AX149" s="1157"/>
      <c r="AY149" s="1157"/>
      <c r="AZ149" s="1157"/>
      <c r="BA149" s="1157"/>
      <c r="BB149" s="1157"/>
      <c r="BC149" s="1157"/>
      <c r="BD149" s="1157"/>
      <c r="BE149" s="1157"/>
      <c r="BF149" s="1157"/>
      <c r="BG149" s="1157"/>
      <c r="BH149" s="1157"/>
      <c r="BI149" s="1157"/>
      <c r="BJ149" s="1157"/>
      <c r="BK149" s="1157"/>
      <c r="BL149" s="1157"/>
      <c r="BM149" s="1157"/>
      <c r="BN149" s="1157"/>
      <c r="BO149" s="1157"/>
      <c r="BP149" s="1157"/>
      <c r="BQ149" s="1157"/>
      <c r="BR149" s="1157"/>
      <c r="BS149" s="1157"/>
      <c r="BT149" s="1157"/>
      <c r="BU149" s="1157"/>
      <c r="BV149" s="1157"/>
      <c r="BW149" s="1157"/>
      <c r="BX149" s="1157"/>
      <c r="BY149" s="1157"/>
      <c r="BZ149" s="1157"/>
      <c r="CA149" s="1157"/>
      <c r="CB149" s="1157"/>
      <c r="CC149" s="1157"/>
      <c r="CD149" s="1157"/>
      <c r="CE149" s="1157"/>
      <c r="CF149" s="1157"/>
      <c r="CG149" s="1157"/>
      <c r="CH149" s="1157"/>
      <c r="CI149" s="1157"/>
      <c r="CJ149" s="1157"/>
      <c r="CK149" s="1157"/>
      <c r="CL149" s="1157"/>
      <c r="CM149" s="1157"/>
      <c r="CN149" s="1157"/>
      <c r="CO149" s="1157"/>
      <c r="CP149" s="1157"/>
      <c r="CQ149" s="1157"/>
      <c r="CR149" s="1157"/>
      <c r="CS149" s="1157"/>
      <c r="CT149" s="1157"/>
      <c r="CU149" s="1157"/>
      <c r="CV149" s="1157"/>
      <c r="CW149" s="1157"/>
      <c r="CX149" s="1157"/>
      <c r="CY149" s="1157"/>
      <c r="CZ149" s="1157"/>
      <c r="DA149" s="1157"/>
      <c r="DB149" s="1157"/>
      <c r="DC149" s="1157"/>
      <c r="DD149" s="1157"/>
      <c r="DE149" s="1157"/>
      <c r="DF149" s="1157"/>
      <c r="DG149" s="1157"/>
      <c r="DH149" s="1157"/>
      <c r="DI149" s="1157"/>
      <c r="DJ149" s="1157"/>
      <c r="DK149" s="1157"/>
      <c r="DL149" s="1157"/>
      <c r="DM149" s="1157"/>
      <c r="DN149" s="1157"/>
      <c r="DO149" s="1157"/>
      <c r="DP149" s="1157"/>
      <c r="DQ149" s="1157"/>
      <c r="DR149" s="1157"/>
      <c r="DS149" s="1157"/>
      <c r="DT149" s="1157"/>
      <c r="DU149" s="1157"/>
      <c r="DV149" s="1157"/>
      <c r="DW149" s="1157"/>
      <c r="DX149" s="1157"/>
      <c r="DY149" s="1157"/>
      <c r="DZ149" s="1157"/>
      <c r="EA149" s="1157"/>
      <c r="EB149" s="1157"/>
      <c r="EC149" s="1157"/>
      <c r="ED149" s="1157"/>
      <c r="EE149" s="1157"/>
      <c r="EF149" s="1157"/>
      <c r="EG149" s="1157"/>
      <c r="EH149" s="1157"/>
      <c r="EI149" s="1157"/>
      <c r="EJ149" s="1157"/>
      <c r="EK149" s="1157"/>
      <c r="EL149" s="1157"/>
      <c r="EM149" s="1157"/>
      <c r="EN149" s="1157"/>
      <c r="EO149" s="1157"/>
      <c r="EP149" s="1157"/>
      <c r="EQ149" s="1157"/>
      <c r="ER149" s="1157"/>
      <c r="ES149" s="1157"/>
      <c r="ET149" s="1157"/>
      <c r="EU149" s="1157"/>
      <c r="EV149" s="1157"/>
      <c r="EW149" s="1157"/>
      <c r="EX149" s="1157"/>
      <c r="EY149" s="1157"/>
      <c r="EZ149" s="1157"/>
      <c r="FA149" s="1157"/>
      <c r="FB149" s="1157"/>
      <c r="FC149" s="1157"/>
      <c r="FD149" s="1157"/>
      <c r="FE149" s="1157"/>
      <c r="FF149" s="1157"/>
      <c r="FG149" s="1157"/>
      <c r="FH149" s="1157"/>
      <c r="FI149" s="1157"/>
      <c r="FJ149" s="1157"/>
      <c r="FK149" s="1157"/>
      <c r="FL149" s="1157"/>
      <c r="FM149" s="1157"/>
      <c r="FN149" s="1157"/>
      <c r="FO149" s="1157"/>
      <c r="FP149" s="1157"/>
      <c r="FQ149" s="1157"/>
      <c r="FR149" s="1157"/>
      <c r="FS149" s="1157"/>
      <c r="FT149" s="1157"/>
      <c r="FU149" s="1157"/>
      <c r="FV149" s="1157"/>
      <c r="FW149" s="1157"/>
      <c r="FX149" s="1157"/>
      <c r="FY149" s="1157"/>
      <c r="FZ149" s="1157"/>
      <c r="GA149" s="1157"/>
      <c r="GB149" s="1157"/>
      <c r="GC149" s="1157"/>
      <c r="GD149" s="1157"/>
      <c r="GE149" s="1157"/>
      <c r="GF149" s="1157"/>
      <c r="GG149" s="1157"/>
    </row>
    <row r="150" spans="1:189" s="1158" customFormat="1">
      <c r="A150" s="1624" t="e">
        <f>+#REF!</f>
        <v>#REF!</v>
      </c>
      <c r="B150" s="1625" t="e">
        <f>+#REF!</f>
        <v>#REF!</v>
      </c>
      <c r="C150" s="1713" t="e">
        <f>#REF!</f>
        <v>#REF!</v>
      </c>
      <c r="D150" s="1710">
        <f>J150</f>
        <v>0</v>
      </c>
      <c r="E150" s="650" t="e">
        <f>#REF!</f>
        <v>#REF!</v>
      </c>
      <c r="F150" s="650" t="e">
        <f>+D150*E150</f>
        <v>#REF!</v>
      </c>
      <c r="H150" s="1155">
        <f>SUM(J132:J136)/12.5</f>
        <v>0</v>
      </c>
      <c r="I150" s="1156">
        <v>1.05</v>
      </c>
      <c r="J150" s="1155">
        <f>H150*I150</f>
        <v>0</v>
      </c>
      <c r="K150" s="1157"/>
      <c r="L150" s="1157"/>
      <c r="M150" s="1157"/>
      <c r="N150" s="1157"/>
      <c r="O150" s="1157"/>
      <c r="P150" s="1157"/>
      <c r="Q150" s="1157"/>
      <c r="R150" s="1157"/>
      <c r="S150" s="1157"/>
      <c r="T150" s="1157"/>
      <c r="U150" s="1157"/>
      <c r="V150" s="1157"/>
      <c r="W150" s="1157"/>
      <c r="X150" s="1157"/>
      <c r="Y150" s="1157"/>
      <c r="Z150" s="1157"/>
      <c r="AA150" s="1157"/>
      <c r="AB150" s="1157"/>
      <c r="AC150" s="1157"/>
      <c r="AD150" s="1157"/>
      <c r="AE150" s="1157"/>
      <c r="AF150" s="1157"/>
      <c r="AG150" s="1157"/>
      <c r="AH150" s="1157"/>
      <c r="AI150" s="1157"/>
      <c r="AJ150" s="1157"/>
      <c r="AK150" s="1157"/>
      <c r="AL150" s="1157"/>
      <c r="AM150" s="1157"/>
      <c r="AN150" s="1157"/>
      <c r="AO150" s="1157"/>
      <c r="AP150" s="1157"/>
      <c r="AQ150" s="1157"/>
      <c r="AR150" s="1157"/>
      <c r="AS150" s="1157"/>
      <c r="AT150" s="1157"/>
      <c r="AU150" s="1157"/>
      <c r="AV150" s="1157"/>
      <c r="AW150" s="1157"/>
      <c r="AX150" s="1157"/>
      <c r="AY150" s="1157"/>
      <c r="AZ150" s="1157"/>
      <c r="BA150" s="1157"/>
      <c r="BB150" s="1157"/>
      <c r="BC150" s="1157"/>
      <c r="BD150" s="1157"/>
      <c r="BE150" s="1157"/>
      <c r="BF150" s="1157"/>
      <c r="BG150" s="1157"/>
      <c r="BH150" s="1157"/>
      <c r="BI150" s="1157"/>
      <c r="BJ150" s="1157"/>
      <c r="BK150" s="1157"/>
      <c r="BL150" s="1157"/>
      <c r="BM150" s="1157"/>
      <c r="BN150" s="1157"/>
      <c r="BO150" s="1157"/>
      <c r="BP150" s="1157"/>
      <c r="BQ150" s="1157"/>
      <c r="BR150" s="1157"/>
      <c r="BS150" s="1157"/>
      <c r="BT150" s="1157"/>
      <c r="BU150" s="1157"/>
      <c r="BV150" s="1157"/>
      <c r="BW150" s="1157"/>
      <c r="BX150" s="1157"/>
      <c r="BY150" s="1157"/>
      <c r="BZ150" s="1157"/>
      <c r="CA150" s="1157"/>
      <c r="CB150" s="1157"/>
      <c r="CC150" s="1157"/>
      <c r="CD150" s="1157"/>
      <c r="CE150" s="1157"/>
      <c r="CF150" s="1157"/>
      <c r="CG150" s="1157"/>
      <c r="CH150" s="1157"/>
      <c r="CI150" s="1157"/>
      <c r="CJ150" s="1157"/>
      <c r="CK150" s="1157"/>
      <c r="CL150" s="1157"/>
      <c r="CM150" s="1157"/>
      <c r="CN150" s="1157"/>
      <c r="CO150" s="1157"/>
      <c r="CP150" s="1157"/>
      <c r="CQ150" s="1157"/>
      <c r="CR150" s="1157"/>
      <c r="CS150" s="1157"/>
      <c r="CT150" s="1157"/>
      <c r="CU150" s="1157"/>
      <c r="CV150" s="1157"/>
      <c r="CW150" s="1157"/>
      <c r="CX150" s="1157"/>
      <c r="CY150" s="1157"/>
      <c r="CZ150" s="1157"/>
      <c r="DA150" s="1157"/>
      <c r="DB150" s="1157"/>
      <c r="DC150" s="1157"/>
      <c r="DD150" s="1157"/>
      <c r="DE150" s="1157"/>
      <c r="DF150" s="1157"/>
      <c r="DG150" s="1157"/>
      <c r="DH150" s="1157"/>
      <c r="DI150" s="1157"/>
      <c r="DJ150" s="1157"/>
      <c r="DK150" s="1157"/>
      <c r="DL150" s="1157"/>
      <c r="DM150" s="1157"/>
      <c r="DN150" s="1157"/>
      <c r="DO150" s="1157"/>
      <c r="DP150" s="1157"/>
      <c r="DQ150" s="1157"/>
      <c r="DR150" s="1157"/>
      <c r="DS150" s="1157"/>
      <c r="DT150" s="1157"/>
      <c r="DU150" s="1157"/>
      <c r="DV150" s="1157"/>
      <c r="DW150" s="1157"/>
      <c r="DX150" s="1157"/>
      <c r="DY150" s="1157"/>
      <c r="DZ150" s="1157"/>
      <c r="EA150" s="1157"/>
      <c r="EB150" s="1157"/>
      <c r="EC150" s="1157"/>
      <c r="ED150" s="1157"/>
      <c r="EE150" s="1157"/>
      <c r="EF150" s="1157"/>
      <c r="EG150" s="1157"/>
      <c r="EH150" s="1157"/>
      <c r="EI150" s="1157"/>
      <c r="EJ150" s="1157"/>
      <c r="EK150" s="1157"/>
      <c r="EL150" s="1157"/>
      <c r="EM150" s="1157"/>
      <c r="EN150" s="1157"/>
      <c r="EO150" s="1157"/>
      <c r="EP150" s="1157"/>
      <c r="EQ150" s="1157"/>
      <c r="ER150" s="1157"/>
      <c r="ES150" s="1157"/>
      <c r="ET150" s="1157"/>
      <c r="EU150" s="1157"/>
      <c r="EV150" s="1157"/>
      <c r="EW150" s="1157"/>
      <c r="EX150" s="1157"/>
      <c r="EY150" s="1157"/>
      <c r="EZ150" s="1157"/>
      <c r="FA150" s="1157"/>
      <c r="FB150" s="1157"/>
      <c r="FC150" s="1157"/>
      <c r="FD150" s="1157"/>
      <c r="FE150" s="1157"/>
      <c r="FF150" s="1157"/>
      <c r="FG150" s="1157"/>
      <c r="FH150" s="1157"/>
      <c r="FI150" s="1157"/>
      <c r="FJ150" s="1157"/>
      <c r="FK150" s="1157"/>
      <c r="FL150" s="1157"/>
      <c r="FM150" s="1157"/>
      <c r="FN150" s="1157"/>
      <c r="FO150" s="1157"/>
      <c r="FP150" s="1157"/>
      <c r="FQ150" s="1157"/>
      <c r="FR150" s="1157"/>
      <c r="FS150" s="1157"/>
      <c r="FT150" s="1157"/>
      <c r="FU150" s="1157"/>
      <c r="FV150" s="1157"/>
      <c r="FW150" s="1157"/>
      <c r="FX150" s="1157"/>
      <c r="FY150" s="1157"/>
      <c r="FZ150" s="1157"/>
      <c r="GA150" s="1157"/>
      <c r="GB150" s="1157"/>
      <c r="GC150" s="1157"/>
      <c r="GD150" s="1157"/>
      <c r="GE150" s="1157"/>
      <c r="GF150" s="1157"/>
      <c r="GG150" s="1157"/>
    </row>
    <row r="151" spans="1:189" s="1158" customFormat="1">
      <c r="A151" s="1615" t="e">
        <f>+#REF!</f>
        <v>#REF!</v>
      </c>
      <c r="B151" s="1626" t="e">
        <f>+#REF!</f>
        <v>#REF!</v>
      </c>
      <c r="C151" s="1714" t="e">
        <f>#REF!</f>
        <v>#REF!</v>
      </c>
      <c r="D151" s="1711">
        <f>+H151</f>
        <v>0</v>
      </c>
      <c r="E151" s="547" t="e">
        <f>+#REF!</f>
        <v>#REF!</v>
      </c>
      <c r="F151" s="547" t="e">
        <f>+D151*E151</f>
        <v>#REF!</v>
      </c>
      <c r="H151" s="1155">
        <v>0</v>
      </c>
      <c r="I151" s="1156"/>
      <c r="J151" s="1155"/>
      <c r="K151" s="1157"/>
      <c r="L151" s="1157"/>
      <c r="M151" s="1157"/>
      <c r="N151" s="1157"/>
      <c r="O151" s="1157"/>
      <c r="P151" s="1157"/>
      <c r="Q151" s="1157"/>
      <c r="R151" s="1157"/>
      <c r="S151" s="1157"/>
      <c r="T151" s="1157"/>
      <c r="U151" s="1157"/>
      <c r="V151" s="1157"/>
      <c r="W151" s="1157"/>
      <c r="X151" s="1157"/>
      <c r="Y151" s="1157"/>
      <c r="Z151" s="1157"/>
      <c r="AA151" s="1157"/>
      <c r="AB151" s="1157"/>
      <c r="AC151" s="1157"/>
      <c r="AD151" s="1157"/>
      <c r="AE151" s="1157"/>
      <c r="AF151" s="1157"/>
      <c r="AG151" s="1157"/>
      <c r="AH151" s="1157"/>
      <c r="AI151" s="1157"/>
      <c r="AJ151" s="1157"/>
      <c r="AK151" s="1157"/>
      <c r="AL151" s="1157"/>
      <c r="AM151" s="1157"/>
      <c r="AN151" s="1157"/>
      <c r="AO151" s="1157"/>
      <c r="AP151" s="1157"/>
      <c r="AQ151" s="1157"/>
      <c r="AR151" s="1157"/>
      <c r="AS151" s="1157"/>
      <c r="AT151" s="1157"/>
      <c r="AU151" s="1157"/>
      <c r="AV151" s="1157"/>
      <c r="AW151" s="1157"/>
      <c r="AX151" s="1157"/>
      <c r="AY151" s="1157"/>
      <c r="AZ151" s="1157"/>
      <c r="BA151" s="1157"/>
      <c r="BB151" s="1157"/>
      <c r="BC151" s="1157"/>
      <c r="BD151" s="1157"/>
      <c r="BE151" s="1157"/>
      <c r="BF151" s="1157"/>
      <c r="BG151" s="1157"/>
      <c r="BH151" s="1157"/>
      <c r="BI151" s="1157"/>
      <c r="BJ151" s="1157"/>
      <c r="BK151" s="1157"/>
      <c r="BL151" s="1157"/>
      <c r="BM151" s="1157"/>
      <c r="BN151" s="1157"/>
      <c r="BO151" s="1157"/>
      <c r="BP151" s="1157"/>
      <c r="BQ151" s="1157"/>
      <c r="BR151" s="1157"/>
      <c r="BS151" s="1157"/>
      <c r="BT151" s="1157"/>
      <c r="BU151" s="1157"/>
      <c r="BV151" s="1157"/>
      <c r="BW151" s="1157"/>
      <c r="BX151" s="1157"/>
      <c r="BY151" s="1157"/>
      <c r="BZ151" s="1157"/>
      <c r="CA151" s="1157"/>
      <c r="CB151" s="1157"/>
      <c r="CC151" s="1157"/>
      <c r="CD151" s="1157"/>
      <c r="CE151" s="1157"/>
      <c r="CF151" s="1157"/>
      <c r="CG151" s="1157"/>
      <c r="CH151" s="1157"/>
      <c r="CI151" s="1157"/>
      <c r="CJ151" s="1157"/>
      <c r="CK151" s="1157"/>
      <c r="CL151" s="1157"/>
      <c r="CM151" s="1157"/>
      <c r="CN151" s="1157"/>
      <c r="CO151" s="1157"/>
      <c r="CP151" s="1157"/>
      <c r="CQ151" s="1157"/>
      <c r="CR151" s="1157"/>
      <c r="CS151" s="1157"/>
      <c r="CT151" s="1157"/>
      <c r="CU151" s="1157"/>
      <c r="CV151" s="1157"/>
      <c r="CW151" s="1157"/>
      <c r="CX151" s="1157"/>
      <c r="CY151" s="1157"/>
      <c r="CZ151" s="1157"/>
      <c r="DA151" s="1157"/>
      <c r="DB151" s="1157"/>
      <c r="DC151" s="1157"/>
      <c r="DD151" s="1157"/>
      <c r="DE151" s="1157"/>
      <c r="DF151" s="1157"/>
      <c r="DG151" s="1157"/>
      <c r="DH151" s="1157"/>
      <c r="DI151" s="1157"/>
      <c r="DJ151" s="1157"/>
      <c r="DK151" s="1157"/>
      <c r="DL151" s="1157"/>
      <c r="DM151" s="1157"/>
      <c r="DN151" s="1157"/>
      <c r="DO151" s="1157"/>
      <c r="DP151" s="1157"/>
      <c r="DQ151" s="1157"/>
      <c r="DR151" s="1157"/>
      <c r="DS151" s="1157"/>
      <c r="DT151" s="1157"/>
      <c r="DU151" s="1157"/>
      <c r="DV151" s="1157"/>
      <c r="DW151" s="1157"/>
      <c r="DX151" s="1157"/>
      <c r="DY151" s="1157"/>
      <c r="DZ151" s="1157"/>
      <c r="EA151" s="1157"/>
      <c r="EB151" s="1157"/>
      <c r="EC151" s="1157"/>
      <c r="ED151" s="1157"/>
      <c r="EE151" s="1157"/>
      <c r="EF151" s="1157"/>
      <c r="EG151" s="1157"/>
      <c r="EH151" s="1157"/>
      <c r="EI151" s="1157"/>
      <c r="EJ151" s="1157"/>
      <c r="EK151" s="1157"/>
      <c r="EL151" s="1157"/>
      <c r="EM151" s="1157"/>
      <c r="EN151" s="1157"/>
      <c r="EO151" s="1157"/>
      <c r="EP151" s="1157"/>
      <c r="EQ151" s="1157"/>
      <c r="ER151" s="1157"/>
      <c r="ES151" s="1157"/>
      <c r="ET151" s="1157"/>
      <c r="EU151" s="1157"/>
      <c r="EV151" s="1157"/>
      <c r="EW151" s="1157"/>
      <c r="EX151" s="1157"/>
      <c r="EY151" s="1157"/>
      <c r="EZ151" s="1157"/>
      <c r="FA151" s="1157"/>
      <c r="FB151" s="1157"/>
      <c r="FC151" s="1157"/>
      <c r="FD151" s="1157"/>
      <c r="FE151" s="1157"/>
      <c r="FF151" s="1157"/>
      <c r="FG151" s="1157"/>
      <c r="FH151" s="1157"/>
      <c r="FI151" s="1157"/>
      <c r="FJ151" s="1157"/>
      <c r="FK151" s="1157"/>
      <c r="FL151" s="1157"/>
      <c r="FM151" s="1157"/>
      <c r="FN151" s="1157"/>
      <c r="FO151" s="1157"/>
      <c r="FP151" s="1157"/>
      <c r="FQ151" s="1157"/>
      <c r="FR151" s="1157"/>
      <c r="FS151" s="1157"/>
      <c r="FT151" s="1157"/>
      <c r="FU151" s="1157"/>
      <c r="FV151" s="1157"/>
      <c r="FW151" s="1157"/>
      <c r="FX151" s="1157"/>
      <c r="FY151" s="1157"/>
      <c r="FZ151" s="1157"/>
      <c r="GA151" s="1157"/>
      <c r="GB151" s="1157"/>
      <c r="GC151" s="1157"/>
      <c r="GD151" s="1157"/>
      <c r="GE151" s="1157"/>
      <c r="GF151" s="1157"/>
      <c r="GG151" s="1157"/>
    </row>
    <row r="152" spans="1:189" s="1146" customFormat="1" ht="18.75">
      <c r="A152" s="1120"/>
      <c r="B152" s="1134"/>
      <c r="C152" s="1608"/>
      <c r="D152" s="636"/>
      <c r="E152" s="1609" t="s">
        <v>113</v>
      </c>
      <c r="F152" s="1122" t="e">
        <f>SUM(F111:F151)</f>
        <v>#REF!</v>
      </c>
      <c r="G152" s="44"/>
      <c r="H152" s="1144"/>
      <c r="I152" s="1145"/>
      <c r="J152" s="1144"/>
    </row>
    <row r="153" spans="1:189" s="1146" customFormat="1" ht="15" customHeight="1">
      <c r="A153" s="1116"/>
      <c r="B153" s="1134"/>
      <c r="C153" s="926"/>
      <c r="D153" s="1114"/>
      <c r="E153" s="1128"/>
      <c r="F153" s="118"/>
      <c r="G153" s="44"/>
      <c r="H153" s="1144"/>
      <c r="I153" s="1145"/>
      <c r="J153" s="1144"/>
    </row>
    <row r="154" spans="1:189" s="1152" customFormat="1" ht="24.95" customHeight="1">
      <c r="A154" s="1905" t="e">
        <f>+#REF!</f>
        <v>#REF!</v>
      </c>
      <c r="B154" s="1906"/>
      <c r="C154" s="1906"/>
      <c r="D154" s="1906"/>
      <c r="E154" s="1906"/>
      <c r="F154" s="1907"/>
      <c r="G154" s="1149"/>
      <c r="H154" s="1150"/>
      <c r="I154" s="1151"/>
      <c r="J154" s="1150"/>
    </row>
    <row r="155" spans="1:189" s="1146" customFormat="1">
      <c r="A155" s="1449" t="e">
        <f>+#REF!</f>
        <v>#REF!</v>
      </c>
      <c r="B155" s="1614" t="e">
        <f>+#REF!</f>
        <v>#REF!</v>
      </c>
      <c r="C155" s="1475"/>
      <c r="D155" s="210"/>
      <c r="E155" s="161"/>
      <c r="F155" s="204"/>
      <c r="G155" s="44"/>
      <c r="H155" s="1144"/>
      <c r="I155" s="1145"/>
      <c r="J155" s="1144"/>
    </row>
    <row r="156" spans="1:189" s="1146" customFormat="1">
      <c r="A156" s="956" t="e">
        <f>+#REF!</f>
        <v>#REF!</v>
      </c>
      <c r="B156" s="230" t="e">
        <f>+#REF!</f>
        <v>#REF!</v>
      </c>
      <c r="C156" s="235" t="e">
        <f>#REF!</f>
        <v>#REF!</v>
      </c>
      <c r="D156" s="235">
        <f>J156</f>
        <v>0</v>
      </c>
      <c r="E156" s="140" t="e">
        <f>#REF!</f>
        <v>#REF!</v>
      </c>
      <c r="F156" s="314" t="e">
        <f>+D156*E156</f>
        <v>#REF!</v>
      </c>
      <c r="G156" s="44"/>
      <c r="H156" s="1144">
        <f>SUM(F13:F17)/25</f>
        <v>0</v>
      </c>
      <c r="I156" s="1145">
        <f>1.1*0</f>
        <v>0</v>
      </c>
      <c r="J156" s="1144">
        <f>ROUND(H156*I156,0)</f>
        <v>0</v>
      </c>
    </row>
    <row r="157" spans="1:189" s="176" customFormat="1">
      <c r="A157" s="765" t="e">
        <f>+#REF!</f>
        <v>#REF!</v>
      </c>
      <c r="B157" s="766" t="e">
        <f>+#REF!</f>
        <v>#REF!</v>
      </c>
      <c r="C157" s="1135" t="e">
        <f>#REF!</f>
        <v>#REF!</v>
      </c>
      <c r="D157" s="185">
        <f>+J157</f>
        <v>0</v>
      </c>
      <c r="E157" s="185" t="e">
        <f>+#REF!</f>
        <v>#REF!</v>
      </c>
      <c r="F157" s="208" t="e">
        <f>+D157*E157</f>
        <v>#REF!</v>
      </c>
      <c r="H157" s="1189">
        <f>+F8</f>
        <v>0</v>
      </c>
      <c r="I157" s="1190">
        <v>1.5</v>
      </c>
      <c r="J157" s="1189">
        <f>+H157*I157</f>
        <v>0</v>
      </c>
    </row>
    <row r="158" spans="1:189" s="176" customFormat="1">
      <c r="A158" s="1449" t="e">
        <f>+#REF!</f>
        <v>#REF!</v>
      </c>
      <c r="B158" s="1614" t="e">
        <f>+#REF!</f>
        <v>#REF!</v>
      </c>
      <c r="C158" s="1475"/>
      <c r="D158" s="210"/>
      <c r="E158" s="161"/>
      <c r="F158" s="204"/>
      <c r="H158" s="1189"/>
      <c r="I158" s="1190"/>
      <c r="J158" s="1189"/>
    </row>
    <row r="159" spans="1:189" s="176" customFormat="1">
      <c r="A159" s="956" t="e">
        <f>+#REF!</f>
        <v>#REF!</v>
      </c>
      <c r="B159" s="230" t="e">
        <f>+#REF!</f>
        <v>#REF!</v>
      </c>
      <c r="C159" s="235" t="e">
        <f>#REF!</f>
        <v>#REF!</v>
      </c>
      <c r="D159" s="235">
        <f>+(45)*0</f>
        <v>0</v>
      </c>
      <c r="E159" s="140" t="e">
        <f>#REF!</f>
        <v>#REF!</v>
      </c>
      <c r="F159" s="314" t="e">
        <f>+D159*E159</f>
        <v>#REF!</v>
      </c>
      <c r="H159" s="1189"/>
      <c r="I159" s="1190"/>
      <c r="J159" s="1189"/>
    </row>
    <row r="160" spans="1:189" s="176" customFormat="1">
      <c r="A160" s="785" t="e">
        <f>+#REF!</f>
        <v>#REF!</v>
      </c>
      <c r="B160" s="786" t="e">
        <f>+#REF!</f>
        <v>#REF!</v>
      </c>
      <c r="C160" s="235" t="e">
        <f>#REF!</f>
        <v>#REF!</v>
      </c>
      <c r="D160" s="140">
        <f>4*0</f>
        <v>0</v>
      </c>
      <c r="E160" s="140" t="e">
        <f>#REF!</f>
        <v>#REF!</v>
      </c>
      <c r="F160" s="314" t="e">
        <f>+D160*E160</f>
        <v>#REF!</v>
      </c>
      <c r="H160" s="1189"/>
      <c r="I160" s="1190"/>
      <c r="J160" s="1189"/>
    </row>
    <row r="161" spans="1:11">
      <c r="A161" s="1449" t="e">
        <f>+#REF!</f>
        <v>#REF!</v>
      </c>
      <c r="B161" s="1614" t="e">
        <f>+#REF!</f>
        <v>#REF!</v>
      </c>
      <c r="C161" s="161"/>
      <c r="D161" s="161"/>
      <c r="E161" s="161"/>
      <c r="F161" s="161"/>
    </row>
    <row r="162" spans="1:11">
      <c r="A162" s="1627"/>
      <c r="B162" s="184"/>
      <c r="C162" s="1552" t="e">
        <f>#REF!</f>
        <v>#REF!</v>
      </c>
      <c r="D162" s="185">
        <f>J162</f>
        <v>0</v>
      </c>
      <c r="E162" s="185" t="e">
        <f>#REF!</f>
        <v>#REF!</v>
      </c>
      <c r="F162" s="185" t="e">
        <f>+D162*E162</f>
        <v>#REF!</v>
      </c>
      <c r="H162" s="1144">
        <f>2115+ (2*5+4*2)*3*60</f>
        <v>5355</v>
      </c>
      <c r="I162" s="1145">
        <f>1.1*0</f>
        <v>0</v>
      </c>
      <c r="J162" s="1144">
        <f>ROUND(H162*I162,0)</f>
        <v>0</v>
      </c>
    </row>
    <row r="163" spans="1:11">
      <c r="A163" s="1449" t="e">
        <f>+#REF!</f>
        <v>#REF!</v>
      </c>
      <c r="B163" s="1614" t="e">
        <f>+#REF!</f>
        <v>#REF!</v>
      </c>
      <c r="C163" s="1475"/>
      <c r="D163" s="161"/>
      <c r="E163" s="161"/>
      <c r="F163" s="161"/>
    </row>
    <row r="164" spans="1:11" s="1146" customFormat="1">
      <c r="A164" s="1627"/>
      <c r="B164" s="184"/>
      <c r="C164" s="1552" t="e">
        <f>#REF!</f>
        <v>#REF!</v>
      </c>
      <c r="D164" s="185">
        <f>+J164</f>
        <v>0</v>
      </c>
      <c r="E164" s="185" t="e">
        <f>#REF!</f>
        <v>#REF!</v>
      </c>
      <c r="F164" s="185" t="e">
        <f>+D164*E164</f>
        <v>#REF!</v>
      </c>
      <c r="G164" s="44"/>
      <c r="H164" s="1144">
        <f>0.2*20*(20+10)*2+0.2*18*60</f>
        <v>456</v>
      </c>
      <c r="I164" s="1145">
        <f>1.1*0</f>
        <v>0</v>
      </c>
      <c r="J164" s="1144">
        <f>+H164*I164</f>
        <v>0</v>
      </c>
    </row>
    <row r="165" spans="1:11" s="1146" customFormat="1" ht="30" customHeight="1">
      <c r="A165" s="1449" t="e">
        <f>+#REF!</f>
        <v>#REF!</v>
      </c>
      <c r="B165" s="1614" t="e">
        <f>+#REF!</f>
        <v>#REF!</v>
      </c>
      <c r="C165" s="1475"/>
      <c r="D165" s="161"/>
      <c r="E165" s="161"/>
      <c r="F165" s="161"/>
      <c r="G165" s="44"/>
      <c r="H165" s="1144"/>
      <c r="I165" s="1145"/>
      <c r="J165" s="1144"/>
      <c r="K165" s="1146">
        <f>10*7*2</f>
        <v>140</v>
      </c>
    </row>
    <row r="166" spans="1:11" s="1146" customFormat="1">
      <c r="A166" s="1627"/>
      <c r="B166" s="184"/>
      <c r="C166" s="1552" t="e">
        <f>#REF!</f>
        <v>#REF!</v>
      </c>
      <c r="D166" s="185">
        <f>1*0</f>
        <v>0</v>
      </c>
      <c r="E166" s="185" t="e">
        <f>#REF!</f>
        <v>#REF!</v>
      </c>
      <c r="F166" s="185" t="e">
        <f>+D166*E166</f>
        <v>#REF!</v>
      </c>
      <c r="G166" s="44"/>
      <c r="H166" s="1144"/>
      <c r="I166" s="1145"/>
      <c r="J166" s="1144"/>
    </row>
    <row r="167" spans="1:11" s="1146" customFormat="1" ht="18.75">
      <c r="A167" s="1113"/>
      <c r="B167" s="926"/>
      <c r="C167" s="1608"/>
      <c r="D167" s="636"/>
      <c r="E167" s="1609" t="s">
        <v>112</v>
      </c>
      <c r="F167" s="1122" t="e">
        <f>SUM(F155:F166)</f>
        <v>#REF!</v>
      </c>
      <c r="G167" s="44"/>
      <c r="H167" s="1144"/>
      <c r="I167" s="1145"/>
      <c r="J167" s="1144"/>
    </row>
    <row r="168" spans="1:11" s="1146" customFormat="1" ht="15" customHeight="1">
      <c r="A168" s="1113"/>
      <c r="B168" s="926"/>
      <c r="C168" s="926"/>
      <c r="D168" s="1114"/>
      <c r="E168" s="1115"/>
      <c r="F168" s="1115"/>
      <c r="G168" s="44"/>
      <c r="H168" s="1144"/>
      <c r="I168" s="1145"/>
      <c r="J168" s="1144"/>
    </row>
    <row r="169" spans="1:11" s="1146" customFormat="1" ht="24.95" customHeight="1">
      <c r="A169" s="1113"/>
      <c r="B169" s="926"/>
      <c r="C169" s="1608"/>
      <c r="D169" s="636"/>
      <c r="E169" s="1609" t="s">
        <v>733</v>
      </c>
      <c r="F169" s="1122" t="e">
        <f>+F67+F78+F108+F152+F167</f>
        <v>#REF!</v>
      </c>
      <c r="G169" s="44"/>
      <c r="H169" s="1144"/>
      <c r="I169" s="1145"/>
      <c r="J169" s="1144"/>
    </row>
    <row r="170" spans="1:11" s="1146" customFormat="1" ht="15" customHeight="1">
      <c r="A170" s="1113"/>
      <c r="B170" s="926"/>
      <c r="C170" s="926"/>
      <c r="D170" s="926"/>
      <c r="E170" s="926"/>
      <c r="F170" s="926"/>
      <c r="G170" s="44"/>
      <c r="H170" s="1144"/>
      <c r="I170" s="1145"/>
      <c r="J170" s="1144"/>
    </row>
    <row r="171" spans="1:11" s="1146" customFormat="1" ht="24.95" customHeight="1">
      <c r="A171" s="1113"/>
      <c r="B171" s="926"/>
      <c r="C171" s="1608"/>
      <c r="D171" s="636"/>
      <c r="E171" s="1609" t="s">
        <v>419</v>
      </c>
      <c r="F171" s="1122" t="e">
        <f>F169+F43</f>
        <v>#REF!</v>
      </c>
      <c r="G171" s="1193" t="e">
        <f>+F171-F41</f>
        <v>#REF!</v>
      </c>
      <c r="H171" s="1144"/>
      <c r="I171" s="1145"/>
      <c r="J171" s="1144"/>
    </row>
    <row r="174" spans="1:11" s="1146" customFormat="1">
      <c r="A174" s="1194"/>
      <c r="B174" s="176"/>
      <c r="C174" s="176"/>
      <c r="D174" s="176"/>
      <c r="E174" s="176"/>
      <c r="F174" s="1195"/>
      <c r="G174" s="1196">
        <v>6491945265.0130939</v>
      </c>
      <c r="H174" s="1144"/>
      <c r="I174" s="1145"/>
      <c r="J174" s="1144"/>
    </row>
    <row r="176" spans="1:11" s="1146" customFormat="1">
      <c r="A176" s="1194"/>
      <c r="B176" s="176"/>
      <c r="C176" s="176"/>
      <c r="D176" s="176"/>
      <c r="E176" s="176"/>
      <c r="F176" s="176"/>
      <c r="G176" s="44"/>
      <c r="H176" s="1144"/>
      <c r="I176" s="1145"/>
      <c r="J176" s="1144">
        <f>18500*17</f>
        <v>314500</v>
      </c>
    </row>
    <row r="180" spans="1:48" s="1146" customFormat="1">
      <c r="A180" s="1194"/>
      <c r="B180" s="176"/>
      <c r="C180" s="176"/>
      <c r="D180" s="176"/>
      <c r="E180" s="176"/>
      <c r="F180" s="176"/>
      <c r="G180" s="44"/>
      <c r="H180" s="1144"/>
      <c r="I180" s="1145"/>
      <c r="J180" s="1144"/>
      <c r="AV180" s="1146">
        <v>46200</v>
      </c>
    </row>
    <row r="181" spans="1:48" s="1146" customFormat="1" ht="15.75">
      <c r="A181" s="1105"/>
      <c r="B181" s="176"/>
      <c r="C181" s="176"/>
      <c r="D181" s="908"/>
      <c r="E181" s="908"/>
      <c r="F181" s="1197"/>
      <c r="G181" s="44"/>
      <c r="H181" s="1144"/>
      <c r="I181" s="1145"/>
      <c r="J181" s="1144"/>
    </row>
    <row r="182" spans="1:48" s="1146" customFormat="1" ht="26.25">
      <c r="A182" s="1194"/>
      <c r="B182" s="1925"/>
      <c r="C182" s="1925"/>
      <c r="D182" s="1925"/>
      <c r="E182" s="1925"/>
      <c r="F182" s="1925"/>
      <c r="G182" s="44"/>
      <c r="H182" s="1144"/>
      <c r="I182" s="1145"/>
      <c r="J182" s="1144"/>
    </row>
    <row r="195" spans="1:10" s="1146" customFormat="1">
      <c r="A195" s="1194"/>
      <c r="B195" s="176"/>
      <c r="C195" s="176"/>
      <c r="D195" s="176"/>
      <c r="E195" s="176">
        <f>18500*17</f>
        <v>314500</v>
      </c>
      <c r="F195" s="176"/>
      <c r="G195" s="44"/>
      <c r="H195" s="1144"/>
      <c r="I195" s="1145"/>
      <c r="J195" s="1144"/>
    </row>
  </sheetData>
  <mergeCells count="13">
    <mergeCell ref="B182:F182"/>
    <mergeCell ref="A1:F1"/>
    <mergeCell ref="A2:F2"/>
    <mergeCell ref="A19:F19"/>
    <mergeCell ref="A28:F28"/>
    <mergeCell ref="D29:D38"/>
    <mergeCell ref="E29:E38"/>
    <mergeCell ref="F29:F38"/>
    <mergeCell ref="A45:F45"/>
    <mergeCell ref="A69:F69"/>
    <mergeCell ref="A80:F80"/>
    <mergeCell ref="A110:F110"/>
    <mergeCell ref="A154:F154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  <rowBreaks count="1" manualBreakCount="1">
    <brk id="78" max="6" man="1"/>
  </rowBreaks>
  <colBreaks count="1" manualBreakCount="1">
    <brk id="6" max="1048575" man="1"/>
  </colBreaks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rgb="FFFFC000"/>
  </sheetPr>
  <dimension ref="A1:I40"/>
  <sheetViews>
    <sheetView workbookViewId="0"/>
  </sheetViews>
  <sheetFormatPr baseColWidth="10" defaultColWidth="9.140625" defaultRowHeight="15"/>
  <cols>
    <col min="1" max="1" width="8.42578125" style="142" customWidth="1"/>
    <col min="2" max="2" width="4.42578125" style="142" customWidth="1"/>
    <col min="3" max="3" width="50.7109375" style="142" customWidth="1"/>
    <col min="4" max="4" width="10.85546875" style="142" customWidth="1"/>
    <col min="5" max="5" width="15.42578125" style="142" customWidth="1"/>
    <col min="6" max="6" width="17.140625" style="142" customWidth="1"/>
    <col min="7" max="7" width="26.140625" style="142" customWidth="1"/>
    <col min="8" max="8" width="17.28515625" style="142" customWidth="1"/>
    <col min="9" max="9" width="25.7109375" style="142" customWidth="1"/>
    <col min="10" max="16384" width="9.140625" style="142"/>
  </cols>
  <sheetData>
    <row r="1" spans="1:9" ht="20.25" thickBot="1">
      <c r="A1" s="90" t="s">
        <v>105</v>
      </c>
      <c r="G1" s="62"/>
      <c r="H1" s="62"/>
      <c r="I1" s="99"/>
    </row>
    <row r="2" spans="1:9" ht="25.5" thickBot="1">
      <c r="A2" s="1860" t="s">
        <v>520</v>
      </c>
      <c r="B2" s="1861"/>
      <c r="C2" s="1861"/>
      <c r="D2" s="1861"/>
      <c r="E2" s="1861"/>
      <c r="F2" s="1861"/>
      <c r="G2" s="1862"/>
      <c r="H2" s="135"/>
      <c r="I2" s="135"/>
    </row>
    <row r="4" spans="1:9">
      <c r="F4" s="99" t="s">
        <v>177</v>
      </c>
      <c r="G4" s="136" t="e">
        <f>#REF!</f>
        <v>#REF!</v>
      </c>
    </row>
    <row r="5" spans="1:9">
      <c r="F5" s="99" t="s">
        <v>176</v>
      </c>
      <c r="G5" s="136" t="e">
        <f>#REF!</f>
        <v>#REF!</v>
      </c>
    </row>
    <row r="6" spans="1:9">
      <c r="F6" s="99" t="s">
        <v>198</v>
      </c>
      <c r="G6" s="136" t="e">
        <f>#REF!</f>
        <v>#REF!</v>
      </c>
    </row>
    <row r="7" spans="1:9">
      <c r="F7" s="99" t="s">
        <v>197</v>
      </c>
      <c r="G7" s="136" t="e">
        <f>#REF!</f>
        <v>#REF!</v>
      </c>
    </row>
    <row r="8" spans="1:9">
      <c r="F8" s="99" t="s">
        <v>277</v>
      </c>
      <c r="G8" s="136" t="e">
        <f>#REF!</f>
        <v>#REF!</v>
      </c>
    </row>
    <row r="9" spans="1:9" ht="22.5" customHeight="1">
      <c r="A9" s="1" t="s">
        <v>166</v>
      </c>
      <c r="B9" s="2"/>
      <c r="C9" s="3"/>
      <c r="D9" s="52" t="s">
        <v>98</v>
      </c>
      <c r="E9" s="70" t="s">
        <v>99</v>
      </c>
      <c r="F9" s="71" t="s">
        <v>100</v>
      </c>
      <c r="G9" s="71" t="s">
        <v>114</v>
      </c>
    </row>
    <row r="10" spans="1:9" ht="15.75">
      <c r="A10" s="4" t="s">
        <v>0</v>
      </c>
      <c r="B10" s="5"/>
      <c r="C10" s="6" t="s">
        <v>168</v>
      </c>
      <c r="D10" s="158"/>
      <c r="E10" s="159"/>
      <c r="F10" s="160"/>
      <c r="G10" s="161"/>
    </row>
    <row r="11" spans="1:9" ht="15.75">
      <c r="A11" s="4" t="s">
        <v>167</v>
      </c>
      <c r="B11" s="5"/>
      <c r="C11" s="12" t="s">
        <v>171</v>
      </c>
      <c r="D11" s="162" t="s">
        <v>94</v>
      </c>
      <c r="E11" s="163" t="e">
        <f>G4</f>
        <v>#REF!</v>
      </c>
      <c r="F11" s="164">
        <f>'[3]BPU préf'!E8</f>
        <v>11000</v>
      </c>
      <c r="G11" s="164" t="e">
        <f>E11*F11</f>
        <v>#REF!</v>
      </c>
    </row>
    <row r="12" spans="1:9" ht="15.75">
      <c r="A12" s="22" t="s">
        <v>169</v>
      </c>
      <c r="B12" s="30"/>
      <c r="C12" s="24" t="s">
        <v>170</v>
      </c>
      <c r="D12" s="165" t="s">
        <v>94</v>
      </c>
      <c r="E12" s="166" t="e">
        <f>G5</f>
        <v>#REF!</v>
      </c>
      <c r="F12" s="167">
        <f>'[3]BPU préf'!E9</f>
        <v>9300</v>
      </c>
      <c r="G12" s="167" t="e">
        <f>E12*F12</f>
        <v>#REF!</v>
      </c>
    </row>
    <row r="13" spans="1:9" ht="18.75">
      <c r="A13" s="110"/>
      <c r="B13" s="5"/>
      <c r="C13" s="12"/>
      <c r="D13" s="95"/>
      <c r="E13" s="92"/>
      <c r="F13" s="93" t="s">
        <v>106</v>
      </c>
      <c r="G13" s="94" t="e">
        <f>SUM(G11:G12)</f>
        <v>#REF!</v>
      </c>
    </row>
    <row r="14" spans="1:9" ht="15.75">
      <c r="A14" s="10"/>
      <c r="B14" s="11"/>
      <c r="C14" s="12"/>
      <c r="D14" s="51"/>
      <c r="E14" s="12"/>
      <c r="F14" s="51"/>
      <c r="G14" s="121"/>
    </row>
    <row r="15" spans="1:9" ht="22.5" customHeight="1">
      <c r="A15" s="1" t="s">
        <v>175</v>
      </c>
      <c r="B15" s="2"/>
      <c r="C15" s="3"/>
      <c r="D15" s="52" t="s">
        <v>98</v>
      </c>
      <c r="E15" s="70" t="s">
        <v>99</v>
      </c>
      <c r="F15" s="71" t="s">
        <v>100</v>
      </c>
      <c r="G15" s="71" t="s">
        <v>114</v>
      </c>
    </row>
    <row r="16" spans="1:9" ht="15.75">
      <c r="A16" s="41">
        <v>201</v>
      </c>
      <c r="B16" s="42"/>
      <c r="C16" s="43" t="s">
        <v>199</v>
      </c>
      <c r="D16" s="170" t="s">
        <v>1</v>
      </c>
      <c r="E16" s="171" t="e">
        <f>G7</f>
        <v>#REF!</v>
      </c>
      <c r="F16" s="172">
        <f>'[3]BPU préf'!E12</f>
        <v>7514</v>
      </c>
      <c r="G16" s="173" t="e">
        <f>E16*F16</f>
        <v>#REF!</v>
      </c>
    </row>
    <row r="17" spans="1:7" ht="15.75">
      <c r="A17" s="17">
        <v>202</v>
      </c>
      <c r="B17" s="5"/>
      <c r="C17" s="26" t="s">
        <v>200</v>
      </c>
      <c r="D17" s="272" t="s">
        <v>1</v>
      </c>
      <c r="E17" s="273" t="e">
        <f>+G6</f>
        <v>#REF!</v>
      </c>
      <c r="F17" s="274">
        <f>'[3]BPU préf'!E13</f>
        <v>5700</v>
      </c>
      <c r="G17" s="164" t="e">
        <f>E17*F17</f>
        <v>#REF!</v>
      </c>
    </row>
    <row r="18" spans="1:7" ht="15.75">
      <c r="A18" s="36">
        <v>203</v>
      </c>
      <c r="B18" s="30"/>
      <c r="C18" s="169" t="s">
        <v>246</v>
      </c>
      <c r="D18" s="168" t="s">
        <v>1</v>
      </c>
      <c r="E18" s="174" t="e">
        <f>G8</f>
        <v>#REF!</v>
      </c>
      <c r="F18" s="147">
        <f>'BPU préf'!E16</f>
        <v>6315</v>
      </c>
      <c r="G18" s="167" t="e">
        <f>E18*F18</f>
        <v>#REF!</v>
      </c>
    </row>
    <row r="19" spans="1:7" ht="18.75">
      <c r="A19" s="10"/>
      <c r="B19" s="21"/>
      <c r="C19" s="12"/>
      <c r="D19" s="157"/>
      <c r="E19" s="130"/>
      <c r="F19" s="131" t="s">
        <v>111</v>
      </c>
      <c r="G19" s="132" t="e">
        <f>SUM(G16:G18)</f>
        <v>#REF!</v>
      </c>
    </row>
    <row r="21" spans="1:7" ht="25.5" customHeight="1">
      <c r="D21" s="95"/>
      <c r="E21" s="92"/>
      <c r="F21" s="93" t="s">
        <v>172</v>
      </c>
      <c r="G21" s="94" t="e">
        <f>+G13+G19</f>
        <v>#REF!</v>
      </c>
    </row>
    <row r="40" spans="3:3">
      <c r="C40" s="149"/>
    </row>
  </sheetData>
  <mergeCells count="1">
    <mergeCell ref="A2:G2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rgb="FFFFFF00"/>
  </sheetPr>
  <dimension ref="B1:F7"/>
  <sheetViews>
    <sheetView workbookViewId="0"/>
  </sheetViews>
  <sheetFormatPr baseColWidth="10" defaultColWidth="9.140625" defaultRowHeight="15"/>
  <cols>
    <col min="1" max="1" width="9.140625" style="142"/>
    <col min="2" max="2" width="5.42578125" style="142" customWidth="1"/>
    <col min="3" max="3" width="23.7109375" style="142" customWidth="1"/>
    <col min="4" max="4" width="30.7109375" style="142" customWidth="1"/>
    <col min="5" max="5" width="16.7109375" style="142" customWidth="1"/>
    <col min="6" max="10" width="9.140625" style="142"/>
    <col min="11" max="11" width="20.5703125" style="142" customWidth="1"/>
    <col min="12" max="16384" width="9.140625" style="142"/>
  </cols>
  <sheetData>
    <row r="1" spans="2:6" ht="19.5">
      <c r="B1" s="90" t="s">
        <v>521</v>
      </c>
    </row>
    <row r="3" spans="2:6" ht="18.75">
      <c r="C3" s="1872" t="s">
        <v>217</v>
      </c>
      <c r="D3" s="509" t="s">
        <v>291</v>
      </c>
      <c r="E3" s="509" t="s">
        <v>232</v>
      </c>
      <c r="F3" s="100"/>
    </row>
    <row r="4" spans="2:6" ht="18.75">
      <c r="C4" s="1873"/>
      <c r="D4" s="509" t="s">
        <v>607</v>
      </c>
      <c r="E4" s="509" t="s">
        <v>231</v>
      </c>
    </row>
    <row r="5" spans="2:6">
      <c r="C5" s="379" t="s">
        <v>215</v>
      </c>
      <c r="D5" s="101" t="e">
        <f>#REF!</f>
        <v>#REF!</v>
      </c>
      <c r="E5" s="101" t="e">
        <f>D5/656</f>
        <v>#REF!</v>
      </c>
    </row>
    <row r="6" spans="2:6">
      <c r="C6" s="519" t="s">
        <v>216</v>
      </c>
      <c r="D6" s="101" t="e">
        <f>'Préf Lbis'!G21</f>
        <v>#REF!</v>
      </c>
      <c r="E6" s="101" t="e">
        <f>D6/656</f>
        <v>#REF!</v>
      </c>
    </row>
    <row r="7" spans="2:6" ht="18.75">
      <c r="C7" s="380" t="s">
        <v>218</v>
      </c>
      <c r="D7" s="377" t="e">
        <f>SUM(D5:D6)</f>
        <v>#REF!</v>
      </c>
      <c r="E7" s="378" t="e">
        <f>D7/656</f>
        <v>#REF!</v>
      </c>
    </row>
  </sheetData>
  <mergeCells count="1">
    <mergeCell ref="C3:C4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theme="1"/>
  </sheetPr>
  <dimension ref="A1:I40"/>
  <sheetViews>
    <sheetView workbookViewId="0"/>
  </sheetViews>
  <sheetFormatPr baseColWidth="10" defaultColWidth="9.140625" defaultRowHeight="15"/>
  <cols>
    <col min="1" max="1" width="8.42578125" style="142" customWidth="1"/>
    <col min="2" max="2" width="4.42578125" style="142" customWidth="1"/>
    <col min="3" max="3" width="68.42578125" style="142" customWidth="1"/>
    <col min="4" max="4" width="10.85546875" style="142" customWidth="1"/>
    <col min="5" max="5" width="15.42578125" style="142" customWidth="1"/>
    <col min="6" max="6" width="17.140625" style="142" customWidth="1"/>
    <col min="7" max="7" width="26.140625" style="142" customWidth="1"/>
    <col min="8" max="8" width="17.28515625" style="142" customWidth="1"/>
    <col min="9" max="9" width="25.7109375" style="142" customWidth="1"/>
    <col min="10" max="16384" width="9.140625" style="142"/>
  </cols>
  <sheetData>
    <row r="1" spans="1:9" ht="20.25" thickBot="1">
      <c r="A1" s="90" t="s">
        <v>105</v>
      </c>
      <c r="G1" s="62"/>
      <c r="H1" s="62"/>
      <c r="I1" s="99"/>
    </row>
    <row r="2" spans="1:9" ht="25.5" thickBot="1">
      <c r="A2" s="1860" t="s">
        <v>338</v>
      </c>
      <c r="B2" s="1861"/>
      <c r="C2" s="1861"/>
      <c r="D2" s="1861"/>
      <c r="E2" s="1861"/>
      <c r="F2" s="1861"/>
      <c r="G2" s="1862"/>
      <c r="H2" s="135"/>
      <c r="I2" s="135"/>
    </row>
    <row r="4" spans="1:9">
      <c r="F4" s="99" t="s">
        <v>177</v>
      </c>
      <c r="G4" s="136" t="e">
        <f>#REF!</f>
        <v>#REF!</v>
      </c>
    </row>
    <row r="5" spans="1:9">
      <c r="F5" s="99" t="s">
        <v>176</v>
      </c>
      <c r="G5" s="136" t="e">
        <f>#REF!</f>
        <v>#REF!</v>
      </c>
    </row>
    <row r="6" spans="1:9">
      <c r="F6" s="99" t="s">
        <v>198</v>
      </c>
      <c r="G6" s="136" t="e">
        <f>#REF!</f>
        <v>#REF!</v>
      </c>
    </row>
    <row r="7" spans="1:9">
      <c r="F7" s="99" t="s">
        <v>197</v>
      </c>
      <c r="G7" s="136" t="e">
        <f>#REF!</f>
        <v>#REF!</v>
      </c>
    </row>
    <row r="8" spans="1:9">
      <c r="F8" s="99" t="s">
        <v>277</v>
      </c>
      <c r="G8" s="136" t="e">
        <f>#REF!</f>
        <v>#REF!</v>
      </c>
    </row>
    <row r="9" spans="1:9" ht="22.5" customHeight="1">
      <c r="A9" s="1" t="s">
        <v>166</v>
      </c>
      <c r="B9" s="2"/>
      <c r="C9" s="3"/>
      <c r="D9" s="52" t="s">
        <v>98</v>
      </c>
      <c r="E9" s="70" t="s">
        <v>99</v>
      </c>
      <c r="F9" s="71" t="s">
        <v>100</v>
      </c>
      <c r="G9" s="71" t="s">
        <v>114</v>
      </c>
    </row>
    <row r="10" spans="1:9" ht="15.75">
      <c r="A10" s="4" t="s">
        <v>0</v>
      </c>
      <c r="B10" s="5"/>
      <c r="C10" s="6" t="s">
        <v>168</v>
      </c>
      <c r="D10" s="158"/>
      <c r="E10" s="159"/>
      <c r="F10" s="160"/>
      <c r="G10" s="161"/>
    </row>
    <row r="11" spans="1:9" ht="15.75">
      <c r="A11" s="4" t="s">
        <v>167</v>
      </c>
      <c r="B11" s="5"/>
      <c r="C11" s="12" t="s">
        <v>171</v>
      </c>
      <c r="D11" s="162" t="s">
        <v>94</v>
      </c>
      <c r="E11" s="163" t="e">
        <f>G4</f>
        <v>#REF!</v>
      </c>
      <c r="F11" s="164">
        <f>'[3]BPU préf'!E8</f>
        <v>11000</v>
      </c>
      <c r="G11" s="164" t="e">
        <f>E11*F11</f>
        <v>#REF!</v>
      </c>
    </row>
    <row r="12" spans="1:9" ht="15.75">
      <c r="A12" s="22" t="s">
        <v>169</v>
      </c>
      <c r="B12" s="30"/>
      <c r="C12" s="24" t="s">
        <v>170</v>
      </c>
      <c r="D12" s="165" t="s">
        <v>94</v>
      </c>
      <c r="E12" s="166" t="e">
        <f>G5</f>
        <v>#REF!</v>
      </c>
      <c r="F12" s="167">
        <f>'[3]BPU préf'!E9</f>
        <v>9300</v>
      </c>
      <c r="G12" s="167" t="e">
        <f>E12*F12</f>
        <v>#REF!</v>
      </c>
    </row>
    <row r="13" spans="1:9" ht="18.75">
      <c r="A13" s="110"/>
      <c r="B13" s="5"/>
      <c r="C13" s="12"/>
      <c r="D13" s="95"/>
      <c r="E13" s="92"/>
      <c r="F13" s="93" t="s">
        <v>106</v>
      </c>
      <c r="G13" s="94" t="e">
        <f>SUM(G11:G12)</f>
        <v>#REF!</v>
      </c>
    </row>
    <row r="14" spans="1:9" ht="15.75">
      <c r="A14" s="10"/>
      <c r="B14" s="11"/>
      <c r="C14" s="12"/>
      <c r="D14" s="51"/>
      <c r="E14" s="12"/>
      <c r="F14" s="51"/>
      <c r="G14" s="121"/>
    </row>
    <row r="15" spans="1:9" ht="22.5" customHeight="1">
      <c r="A15" s="1" t="s">
        <v>175</v>
      </c>
      <c r="B15" s="2"/>
      <c r="C15" s="3"/>
      <c r="D15" s="52" t="s">
        <v>98</v>
      </c>
      <c r="E15" s="70" t="s">
        <v>99</v>
      </c>
      <c r="F15" s="71" t="s">
        <v>100</v>
      </c>
      <c r="G15" s="71" t="s">
        <v>114</v>
      </c>
    </row>
    <row r="16" spans="1:9" ht="15.75">
      <c r="A16" s="41">
        <v>201</v>
      </c>
      <c r="B16" s="42"/>
      <c r="C16" s="43" t="s">
        <v>199</v>
      </c>
      <c r="D16" s="170" t="s">
        <v>1</v>
      </c>
      <c r="E16" s="171" t="e">
        <f>G7</f>
        <v>#REF!</v>
      </c>
      <c r="F16" s="172">
        <f>'[3]BPU préf'!E12</f>
        <v>7514</v>
      </c>
      <c r="G16" s="173" t="e">
        <f>E16*F16</f>
        <v>#REF!</v>
      </c>
    </row>
    <row r="17" spans="1:7" ht="15.75">
      <c r="A17" s="17">
        <v>202</v>
      </c>
      <c r="B17" s="5"/>
      <c r="C17" s="26" t="s">
        <v>200</v>
      </c>
      <c r="D17" s="272" t="s">
        <v>1</v>
      </c>
      <c r="E17" s="273" t="e">
        <f>+G6</f>
        <v>#REF!</v>
      </c>
      <c r="F17" s="274">
        <f>'[3]BPU préf'!E13</f>
        <v>5700</v>
      </c>
      <c r="G17" s="164" t="e">
        <f>E17*F17</f>
        <v>#REF!</v>
      </c>
    </row>
    <row r="18" spans="1:7" ht="15.75">
      <c r="A18" s="36">
        <v>203</v>
      </c>
      <c r="B18" s="30"/>
      <c r="C18" s="169" t="s">
        <v>246</v>
      </c>
      <c r="D18" s="168" t="s">
        <v>1</v>
      </c>
      <c r="E18" s="174" t="e">
        <f>G8</f>
        <v>#REF!</v>
      </c>
      <c r="F18" s="147">
        <f>'BPU préf'!E16</f>
        <v>6315</v>
      </c>
      <c r="G18" s="167" t="e">
        <f>E18*F18</f>
        <v>#REF!</v>
      </c>
    </row>
    <row r="19" spans="1:7" ht="18.75">
      <c r="A19" s="10"/>
      <c r="B19" s="21"/>
      <c r="C19" s="12"/>
      <c r="D19" s="157"/>
      <c r="E19" s="130"/>
      <c r="F19" s="131" t="s">
        <v>111</v>
      </c>
      <c r="G19" s="132" t="e">
        <f>SUM(G16:G18)</f>
        <v>#REF!</v>
      </c>
    </row>
    <row r="21" spans="1:7" ht="25.5" customHeight="1">
      <c r="D21" s="95"/>
      <c r="E21" s="92"/>
      <c r="F21" s="93" t="s">
        <v>172</v>
      </c>
      <c r="G21" s="94" t="e">
        <f>+G13+G19</f>
        <v>#REF!</v>
      </c>
    </row>
    <row r="40" spans="3:3">
      <c r="C40" s="149"/>
    </row>
  </sheetData>
  <mergeCells count="1">
    <mergeCell ref="A2:G2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theme="1" tint="4.9989318521683403E-2"/>
  </sheetPr>
  <dimension ref="B1:F7"/>
  <sheetViews>
    <sheetView workbookViewId="0"/>
  </sheetViews>
  <sheetFormatPr baseColWidth="10" defaultColWidth="9.140625" defaultRowHeight="15"/>
  <cols>
    <col min="1" max="1" width="9.140625" style="142"/>
    <col min="2" max="2" width="5.42578125" style="142" customWidth="1"/>
    <col min="3" max="3" width="20.28515625" style="142" customWidth="1"/>
    <col min="4" max="4" width="30.7109375" style="142" customWidth="1"/>
    <col min="5" max="5" width="16.7109375" style="142" customWidth="1"/>
    <col min="6" max="10" width="9.140625" style="142"/>
    <col min="11" max="11" width="20.5703125" style="142" customWidth="1"/>
    <col min="12" max="16384" width="9.140625" style="142"/>
  </cols>
  <sheetData>
    <row r="1" spans="2:6" ht="19.5">
      <c r="B1" s="90" t="s">
        <v>327</v>
      </c>
    </row>
    <row r="3" spans="2:6" ht="18.75">
      <c r="C3" s="1872" t="s">
        <v>217</v>
      </c>
      <c r="D3" s="509" t="s">
        <v>291</v>
      </c>
      <c r="E3" s="509" t="s">
        <v>232</v>
      </c>
      <c r="F3" s="100"/>
    </row>
    <row r="4" spans="2:6" ht="18.75">
      <c r="C4" s="1873"/>
      <c r="D4" s="509" t="s">
        <v>607</v>
      </c>
      <c r="E4" s="509" t="s">
        <v>231</v>
      </c>
    </row>
    <row r="5" spans="2:6">
      <c r="C5" s="510" t="s">
        <v>215</v>
      </c>
      <c r="D5" s="511" t="e">
        <f>ROUND(#REF!,0)</f>
        <v>#REF!</v>
      </c>
      <c r="E5" s="511" t="e">
        <f>D5/656</f>
        <v>#REF!</v>
      </c>
    </row>
    <row r="6" spans="2:6">
      <c r="C6" s="510" t="s">
        <v>216</v>
      </c>
      <c r="D6" s="511" t="e">
        <f>'Préf D'!G21</f>
        <v>#REF!</v>
      </c>
      <c r="E6" s="511" t="e">
        <f>D6/656</f>
        <v>#REF!</v>
      </c>
    </row>
    <row r="7" spans="2:6" ht="18.75">
      <c r="C7" s="512" t="s">
        <v>218</v>
      </c>
      <c r="D7" s="513" t="e">
        <f>SUM(D5:D6)</f>
        <v>#REF!</v>
      </c>
      <c r="E7" s="514" t="e">
        <f>D7/656</f>
        <v>#REF!</v>
      </c>
    </row>
  </sheetData>
  <mergeCells count="1">
    <mergeCell ref="C3:C4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  <rowBreaks count="1" manualBreakCount="1">
    <brk id="10" min="1" max="5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7030A0"/>
  </sheetPr>
  <dimension ref="A1:I42"/>
  <sheetViews>
    <sheetView workbookViewId="0"/>
  </sheetViews>
  <sheetFormatPr baseColWidth="10" defaultColWidth="9.140625" defaultRowHeight="15"/>
  <cols>
    <col min="1" max="1" width="8.42578125" style="142" customWidth="1"/>
    <col min="2" max="2" width="4.42578125" style="142" customWidth="1"/>
    <col min="3" max="3" width="68.42578125" style="142" customWidth="1"/>
    <col min="4" max="4" width="10.85546875" style="142" customWidth="1"/>
    <col min="5" max="5" width="15.42578125" style="142" customWidth="1"/>
    <col min="6" max="6" width="17.140625" style="142" customWidth="1"/>
    <col min="7" max="7" width="26.140625" style="142" customWidth="1"/>
    <col min="8" max="8" width="17.28515625" style="142" customWidth="1"/>
    <col min="9" max="9" width="25.7109375" style="142" customWidth="1"/>
    <col min="10" max="16384" width="9.140625" style="142"/>
  </cols>
  <sheetData>
    <row r="1" spans="1:9" ht="20.25" thickBot="1">
      <c r="A1" s="90" t="s">
        <v>105</v>
      </c>
      <c r="G1" s="62"/>
      <c r="H1" s="62"/>
      <c r="I1" s="99"/>
    </row>
    <row r="2" spans="1:9" ht="25.5" thickBot="1">
      <c r="A2" s="1860" t="s">
        <v>495</v>
      </c>
      <c r="B2" s="1861"/>
      <c r="C2" s="1861"/>
      <c r="D2" s="1861"/>
      <c r="E2" s="1861"/>
      <c r="F2" s="1861"/>
      <c r="G2" s="1862"/>
      <c r="H2" s="135"/>
      <c r="I2" s="135"/>
    </row>
    <row r="4" spans="1:9">
      <c r="F4" s="99" t="s">
        <v>539</v>
      </c>
      <c r="G4" s="136" t="e">
        <f>+#REF!*#REF!*0.4+#REF!*#REF!</f>
        <v>#REF!</v>
      </c>
    </row>
    <row r="5" spans="1:9">
      <c r="F5" s="99" t="s">
        <v>540</v>
      </c>
      <c r="G5" s="136" t="e">
        <f>#REF!</f>
        <v>#REF!</v>
      </c>
    </row>
    <row r="6" spans="1:9">
      <c r="F6" s="99" t="s">
        <v>198</v>
      </c>
      <c r="G6" s="136" t="e">
        <f>#REF!</f>
        <v>#REF!</v>
      </c>
    </row>
    <row r="7" spans="1:9">
      <c r="F7" s="99" t="s">
        <v>197</v>
      </c>
      <c r="G7" s="136" t="e">
        <f>#REF!</f>
        <v>#REF!</v>
      </c>
    </row>
    <row r="8" spans="1:9">
      <c r="F8" s="99" t="s">
        <v>277</v>
      </c>
      <c r="G8" s="136" t="e">
        <f>#REF!</f>
        <v>#REF!</v>
      </c>
    </row>
    <row r="9" spans="1:9">
      <c r="F9" s="394" t="s">
        <v>552</v>
      </c>
      <c r="G9" s="136" t="e">
        <f>#REF!</f>
        <v>#REF!</v>
      </c>
    </row>
    <row r="10" spans="1:9" ht="22.5" customHeight="1">
      <c r="A10" s="1" t="s">
        <v>166</v>
      </c>
      <c r="B10" s="2"/>
      <c r="C10" s="3"/>
      <c r="D10" s="52" t="s">
        <v>98</v>
      </c>
      <c r="E10" s="70" t="s">
        <v>99</v>
      </c>
      <c r="F10" s="71" t="s">
        <v>100</v>
      </c>
      <c r="G10" s="71" t="s">
        <v>114</v>
      </c>
    </row>
    <row r="11" spans="1:9" ht="15.75">
      <c r="A11" s="4" t="s">
        <v>0</v>
      </c>
      <c r="B11" s="5"/>
      <c r="C11" s="6" t="s">
        <v>168</v>
      </c>
      <c r="D11" s="158"/>
      <c r="E11" s="159"/>
      <c r="F11" s="160"/>
      <c r="G11" s="161"/>
    </row>
    <row r="12" spans="1:9" ht="15.75">
      <c r="A12" s="4" t="s">
        <v>167</v>
      </c>
      <c r="B12" s="5"/>
      <c r="C12" s="12" t="s">
        <v>171</v>
      </c>
      <c r="D12" s="162" t="s">
        <v>94</v>
      </c>
      <c r="E12" s="163" t="e">
        <f>G4</f>
        <v>#REF!</v>
      </c>
      <c r="F12" s="164">
        <f>'[3]BPU préf'!E8</f>
        <v>11000</v>
      </c>
      <c r="G12" s="164" t="e">
        <f>E12*F12</f>
        <v>#REF!</v>
      </c>
    </row>
    <row r="13" spans="1:9" ht="15.75">
      <c r="A13" s="22" t="s">
        <v>169</v>
      </c>
      <c r="B13" s="30"/>
      <c r="C13" s="24" t="s">
        <v>170</v>
      </c>
      <c r="D13" s="165" t="s">
        <v>94</v>
      </c>
      <c r="E13" s="166" t="e">
        <f>G5</f>
        <v>#REF!</v>
      </c>
      <c r="F13" s="167">
        <f>'[3]BPU préf'!E9</f>
        <v>9300</v>
      </c>
      <c r="G13" s="167" t="e">
        <f>E13*F13</f>
        <v>#REF!</v>
      </c>
    </row>
    <row r="14" spans="1:9" ht="18.75">
      <c r="A14" s="110"/>
      <c r="B14" s="5"/>
      <c r="C14" s="12"/>
      <c r="D14" s="95"/>
      <c r="E14" s="92"/>
      <c r="F14" s="93" t="s">
        <v>106</v>
      </c>
      <c r="G14" s="94" t="e">
        <f>SUM(G12:G13)</f>
        <v>#REF!</v>
      </c>
    </row>
    <row r="15" spans="1:9" ht="15.75">
      <c r="A15" s="10"/>
      <c r="B15" s="11"/>
      <c r="C15" s="12"/>
      <c r="D15" s="51"/>
      <c r="E15" s="12"/>
      <c r="F15" s="51"/>
      <c r="G15" s="121"/>
    </row>
    <row r="16" spans="1:9" ht="22.5" customHeight="1">
      <c r="A16" s="1" t="s">
        <v>175</v>
      </c>
      <c r="B16" s="2"/>
      <c r="C16" s="3"/>
      <c r="D16" s="52" t="s">
        <v>98</v>
      </c>
      <c r="E16" s="70" t="s">
        <v>99</v>
      </c>
      <c r="F16" s="71" t="s">
        <v>100</v>
      </c>
      <c r="G16" s="71" t="s">
        <v>114</v>
      </c>
    </row>
    <row r="17" spans="1:7" ht="15.75">
      <c r="A17" s="41">
        <v>201</v>
      </c>
      <c r="B17" s="42"/>
      <c r="C17" s="43" t="s">
        <v>548</v>
      </c>
      <c r="D17" s="170" t="s">
        <v>1</v>
      </c>
      <c r="E17" s="411" t="e">
        <f>G7</f>
        <v>#REF!</v>
      </c>
      <c r="F17" s="172">
        <f>'[3]BPU préf'!E12</f>
        <v>7514</v>
      </c>
      <c r="G17" s="173" t="e">
        <f>E17*F17</f>
        <v>#REF!</v>
      </c>
    </row>
    <row r="18" spans="1:7" ht="15.75">
      <c r="A18" s="407">
        <v>202</v>
      </c>
      <c r="B18" s="5"/>
      <c r="C18" s="26" t="s">
        <v>549</v>
      </c>
      <c r="D18" s="272" t="s">
        <v>1</v>
      </c>
      <c r="E18" s="163" t="e">
        <f>+G6</f>
        <v>#REF!</v>
      </c>
      <c r="F18" s="274">
        <f>'[3]BPU préf'!E13</f>
        <v>5700</v>
      </c>
      <c r="G18" s="164" t="e">
        <f>E18*F18</f>
        <v>#REF!</v>
      </c>
    </row>
    <row r="19" spans="1:7" ht="15.75">
      <c r="A19" s="407">
        <v>203</v>
      </c>
      <c r="B19" s="5"/>
      <c r="C19" s="26" t="s">
        <v>550</v>
      </c>
      <c r="D19" s="272" t="s">
        <v>1</v>
      </c>
      <c r="E19" s="163" t="e">
        <f>G8</f>
        <v>#REF!</v>
      </c>
      <c r="F19" s="274">
        <f>'BPU préf'!E16</f>
        <v>6315</v>
      </c>
      <c r="G19" s="164" t="e">
        <f>E19*F19</f>
        <v>#REF!</v>
      </c>
    </row>
    <row r="20" spans="1:7" ht="15.75">
      <c r="A20" s="407">
        <v>204</v>
      </c>
      <c r="B20" s="30"/>
      <c r="C20" s="169" t="s">
        <v>546</v>
      </c>
      <c r="D20" s="168" t="s">
        <v>1</v>
      </c>
      <c r="E20" s="408" t="e">
        <f>G9</f>
        <v>#REF!</v>
      </c>
      <c r="F20" s="147">
        <f>'BPU préf'!E17</f>
        <v>13829</v>
      </c>
      <c r="G20" s="167" t="e">
        <f>E20*F20</f>
        <v>#REF!</v>
      </c>
    </row>
    <row r="21" spans="1:7" ht="18.75">
      <c r="A21" s="10"/>
      <c r="B21" s="21"/>
      <c r="C21" s="12"/>
      <c r="D21" s="157"/>
      <c r="E21" s="130"/>
      <c r="F21" s="131" t="s">
        <v>111</v>
      </c>
      <c r="G21" s="132" t="e">
        <f>SUM(G17:G20)</f>
        <v>#REF!</v>
      </c>
    </row>
    <row r="23" spans="1:7" ht="25.5" customHeight="1">
      <c r="D23" s="95"/>
      <c r="E23" s="92"/>
      <c r="F23" s="93" t="s">
        <v>172</v>
      </c>
      <c r="G23" s="94" t="e">
        <f>+G14+G21</f>
        <v>#REF!</v>
      </c>
    </row>
    <row r="42" spans="3:3">
      <c r="C42" s="149"/>
    </row>
  </sheetData>
  <mergeCells count="1">
    <mergeCell ref="A2:G2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"/>
  <sheetViews>
    <sheetView topLeftCell="A46" workbookViewId="0"/>
  </sheetViews>
  <sheetFormatPr baseColWidth="10" defaultRowHeight="15"/>
  <sheetData/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rgb="FFFF0000"/>
  </sheetPr>
  <dimension ref="A1:GH192"/>
  <sheetViews>
    <sheetView topLeftCell="A139" zoomScale="80" zoomScaleNormal="80" workbookViewId="0">
      <selection activeCell="I127" sqref="I127"/>
    </sheetView>
  </sheetViews>
  <sheetFormatPr baseColWidth="10" defaultColWidth="9.140625" defaultRowHeight="15"/>
  <cols>
    <col min="1" max="1" width="8" style="142" customWidth="1"/>
    <col min="2" max="2" width="4.42578125" style="142" customWidth="1"/>
    <col min="3" max="3" width="79.140625" style="142" customWidth="1"/>
    <col min="4" max="4" width="11" style="142" customWidth="1"/>
    <col min="5" max="5" width="14.85546875" style="142" customWidth="1"/>
    <col min="6" max="6" width="20" style="142" customWidth="1"/>
    <col min="7" max="7" width="32.85546875" style="142" customWidth="1"/>
    <col min="8" max="8" width="11.85546875" style="142" customWidth="1"/>
    <col min="9" max="9" width="16" style="255" bestFit="1" customWidth="1"/>
    <col min="10" max="10" width="10.7109375" style="262" customWidth="1"/>
    <col min="11" max="11" width="16" style="255" bestFit="1" customWidth="1"/>
    <col min="12" max="12" width="9.140625" style="129"/>
    <col min="13" max="13" width="9.28515625" style="129" bestFit="1" customWidth="1"/>
    <col min="14" max="190" width="9.140625" style="129"/>
    <col min="191" max="16384" width="9.140625" style="142"/>
  </cols>
  <sheetData>
    <row r="1" spans="1:12" ht="20.25" thickBot="1">
      <c r="A1" s="1971" t="e">
        <f>+#REF!</f>
        <v>#REF!</v>
      </c>
      <c r="B1" s="1971"/>
      <c r="C1" s="1971"/>
      <c r="D1" s="1971"/>
      <c r="E1" s="1971"/>
      <c r="F1" s="1971"/>
      <c r="G1" s="1971"/>
    </row>
    <row r="2" spans="1:12" ht="25.5" thickBot="1">
      <c r="A2" s="1856" t="s">
        <v>316</v>
      </c>
      <c r="B2" s="1857"/>
      <c r="C2" s="1857"/>
      <c r="D2" s="1857"/>
      <c r="E2" s="1857"/>
      <c r="F2" s="1857"/>
      <c r="G2" s="1858"/>
      <c r="H2" s="119"/>
    </row>
    <row r="3" spans="1:12" s="129" customFormat="1" ht="19.5">
      <c r="A3" s="90"/>
      <c r="B3" s="142"/>
      <c r="C3" s="142"/>
      <c r="D3" s="142"/>
      <c r="E3" s="62"/>
      <c r="F3" s="99" t="s">
        <v>248</v>
      </c>
      <c r="G3" s="62">
        <f>100*2</f>
        <v>200</v>
      </c>
      <c r="H3" s="142" t="s">
        <v>315</v>
      </c>
      <c r="I3" s="255"/>
      <c r="J3" s="262"/>
      <c r="K3" s="255"/>
    </row>
    <row r="4" spans="1:12" s="129" customFormat="1" ht="19.5">
      <c r="A4" s="90"/>
      <c r="B4" s="142"/>
      <c r="C4" s="142"/>
      <c r="D4" s="142"/>
      <c r="E4" s="62"/>
      <c r="F4" s="99" t="s">
        <v>313</v>
      </c>
      <c r="G4" s="62">
        <f>1116-100</f>
        <v>1016</v>
      </c>
      <c r="H4" s="142"/>
      <c r="I4" s="255" t="s">
        <v>318</v>
      </c>
      <c r="J4" s="262"/>
      <c r="K4" s="255"/>
    </row>
    <row r="5" spans="1:12" s="129" customFormat="1" ht="19.5">
      <c r="A5" s="90"/>
      <c r="B5" s="142"/>
      <c r="C5" s="142"/>
      <c r="D5" s="142"/>
      <c r="E5" s="62"/>
      <c r="F5" s="99" t="s">
        <v>314</v>
      </c>
      <c r="G5" s="62">
        <f>1116-100</f>
        <v>1016</v>
      </c>
      <c r="H5" s="142"/>
      <c r="I5" s="255" t="s">
        <v>319</v>
      </c>
      <c r="J5" s="262"/>
      <c r="K5" s="255"/>
    </row>
    <row r="6" spans="1:12" s="129" customFormat="1" ht="19.5">
      <c r="A6" s="90"/>
      <c r="B6" s="142"/>
      <c r="C6" s="142"/>
      <c r="D6" s="142"/>
      <c r="E6" s="62"/>
      <c r="F6" s="99" t="s">
        <v>512</v>
      </c>
      <c r="G6" s="62">
        <f>1950-1575</f>
        <v>375</v>
      </c>
      <c r="H6" s="142"/>
      <c r="I6" s="255" t="s">
        <v>319</v>
      </c>
      <c r="J6" s="262"/>
      <c r="K6" s="255"/>
    </row>
    <row r="7" spans="1:12" s="129" customFormat="1">
      <c r="F7" s="99" t="s">
        <v>513</v>
      </c>
      <c r="G7" s="62">
        <f>1950-1575</f>
        <v>375</v>
      </c>
      <c r="H7" s="142"/>
      <c r="I7" s="255"/>
      <c r="J7" s="262"/>
      <c r="K7" s="255"/>
      <c r="L7" s="129">
        <f>877*25/10</f>
        <v>2192.5</v>
      </c>
    </row>
    <row r="8" spans="1:12" s="129" customFormat="1" ht="19.5">
      <c r="A8" s="90"/>
      <c r="B8" s="142"/>
      <c r="C8" s="142"/>
      <c r="D8" s="142"/>
      <c r="E8" s="62"/>
      <c r="F8" s="99" t="s">
        <v>461</v>
      </c>
      <c r="G8" s="62">
        <f>G10</f>
        <v>1960</v>
      </c>
      <c r="H8" s="142" t="s">
        <v>315</v>
      </c>
      <c r="I8" s="255"/>
      <c r="J8" s="262"/>
      <c r="K8" s="255"/>
    </row>
    <row r="9" spans="1:12" s="129" customFormat="1" ht="19.5">
      <c r="A9" s="90"/>
      <c r="B9" s="142"/>
      <c r="C9" s="142"/>
      <c r="D9" s="142"/>
      <c r="E9" s="62"/>
      <c r="F9" s="99" t="s">
        <v>463</v>
      </c>
      <c r="G9" s="62">
        <f>2*49*20</f>
        <v>1960</v>
      </c>
      <c r="H9" s="142" t="s">
        <v>464</v>
      </c>
      <c r="I9" s="255"/>
      <c r="J9" s="262"/>
      <c r="K9" s="255"/>
    </row>
    <row r="10" spans="1:12" s="129" customFormat="1" ht="19.5">
      <c r="A10" s="90"/>
      <c r="B10" s="142"/>
      <c r="C10" s="142"/>
      <c r="D10" s="142"/>
      <c r="E10" s="62"/>
      <c r="F10" s="99" t="s">
        <v>460</v>
      </c>
      <c r="G10" s="62">
        <f>1600+360</f>
        <v>1960</v>
      </c>
      <c r="H10" s="142" t="s">
        <v>525</v>
      </c>
      <c r="I10" s="255" t="s">
        <v>524</v>
      </c>
      <c r="K10" s="255">
        <f>10*2</f>
        <v>20</v>
      </c>
      <c r="L10" s="262" t="s">
        <v>462</v>
      </c>
    </row>
    <row r="11" spans="1:12" s="129" customFormat="1" ht="19.5">
      <c r="A11" s="90"/>
      <c r="B11" s="142"/>
      <c r="C11" s="142"/>
      <c r="D11" s="142"/>
      <c r="E11" s="62"/>
      <c r="F11" s="99" t="s">
        <v>423</v>
      </c>
      <c r="G11" s="62">
        <v>470</v>
      </c>
      <c r="H11" s="142" t="s">
        <v>424</v>
      </c>
      <c r="I11" s="255">
        <v>470</v>
      </c>
      <c r="J11" s="262">
        <v>20</v>
      </c>
      <c r="K11" s="255"/>
    </row>
    <row r="12" spans="1:12" s="129" customFormat="1" ht="19.5">
      <c r="A12" s="90"/>
      <c r="B12" s="142"/>
      <c r="C12" s="142"/>
      <c r="D12" s="142"/>
      <c r="E12" s="62"/>
      <c r="F12" s="99" t="s">
        <v>422</v>
      </c>
      <c r="G12" s="62">
        <v>1035</v>
      </c>
      <c r="H12" s="142" t="s">
        <v>425</v>
      </c>
      <c r="I12" s="255">
        <v>525</v>
      </c>
      <c r="J12" s="262">
        <v>20</v>
      </c>
      <c r="K12" s="255"/>
    </row>
    <row r="13" spans="1:12" s="129" customFormat="1" ht="19.5">
      <c r="A13" s="90"/>
      <c r="B13" s="142"/>
      <c r="C13" s="142"/>
      <c r="D13" s="142"/>
      <c r="E13" s="62"/>
      <c r="F13" s="525" t="s">
        <v>309</v>
      </c>
      <c r="G13" s="62">
        <f>SUM(G10:G12)</f>
        <v>3465</v>
      </c>
      <c r="H13" s="142"/>
      <c r="I13" s="255">
        <f>1116-525</f>
        <v>591</v>
      </c>
      <c r="J13" s="262">
        <v>30</v>
      </c>
      <c r="K13" s="255"/>
    </row>
    <row r="14" spans="1:12" s="129" customFormat="1" ht="19.5">
      <c r="A14" s="90"/>
      <c r="B14" s="142"/>
      <c r="C14" s="142"/>
      <c r="D14" s="142"/>
      <c r="E14" s="62"/>
      <c r="F14" s="525"/>
      <c r="G14" s="62"/>
      <c r="H14" s="142"/>
      <c r="I14" s="255"/>
      <c r="J14" s="262"/>
      <c r="K14" s="255"/>
    </row>
    <row r="15" spans="1:12" s="129" customFormat="1" ht="19.5">
      <c r="A15" s="90"/>
      <c r="B15" s="142"/>
      <c r="C15" s="142"/>
      <c r="D15" s="142"/>
      <c r="E15" s="62"/>
      <c r="F15" s="99"/>
      <c r="G15" s="62"/>
      <c r="H15" s="142"/>
      <c r="I15" s="255"/>
      <c r="J15" s="262"/>
      <c r="K15" s="255"/>
    </row>
    <row r="16" spans="1:12" s="129" customFormat="1" ht="24.75" customHeight="1">
      <c r="A16" s="1" t="s">
        <v>20</v>
      </c>
      <c r="B16" s="2"/>
      <c r="C16" s="33"/>
      <c r="D16" s="52" t="s">
        <v>98</v>
      </c>
      <c r="E16" s="70" t="s">
        <v>99</v>
      </c>
      <c r="F16" s="241" t="s">
        <v>100</v>
      </c>
      <c r="G16" s="241" t="s">
        <v>114</v>
      </c>
      <c r="H16" s="142"/>
      <c r="I16" s="255"/>
      <c r="J16" s="262"/>
      <c r="K16" s="255"/>
    </row>
    <row r="17" spans="1:190" s="129" customFormat="1" ht="25.5">
      <c r="A17" s="29" t="s">
        <v>22</v>
      </c>
      <c r="B17" s="5"/>
      <c r="C17" s="27" t="s">
        <v>21</v>
      </c>
      <c r="D17" s="34"/>
      <c r="E17" s="210"/>
      <c r="F17" s="236"/>
      <c r="G17" s="204"/>
      <c r="H17" s="142"/>
      <c r="I17" s="255"/>
      <c r="J17" s="262"/>
      <c r="K17" s="255"/>
      <c r="M17" s="129">
        <f>1116+G9*2</f>
        <v>5036</v>
      </c>
    </row>
    <row r="18" spans="1:190" s="129" customFormat="1" ht="15.75">
      <c r="A18" s="22"/>
      <c r="B18" s="30"/>
      <c r="C18" s="31"/>
      <c r="D18" s="32" t="s">
        <v>19</v>
      </c>
      <c r="E18" s="237">
        <v>1</v>
      </c>
      <c r="F18" s="208">
        <f>K18</f>
        <v>1</v>
      </c>
      <c r="G18" s="208">
        <f>+E18*F18</f>
        <v>1</v>
      </c>
      <c r="H18" s="142"/>
      <c r="I18" s="328">
        <f>500000000</f>
        <v>500000000</v>
      </c>
      <c r="J18" s="262">
        <v>0</v>
      </c>
      <c r="K18" s="255">
        <v>1</v>
      </c>
    </row>
    <row r="19" spans="1:190" s="129" customFormat="1" ht="15.75">
      <c r="A19" s="29" t="s">
        <v>23</v>
      </c>
      <c r="B19" s="5"/>
      <c r="C19" s="6" t="s">
        <v>24</v>
      </c>
      <c r="D19" s="7"/>
      <c r="E19" s="210"/>
      <c r="F19" s="65"/>
      <c r="G19" s="65"/>
      <c r="H19" s="142"/>
      <c r="I19" s="255"/>
      <c r="J19" s="262"/>
      <c r="K19" s="255"/>
    </row>
    <row r="20" spans="1:190" s="129" customFormat="1" ht="15.75">
      <c r="A20" s="22"/>
      <c r="B20" s="30"/>
      <c r="C20" s="31"/>
      <c r="D20" s="32" t="s">
        <v>1</v>
      </c>
      <c r="E20" s="237">
        <f>K20</f>
        <v>3638.25</v>
      </c>
      <c r="F20" s="64" t="e">
        <f>#REF!</f>
        <v>#REF!</v>
      </c>
      <c r="G20" s="64" t="e">
        <f>+E20*F20</f>
        <v>#REF!</v>
      </c>
      <c r="H20" s="142"/>
      <c r="I20" s="255">
        <f>G13</f>
        <v>3465</v>
      </c>
      <c r="J20" s="262">
        <v>1.05</v>
      </c>
      <c r="K20" s="255">
        <f>I20*J20</f>
        <v>3638.25</v>
      </c>
    </row>
    <row r="21" spans="1:190" s="129" customFormat="1" ht="26.25" customHeight="1">
      <c r="A21" s="110"/>
      <c r="B21" s="5"/>
      <c r="C21" s="27"/>
      <c r="D21" s="95"/>
      <c r="E21" s="92"/>
      <c r="F21" s="93" t="s">
        <v>108</v>
      </c>
      <c r="G21" s="94" t="e">
        <f>SUM(G17:G20)</f>
        <v>#REF!</v>
      </c>
      <c r="H21" s="142"/>
      <c r="I21" s="255"/>
      <c r="J21" s="262"/>
      <c r="K21" s="255"/>
    </row>
    <row r="22" spans="1:190" s="129" customFormat="1">
      <c r="A22" s="142"/>
      <c r="B22" s="142"/>
      <c r="C22" s="142"/>
      <c r="D22" s="142"/>
      <c r="E22" s="75"/>
      <c r="F22" s="62"/>
      <c r="G22" s="62"/>
      <c r="H22" s="142"/>
      <c r="I22" s="255"/>
      <c r="J22" s="262"/>
      <c r="K22" s="255"/>
    </row>
    <row r="23" spans="1:190" s="129" customFormat="1" ht="19.5">
      <c r="A23" s="1" t="s">
        <v>102</v>
      </c>
      <c r="B23" s="2"/>
      <c r="C23" s="3"/>
      <c r="D23" s="52" t="s">
        <v>98</v>
      </c>
      <c r="E23" s="86" t="s">
        <v>99</v>
      </c>
      <c r="F23" s="241" t="s">
        <v>100</v>
      </c>
      <c r="G23" s="241" t="s">
        <v>114</v>
      </c>
      <c r="H23" s="142"/>
      <c r="I23" s="255"/>
      <c r="J23" s="262"/>
      <c r="K23" s="255"/>
    </row>
    <row r="24" spans="1:190" s="129" customFormat="1" ht="15.75">
      <c r="A24" s="4" t="s">
        <v>0</v>
      </c>
      <c r="B24" s="5"/>
      <c r="C24" s="6" t="s">
        <v>26</v>
      </c>
      <c r="D24" s="7"/>
      <c r="E24" s="74"/>
      <c r="F24" s="63"/>
      <c r="G24" s="63"/>
      <c r="H24" s="142"/>
      <c r="I24" s="255"/>
      <c r="J24" s="262"/>
      <c r="K24" s="255"/>
    </row>
    <row r="25" spans="1:190" s="129" customFormat="1" ht="15.75">
      <c r="A25" s="22"/>
      <c r="B25" s="30"/>
      <c r="C25" s="31"/>
      <c r="D25" s="32" t="s">
        <v>27</v>
      </c>
      <c r="E25" s="237">
        <v>0</v>
      </c>
      <c r="F25" s="107" t="e">
        <f>#REF!</f>
        <v>#REF!</v>
      </c>
      <c r="G25" s="64" t="e">
        <f>+E25*F25</f>
        <v>#REF!</v>
      </c>
      <c r="H25" s="142"/>
      <c r="I25" s="255"/>
      <c r="J25" s="262"/>
      <c r="K25" s="255"/>
    </row>
    <row r="26" spans="1:190" s="225" customFormat="1" ht="21.75" customHeight="1">
      <c r="A26" s="4" t="s">
        <v>201</v>
      </c>
      <c r="B26" s="229"/>
      <c r="C26" s="6" t="s">
        <v>202</v>
      </c>
      <c r="D26" s="7"/>
      <c r="E26" s="213"/>
      <c r="F26" s="63"/>
      <c r="G26" s="63"/>
      <c r="I26" s="259"/>
      <c r="J26" s="265"/>
      <c r="K26" s="259"/>
      <c r="L26" s="226"/>
      <c r="M26" s="226"/>
      <c r="N26" s="226"/>
      <c r="O26" s="226"/>
      <c r="P26" s="226"/>
      <c r="Q26" s="226"/>
      <c r="R26" s="226"/>
      <c r="S26" s="226"/>
      <c r="T26" s="226"/>
      <c r="U26" s="226"/>
      <c r="V26" s="226"/>
      <c r="W26" s="226"/>
      <c r="X26" s="226"/>
      <c r="Y26" s="226"/>
      <c r="Z26" s="226"/>
      <c r="AA26" s="226"/>
      <c r="AB26" s="226"/>
      <c r="AC26" s="226"/>
      <c r="AD26" s="226"/>
      <c r="AE26" s="226"/>
      <c r="AF26" s="226"/>
      <c r="AG26" s="226"/>
      <c r="AH26" s="226"/>
      <c r="AI26" s="226"/>
      <c r="AJ26" s="226"/>
      <c r="AK26" s="226"/>
      <c r="AL26" s="226"/>
      <c r="AM26" s="226"/>
      <c r="AN26" s="226"/>
      <c r="AO26" s="226"/>
      <c r="AP26" s="226"/>
      <c r="AQ26" s="226"/>
      <c r="AR26" s="226"/>
      <c r="AS26" s="226"/>
      <c r="AT26" s="226"/>
      <c r="AU26" s="226"/>
      <c r="AV26" s="226"/>
      <c r="AW26" s="226"/>
      <c r="AX26" s="226"/>
      <c r="AY26" s="226"/>
      <c r="AZ26" s="226"/>
      <c r="BA26" s="226"/>
      <c r="BB26" s="226"/>
      <c r="BC26" s="226"/>
      <c r="BD26" s="226"/>
      <c r="BE26" s="226"/>
      <c r="BF26" s="226"/>
      <c r="BG26" s="226"/>
      <c r="BH26" s="226"/>
      <c r="BI26" s="226"/>
      <c r="BJ26" s="226"/>
      <c r="BK26" s="226"/>
      <c r="BL26" s="226"/>
      <c r="BM26" s="226"/>
      <c r="BN26" s="226"/>
      <c r="BO26" s="226"/>
      <c r="BP26" s="226"/>
      <c r="BQ26" s="226"/>
      <c r="BR26" s="226"/>
      <c r="BS26" s="226"/>
      <c r="BT26" s="226"/>
      <c r="BU26" s="226"/>
      <c r="BV26" s="226"/>
      <c r="BW26" s="226"/>
      <c r="BX26" s="226"/>
      <c r="BY26" s="226"/>
      <c r="BZ26" s="226"/>
      <c r="CA26" s="226"/>
      <c r="CB26" s="226"/>
      <c r="CC26" s="226"/>
      <c r="CD26" s="226"/>
      <c r="CE26" s="226"/>
      <c r="CF26" s="226"/>
      <c r="CG26" s="226"/>
      <c r="CH26" s="226"/>
      <c r="CI26" s="226"/>
      <c r="CJ26" s="226"/>
      <c r="CK26" s="226"/>
      <c r="CL26" s="226"/>
      <c r="CM26" s="226"/>
      <c r="CN26" s="226"/>
      <c r="CO26" s="226"/>
      <c r="CP26" s="226"/>
      <c r="CQ26" s="226"/>
      <c r="CR26" s="226"/>
      <c r="CS26" s="226"/>
      <c r="CT26" s="226"/>
      <c r="CU26" s="226"/>
      <c r="CV26" s="226"/>
      <c r="CW26" s="226"/>
      <c r="CX26" s="226"/>
      <c r="CY26" s="226"/>
      <c r="CZ26" s="226"/>
      <c r="DA26" s="226"/>
      <c r="DB26" s="226"/>
      <c r="DC26" s="226"/>
      <c r="DD26" s="226"/>
      <c r="DE26" s="226"/>
      <c r="DF26" s="226"/>
      <c r="DG26" s="226"/>
      <c r="DH26" s="226"/>
      <c r="DI26" s="226"/>
      <c r="DJ26" s="226"/>
      <c r="DK26" s="226"/>
      <c r="DL26" s="226"/>
      <c r="DM26" s="226"/>
      <c r="DN26" s="226"/>
      <c r="DO26" s="226"/>
      <c r="DP26" s="226"/>
      <c r="DQ26" s="226"/>
      <c r="DR26" s="226"/>
      <c r="DS26" s="226"/>
      <c r="DT26" s="226"/>
      <c r="DU26" s="226"/>
      <c r="DV26" s="226"/>
      <c r="DW26" s="226"/>
      <c r="DX26" s="226"/>
      <c r="DY26" s="226"/>
      <c r="DZ26" s="226"/>
      <c r="EA26" s="226"/>
      <c r="EB26" s="226"/>
      <c r="EC26" s="226"/>
      <c r="ED26" s="226"/>
      <c r="EE26" s="226"/>
      <c r="EF26" s="226"/>
      <c r="EG26" s="226"/>
      <c r="EH26" s="226"/>
      <c r="EI26" s="226"/>
      <c r="EJ26" s="226"/>
      <c r="EK26" s="226"/>
      <c r="EL26" s="226"/>
      <c r="EM26" s="226"/>
      <c r="EN26" s="226"/>
      <c r="EO26" s="226"/>
      <c r="EP26" s="226"/>
      <c r="EQ26" s="226"/>
      <c r="ER26" s="226"/>
      <c r="ES26" s="226"/>
      <c r="ET26" s="226"/>
      <c r="EU26" s="226"/>
      <c r="EV26" s="226"/>
      <c r="EW26" s="226"/>
      <c r="EX26" s="226"/>
      <c r="EY26" s="226"/>
      <c r="EZ26" s="226"/>
      <c r="FA26" s="226"/>
      <c r="FB26" s="226"/>
      <c r="FC26" s="226"/>
      <c r="FD26" s="226"/>
      <c r="FE26" s="226"/>
      <c r="FF26" s="226"/>
      <c r="FG26" s="226"/>
      <c r="FH26" s="226"/>
      <c r="FI26" s="226"/>
      <c r="FJ26" s="226"/>
      <c r="FK26" s="226"/>
      <c r="FL26" s="226"/>
      <c r="FM26" s="226"/>
      <c r="FN26" s="226"/>
      <c r="FO26" s="226"/>
      <c r="FP26" s="226"/>
      <c r="FQ26" s="226"/>
      <c r="FR26" s="226"/>
      <c r="FS26" s="226"/>
      <c r="FT26" s="226"/>
      <c r="FU26" s="226"/>
      <c r="FV26" s="226"/>
      <c r="FW26" s="226"/>
      <c r="FX26" s="226"/>
      <c r="FY26" s="226"/>
      <c r="FZ26" s="226"/>
      <c r="GA26" s="226"/>
      <c r="GB26" s="226"/>
      <c r="GC26" s="226"/>
      <c r="GD26" s="226"/>
      <c r="GE26" s="226"/>
      <c r="GF26" s="226"/>
      <c r="GG26" s="226"/>
      <c r="GH26" s="226"/>
    </row>
    <row r="27" spans="1:190" s="225" customFormat="1" ht="21.75" customHeight="1">
      <c r="A27" s="22"/>
      <c r="B27" s="253"/>
      <c r="C27" s="31"/>
      <c r="D27" s="32" t="s">
        <v>27</v>
      </c>
      <c r="E27" s="237">
        <v>0</v>
      </c>
      <c r="F27" s="107">
        <v>316210</v>
      </c>
      <c r="G27" s="64">
        <f>+E27*F27</f>
        <v>0</v>
      </c>
      <c r="I27" s="259">
        <f>F27*1.1</f>
        <v>347831</v>
      </c>
      <c r="J27" s="265">
        <v>1.05</v>
      </c>
      <c r="K27" s="259">
        <f>I27*J27</f>
        <v>365222.55</v>
      </c>
      <c r="L27" s="226"/>
      <c r="M27" s="226"/>
      <c r="N27" s="226"/>
      <c r="O27" s="226"/>
      <c r="P27" s="226"/>
      <c r="Q27" s="226"/>
      <c r="R27" s="226"/>
      <c r="S27" s="226"/>
      <c r="T27" s="226"/>
      <c r="U27" s="226"/>
      <c r="V27" s="226"/>
      <c r="W27" s="226"/>
      <c r="X27" s="226"/>
      <c r="Y27" s="226"/>
      <c r="Z27" s="226"/>
      <c r="AA27" s="226"/>
      <c r="AB27" s="226"/>
      <c r="AC27" s="226"/>
      <c r="AD27" s="226"/>
      <c r="AE27" s="226"/>
      <c r="AF27" s="226"/>
      <c r="AG27" s="226"/>
      <c r="AH27" s="226"/>
      <c r="AI27" s="226"/>
      <c r="AJ27" s="226"/>
      <c r="AK27" s="226"/>
      <c r="AL27" s="226"/>
      <c r="AM27" s="226"/>
      <c r="AN27" s="226"/>
      <c r="AO27" s="226"/>
      <c r="AP27" s="226"/>
      <c r="AQ27" s="226"/>
      <c r="AR27" s="226"/>
      <c r="AS27" s="226"/>
      <c r="AT27" s="226"/>
      <c r="AU27" s="226"/>
      <c r="AV27" s="226"/>
      <c r="AW27" s="226"/>
      <c r="AX27" s="226"/>
      <c r="AY27" s="226"/>
      <c r="AZ27" s="226"/>
      <c r="BA27" s="226"/>
      <c r="BB27" s="226"/>
      <c r="BC27" s="226"/>
      <c r="BD27" s="226"/>
      <c r="BE27" s="226"/>
      <c r="BF27" s="226"/>
      <c r="BG27" s="226"/>
      <c r="BH27" s="226"/>
      <c r="BI27" s="226"/>
      <c r="BJ27" s="226"/>
      <c r="BK27" s="226"/>
      <c r="BL27" s="226"/>
      <c r="BM27" s="226"/>
      <c r="BN27" s="226"/>
      <c r="BO27" s="226"/>
      <c r="BP27" s="226"/>
      <c r="BQ27" s="226"/>
      <c r="BR27" s="226"/>
      <c r="BS27" s="226"/>
      <c r="BT27" s="226"/>
      <c r="BU27" s="226"/>
      <c r="BV27" s="226"/>
      <c r="BW27" s="226"/>
      <c r="BX27" s="226"/>
      <c r="BY27" s="226"/>
      <c r="BZ27" s="226"/>
      <c r="CA27" s="226"/>
      <c r="CB27" s="226"/>
      <c r="CC27" s="226"/>
      <c r="CD27" s="226"/>
      <c r="CE27" s="226"/>
      <c r="CF27" s="226"/>
      <c r="CG27" s="226"/>
      <c r="CH27" s="226"/>
      <c r="CI27" s="226"/>
      <c r="CJ27" s="226"/>
      <c r="CK27" s="226"/>
      <c r="CL27" s="226"/>
      <c r="CM27" s="226"/>
      <c r="CN27" s="226"/>
      <c r="CO27" s="226"/>
      <c r="CP27" s="226"/>
      <c r="CQ27" s="226"/>
      <c r="CR27" s="226"/>
      <c r="CS27" s="226"/>
      <c r="CT27" s="226"/>
      <c r="CU27" s="226"/>
      <c r="CV27" s="226"/>
      <c r="CW27" s="226"/>
      <c r="CX27" s="226"/>
      <c r="CY27" s="226"/>
      <c r="CZ27" s="226"/>
      <c r="DA27" s="226"/>
      <c r="DB27" s="226"/>
      <c r="DC27" s="226"/>
      <c r="DD27" s="226"/>
      <c r="DE27" s="226"/>
      <c r="DF27" s="226"/>
      <c r="DG27" s="226"/>
      <c r="DH27" s="226"/>
      <c r="DI27" s="226"/>
      <c r="DJ27" s="226"/>
      <c r="DK27" s="226"/>
      <c r="DL27" s="226"/>
      <c r="DM27" s="226"/>
      <c r="DN27" s="226"/>
      <c r="DO27" s="226"/>
      <c r="DP27" s="226"/>
      <c r="DQ27" s="226"/>
      <c r="DR27" s="226"/>
      <c r="DS27" s="226"/>
      <c r="DT27" s="226"/>
      <c r="DU27" s="226"/>
      <c r="DV27" s="226"/>
      <c r="DW27" s="226"/>
      <c r="DX27" s="226"/>
      <c r="DY27" s="226"/>
      <c r="DZ27" s="226"/>
      <c r="EA27" s="226"/>
      <c r="EB27" s="226"/>
      <c r="EC27" s="226"/>
      <c r="ED27" s="226"/>
      <c r="EE27" s="226"/>
      <c r="EF27" s="226"/>
      <c r="EG27" s="226"/>
      <c r="EH27" s="226"/>
      <c r="EI27" s="226"/>
      <c r="EJ27" s="226"/>
      <c r="EK27" s="226"/>
      <c r="EL27" s="226"/>
      <c r="EM27" s="226"/>
      <c r="EN27" s="226"/>
      <c r="EO27" s="226"/>
      <c r="EP27" s="226"/>
      <c r="EQ27" s="226"/>
      <c r="ER27" s="226"/>
      <c r="ES27" s="226"/>
      <c r="ET27" s="226"/>
      <c r="EU27" s="226"/>
      <c r="EV27" s="226"/>
      <c r="EW27" s="226"/>
      <c r="EX27" s="226"/>
      <c r="EY27" s="226"/>
      <c r="EZ27" s="226"/>
      <c r="FA27" s="226"/>
      <c r="FB27" s="226"/>
      <c r="FC27" s="226"/>
      <c r="FD27" s="226"/>
      <c r="FE27" s="226"/>
      <c r="FF27" s="226"/>
      <c r="FG27" s="226"/>
      <c r="FH27" s="226"/>
      <c r="FI27" s="226"/>
      <c r="FJ27" s="226"/>
      <c r="FK27" s="226"/>
      <c r="FL27" s="226"/>
      <c r="FM27" s="226"/>
      <c r="FN27" s="226"/>
      <c r="FO27" s="226"/>
      <c r="FP27" s="226"/>
      <c r="FQ27" s="226"/>
      <c r="FR27" s="226"/>
      <c r="FS27" s="226"/>
      <c r="FT27" s="226"/>
      <c r="FU27" s="226"/>
      <c r="FV27" s="226"/>
      <c r="FW27" s="226"/>
      <c r="FX27" s="226"/>
      <c r="FY27" s="226"/>
      <c r="FZ27" s="226"/>
      <c r="GA27" s="226"/>
      <c r="GB27" s="226"/>
      <c r="GC27" s="226"/>
      <c r="GD27" s="226"/>
      <c r="GE27" s="226"/>
      <c r="GF27" s="226"/>
      <c r="GG27" s="226"/>
      <c r="GH27" s="226"/>
    </row>
    <row r="28" spans="1:190" ht="21.75" customHeight="1">
      <c r="A28" s="17">
        <v>103</v>
      </c>
      <c r="B28" s="5"/>
      <c r="C28" s="6" t="s">
        <v>28</v>
      </c>
      <c r="D28" s="7"/>
      <c r="E28" s="213"/>
      <c r="F28" s="109"/>
      <c r="G28" s="65"/>
    </row>
    <row r="29" spans="1:190" ht="21.75" customHeight="1">
      <c r="A29" s="17" t="s">
        <v>29</v>
      </c>
      <c r="B29" s="5"/>
      <c r="C29" s="35" t="s">
        <v>30</v>
      </c>
      <c r="D29" s="7" t="s">
        <v>27</v>
      </c>
      <c r="E29" s="213">
        <f>K29</f>
        <v>72.765000000000001</v>
      </c>
      <c r="F29" s="108" t="e">
        <f>#REF!</f>
        <v>#REF!</v>
      </c>
      <c r="G29" s="65" t="e">
        <f>+E29*F29</f>
        <v>#REF!</v>
      </c>
      <c r="I29" s="255">
        <f>G13/50</f>
        <v>69.3</v>
      </c>
      <c r="J29" s="265">
        <v>1.05</v>
      </c>
      <c r="K29" s="259">
        <f>I29*J29</f>
        <v>72.765000000000001</v>
      </c>
    </row>
    <row r="30" spans="1:190" ht="21.75" customHeight="1">
      <c r="A30" s="17" t="s">
        <v>31</v>
      </c>
      <c r="B30" s="5"/>
      <c r="C30" s="35" t="s">
        <v>32</v>
      </c>
      <c r="D30" s="7" t="s">
        <v>27</v>
      </c>
      <c r="E30" s="213">
        <f>K30</f>
        <v>26.25</v>
      </c>
      <c r="F30" s="108" t="e">
        <f>#REF!</f>
        <v>#REF!</v>
      </c>
      <c r="G30" s="65" t="e">
        <f t="shared" ref="G30:G38" si="0">+E30*F30</f>
        <v>#REF!</v>
      </c>
      <c r="I30" s="255">
        <f>25</f>
        <v>25</v>
      </c>
      <c r="J30" s="265">
        <v>1.05</v>
      </c>
      <c r="K30" s="259">
        <f>I30*J30</f>
        <v>26.25</v>
      </c>
    </row>
    <row r="31" spans="1:190" ht="21.75" customHeight="1">
      <c r="A31" s="17" t="s">
        <v>227</v>
      </c>
      <c r="B31" s="5"/>
      <c r="C31" s="35" t="s">
        <v>33</v>
      </c>
      <c r="D31" s="7" t="s">
        <v>27</v>
      </c>
      <c r="E31" s="213">
        <f>K31</f>
        <v>21</v>
      </c>
      <c r="F31" s="108" t="e">
        <f>#REF!</f>
        <v>#REF!</v>
      </c>
      <c r="G31" s="65" t="e">
        <f t="shared" si="0"/>
        <v>#REF!</v>
      </c>
      <c r="I31" s="255">
        <f>20</f>
        <v>20</v>
      </c>
      <c r="J31" s="265">
        <v>1.05</v>
      </c>
      <c r="K31" s="259">
        <f>I31*J31</f>
        <v>21</v>
      </c>
    </row>
    <row r="32" spans="1:190" ht="21.75" customHeight="1">
      <c r="A32" s="36" t="s">
        <v>259</v>
      </c>
      <c r="B32" s="30"/>
      <c r="C32" s="9" t="s">
        <v>260</v>
      </c>
      <c r="D32" s="113" t="s">
        <v>27</v>
      </c>
      <c r="E32" s="237">
        <f>K32</f>
        <v>0</v>
      </c>
      <c r="F32" s="107" t="e">
        <f>#REF!</f>
        <v>#REF!</v>
      </c>
      <c r="G32" s="64" t="e">
        <f>+E32*F32</f>
        <v>#REF!</v>
      </c>
      <c r="I32" s="255">
        <f>G17/50</f>
        <v>0</v>
      </c>
      <c r="J32" s="265">
        <v>1.05</v>
      </c>
      <c r="K32" s="259">
        <f>I32*J32</f>
        <v>0</v>
      </c>
    </row>
    <row r="33" spans="1:190" ht="18.75" customHeight="1">
      <c r="A33" s="17">
        <v>104</v>
      </c>
      <c r="B33" s="5"/>
      <c r="C33" s="6" t="s">
        <v>34</v>
      </c>
      <c r="D33" s="7"/>
      <c r="E33" s="213"/>
      <c r="F33" s="109"/>
      <c r="G33" s="65"/>
    </row>
    <row r="34" spans="1:190" ht="16.5" customHeight="1">
      <c r="A34" s="36"/>
      <c r="B34" s="30"/>
      <c r="C34" s="31"/>
      <c r="D34" s="32" t="s">
        <v>1</v>
      </c>
      <c r="E34" s="237">
        <f>K34</f>
        <v>346.5</v>
      </c>
      <c r="F34" s="107" t="e">
        <f>#REF!</f>
        <v>#REF!</v>
      </c>
      <c r="G34" s="64" t="e">
        <f>+E34*F34</f>
        <v>#REF!</v>
      </c>
      <c r="I34" s="255">
        <f>10%*G13</f>
        <v>346.5</v>
      </c>
      <c r="J34" s="262">
        <v>1</v>
      </c>
      <c r="K34" s="255">
        <f>I34*J34</f>
        <v>346.5</v>
      </c>
    </row>
    <row r="35" spans="1:190" ht="21.75" customHeight="1">
      <c r="A35" s="17">
        <v>105</v>
      </c>
      <c r="B35" s="5"/>
      <c r="C35" s="6" t="s">
        <v>35</v>
      </c>
      <c r="D35" s="7"/>
      <c r="E35" s="213"/>
      <c r="F35" s="109"/>
      <c r="G35" s="65"/>
    </row>
    <row r="36" spans="1:190" ht="16.5" customHeight="1">
      <c r="A36" s="36"/>
      <c r="B36" s="30"/>
      <c r="C36" s="31"/>
      <c r="D36" s="32" t="s">
        <v>25</v>
      </c>
      <c r="E36" s="237">
        <v>0</v>
      </c>
      <c r="F36" s="107">
        <v>100000000</v>
      </c>
      <c r="G36" s="64">
        <f t="shared" si="0"/>
        <v>0</v>
      </c>
    </row>
    <row r="37" spans="1:190" ht="21.75" customHeight="1">
      <c r="A37" s="17">
        <v>106</v>
      </c>
      <c r="B37" s="5"/>
      <c r="C37" s="6" t="s">
        <v>36</v>
      </c>
      <c r="D37" s="7"/>
      <c r="E37" s="213"/>
      <c r="F37" s="109"/>
      <c r="G37" s="65"/>
    </row>
    <row r="38" spans="1:190" ht="15" customHeight="1">
      <c r="A38" s="36"/>
      <c r="B38" s="30"/>
      <c r="C38" s="31"/>
      <c r="D38" s="32" t="s">
        <v>25</v>
      </c>
      <c r="E38" s="237">
        <v>1</v>
      </c>
      <c r="F38" s="107">
        <v>8250000</v>
      </c>
      <c r="G38" s="64">
        <f t="shared" si="0"/>
        <v>8250000</v>
      </c>
    </row>
    <row r="39" spans="1:190" ht="28.5" customHeight="1">
      <c r="D39" s="95"/>
      <c r="E39" s="92"/>
      <c r="F39" s="93" t="s">
        <v>106</v>
      </c>
      <c r="G39" s="94" t="e">
        <f>SUM(G24:G38)</f>
        <v>#REF!</v>
      </c>
    </row>
    <row r="41" spans="1:190" ht="27" customHeight="1">
      <c r="D41" s="95"/>
      <c r="E41" s="92"/>
      <c r="F41" s="93" t="s">
        <v>107</v>
      </c>
      <c r="G41" s="94" t="e">
        <f>+G21+G39</f>
        <v>#REF!</v>
      </c>
    </row>
    <row r="42" spans="1:190" s="114" customFormat="1" ht="27" customHeight="1">
      <c r="D42" s="115"/>
      <c r="E42" s="116"/>
      <c r="F42" s="117"/>
      <c r="G42" s="118"/>
      <c r="I42" s="257"/>
      <c r="J42" s="263"/>
      <c r="K42" s="257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29"/>
      <c r="W42" s="129"/>
      <c r="X42" s="129"/>
      <c r="Y42" s="129"/>
      <c r="Z42" s="129"/>
      <c r="AA42" s="129"/>
      <c r="AB42" s="129"/>
      <c r="AC42" s="129"/>
      <c r="AD42" s="129"/>
      <c r="AE42" s="129"/>
      <c r="AF42" s="129"/>
      <c r="AG42" s="129"/>
      <c r="AH42" s="129"/>
      <c r="AI42" s="129"/>
      <c r="AJ42" s="129"/>
      <c r="AK42" s="129"/>
      <c r="AL42" s="129"/>
      <c r="AM42" s="129"/>
      <c r="AN42" s="129"/>
      <c r="AO42" s="129"/>
      <c r="AP42" s="129"/>
      <c r="AQ42" s="129"/>
      <c r="AR42" s="129"/>
      <c r="AS42" s="129"/>
      <c r="AT42" s="129"/>
      <c r="AU42" s="129"/>
      <c r="AV42" s="129"/>
      <c r="AW42" s="129"/>
      <c r="AX42" s="129"/>
      <c r="AY42" s="129"/>
      <c r="AZ42" s="129"/>
      <c r="BA42" s="129"/>
      <c r="BB42" s="129"/>
      <c r="BC42" s="129"/>
      <c r="BD42" s="129"/>
      <c r="BE42" s="129"/>
      <c r="BF42" s="129"/>
      <c r="BG42" s="129"/>
      <c r="BH42" s="129"/>
      <c r="BI42" s="129"/>
      <c r="BJ42" s="129"/>
      <c r="BK42" s="129"/>
      <c r="BL42" s="129"/>
      <c r="BM42" s="129"/>
      <c r="BN42" s="129"/>
      <c r="BO42" s="129"/>
      <c r="BP42" s="129"/>
      <c r="BQ42" s="129"/>
      <c r="BR42" s="129"/>
      <c r="BS42" s="129"/>
      <c r="BT42" s="129"/>
      <c r="BU42" s="129"/>
      <c r="BV42" s="129"/>
      <c r="BW42" s="129"/>
      <c r="BX42" s="129"/>
      <c r="BY42" s="129"/>
      <c r="BZ42" s="129"/>
      <c r="CA42" s="129"/>
      <c r="CB42" s="129"/>
      <c r="CC42" s="129"/>
      <c r="CD42" s="129"/>
      <c r="CE42" s="129"/>
      <c r="CF42" s="129"/>
      <c r="CG42" s="129"/>
      <c r="CH42" s="129"/>
      <c r="CI42" s="129"/>
      <c r="CJ42" s="129"/>
      <c r="CK42" s="129"/>
      <c r="CL42" s="129"/>
      <c r="CM42" s="129"/>
      <c r="CN42" s="129"/>
      <c r="CO42" s="129"/>
      <c r="CP42" s="129"/>
      <c r="CQ42" s="129"/>
      <c r="CR42" s="129"/>
      <c r="CS42" s="129"/>
      <c r="CT42" s="129"/>
      <c r="CU42" s="129"/>
      <c r="CV42" s="129"/>
      <c r="CW42" s="129"/>
      <c r="CX42" s="129"/>
      <c r="CY42" s="129"/>
      <c r="CZ42" s="129"/>
      <c r="DA42" s="129"/>
      <c r="DB42" s="129"/>
      <c r="DC42" s="129"/>
      <c r="DD42" s="129"/>
      <c r="DE42" s="129"/>
      <c r="DF42" s="129"/>
      <c r="DG42" s="129"/>
      <c r="DH42" s="129"/>
      <c r="DI42" s="129"/>
      <c r="DJ42" s="129"/>
      <c r="DK42" s="129"/>
      <c r="DL42" s="129"/>
      <c r="DM42" s="129"/>
      <c r="DN42" s="129"/>
      <c r="DO42" s="129"/>
      <c r="DP42" s="129"/>
      <c r="DQ42" s="129"/>
      <c r="DR42" s="129"/>
      <c r="DS42" s="129"/>
      <c r="DT42" s="129"/>
      <c r="DU42" s="129"/>
      <c r="DV42" s="129"/>
      <c r="DW42" s="129"/>
      <c r="DX42" s="129"/>
      <c r="DY42" s="129"/>
      <c r="DZ42" s="129"/>
      <c r="EA42" s="129"/>
      <c r="EB42" s="129"/>
      <c r="EC42" s="129"/>
      <c r="ED42" s="129"/>
      <c r="EE42" s="129"/>
      <c r="EF42" s="129"/>
      <c r="EG42" s="129"/>
      <c r="EH42" s="129"/>
      <c r="EI42" s="129"/>
      <c r="EJ42" s="129"/>
      <c r="EK42" s="129"/>
      <c r="EL42" s="129"/>
      <c r="EM42" s="129"/>
      <c r="EN42" s="129"/>
      <c r="EO42" s="129"/>
      <c r="EP42" s="129"/>
      <c r="EQ42" s="129"/>
      <c r="ER42" s="129"/>
      <c r="ES42" s="129"/>
      <c r="ET42" s="129"/>
      <c r="EU42" s="129"/>
      <c r="EV42" s="129"/>
      <c r="EW42" s="129"/>
      <c r="EX42" s="129"/>
      <c r="EY42" s="129"/>
      <c r="EZ42" s="129"/>
      <c r="FA42" s="129"/>
      <c r="FB42" s="129"/>
      <c r="FC42" s="129"/>
      <c r="FD42" s="129"/>
      <c r="FE42" s="129"/>
      <c r="FF42" s="129"/>
      <c r="FG42" s="129"/>
      <c r="FH42" s="129"/>
      <c r="FI42" s="129"/>
      <c r="FJ42" s="129"/>
      <c r="FK42" s="129"/>
      <c r="FL42" s="129"/>
      <c r="FM42" s="129"/>
      <c r="FN42" s="129"/>
      <c r="FO42" s="129"/>
      <c r="FP42" s="129"/>
      <c r="FQ42" s="129"/>
      <c r="FR42" s="129"/>
      <c r="FS42" s="129"/>
      <c r="FT42" s="129"/>
      <c r="FU42" s="129"/>
      <c r="FV42" s="129"/>
      <c r="FW42" s="129"/>
      <c r="FX42" s="129"/>
      <c r="FY42" s="129"/>
      <c r="FZ42" s="129"/>
      <c r="GA42" s="129"/>
      <c r="GB42" s="129"/>
      <c r="GC42" s="129"/>
      <c r="GD42" s="129"/>
      <c r="GE42" s="129"/>
      <c r="GF42" s="129"/>
      <c r="GG42" s="129"/>
      <c r="GH42" s="129"/>
    </row>
    <row r="43" spans="1:190" ht="8.25" customHeight="1">
      <c r="A43" s="10"/>
      <c r="B43" s="11"/>
      <c r="C43" s="12"/>
      <c r="D43" s="51"/>
      <c r="E43" s="76"/>
      <c r="F43" s="66"/>
      <c r="G43" s="66"/>
    </row>
    <row r="44" spans="1:190" ht="23.25" customHeight="1">
      <c r="A44" s="1" t="s">
        <v>41</v>
      </c>
      <c r="B44" s="2"/>
      <c r="C44" s="3"/>
      <c r="D44" s="52" t="s">
        <v>98</v>
      </c>
      <c r="E44" s="86" t="s">
        <v>99</v>
      </c>
      <c r="F44" s="86" t="s">
        <v>100</v>
      </c>
      <c r="G44" s="86" t="s">
        <v>114</v>
      </c>
    </row>
    <row r="45" spans="1:190" ht="15.95" customHeight="1">
      <c r="A45" s="4" t="s">
        <v>2</v>
      </c>
      <c r="B45" s="5"/>
      <c r="C45" s="14" t="s">
        <v>38</v>
      </c>
      <c r="D45" s="7"/>
      <c r="E45" s="74"/>
      <c r="F45" s="109"/>
      <c r="G45" s="65"/>
    </row>
    <row r="46" spans="1:190" ht="15.95" customHeight="1">
      <c r="A46" s="8"/>
      <c r="B46" s="15"/>
      <c r="C46" s="9"/>
      <c r="D46" s="53" t="s">
        <v>19</v>
      </c>
      <c r="E46" s="77">
        <v>1</v>
      </c>
      <c r="F46" s="107">
        <v>15672373</v>
      </c>
      <c r="G46" s="64">
        <f>+E46*F46</f>
        <v>15672373</v>
      </c>
    </row>
    <row r="47" spans="1:190" ht="15.95" customHeight="1">
      <c r="A47" s="4" t="s">
        <v>3</v>
      </c>
      <c r="B47" s="21"/>
      <c r="C47" s="14" t="s">
        <v>37</v>
      </c>
      <c r="D47" s="54"/>
      <c r="E47" s="78"/>
      <c r="F47" s="109"/>
      <c r="G47" s="65"/>
    </row>
    <row r="48" spans="1:190" ht="15.95" customHeight="1">
      <c r="A48" s="22" t="s">
        <v>39</v>
      </c>
      <c r="B48" s="15"/>
      <c r="C48" s="240" t="s">
        <v>40</v>
      </c>
      <c r="D48" s="55" t="s">
        <v>94</v>
      </c>
      <c r="E48" s="148">
        <f>K48</f>
        <v>43659</v>
      </c>
      <c r="F48" s="107" t="e">
        <f>#REF!</f>
        <v>#REF!</v>
      </c>
      <c r="G48" s="64" t="e">
        <f>+E48*F48</f>
        <v>#REF!</v>
      </c>
      <c r="I48" s="255">
        <f>40%*G13*30</f>
        <v>41580</v>
      </c>
      <c r="J48" s="262">
        <v>1.05</v>
      </c>
      <c r="K48" s="255">
        <f>I48*J48</f>
        <v>43659</v>
      </c>
    </row>
    <row r="49" spans="1:11" ht="15.95" customHeight="1">
      <c r="A49" s="17">
        <v>203</v>
      </c>
      <c r="B49" s="21"/>
      <c r="C49" s="14" t="s">
        <v>42</v>
      </c>
      <c r="D49" s="54"/>
      <c r="E49" s="78"/>
      <c r="F49" s="109"/>
      <c r="G49" s="63"/>
    </row>
    <row r="50" spans="1:11" ht="15.95" customHeight="1">
      <c r="A50" s="22"/>
      <c r="B50" s="15"/>
      <c r="C50" s="38"/>
      <c r="D50" s="53" t="s">
        <v>27</v>
      </c>
      <c r="E50" s="77">
        <v>15</v>
      </c>
      <c r="F50" s="107" t="e">
        <f>#REF!</f>
        <v>#REF!</v>
      </c>
      <c r="G50" s="64" t="e">
        <f>+E50*F50</f>
        <v>#REF!</v>
      </c>
    </row>
    <row r="51" spans="1:11" ht="15.95" customHeight="1">
      <c r="A51" s="87" t="s">
        <v>4</v>
      </c>
      <c r="B51" s="42"/>
      <c r="C51" s="125" t="s">
        <v>43</v>
      </c>
      <c r="D51" s="57"/>
      <c r="E51" s="81"/>
      <c r="F51" s="109"/>
      <c r="G51" s="63"/>
    </row>
    <row r="52" spans="1:11" ht="15.95" customHeight="1">
      <c r="A52" s="4" t="s">
        <v>44</v>
      </c>
      <c r="B52" s="5"/>
      <c r="C52" s="123" t="s">
        <v>46</v>
      </c>
      <c r="D52" s="272" t="s">
        <v>251</v>
      </c>
      <c r="E52" s="275">
        <f>K52</f>
        <v>3.6382500000000002</v>
      </c>
      <c r="F52" s="108" t="e">
        <f>#REF!</f>
        <v>#REF!</v>
      </c>
      <c r="G52" s="65" t="e">
        <f>+E52*F52</f>
        <v>#REF!</v>
      </c>
      <c r="I52" s="262">
        <f>G13/1000</f>
        <v>3.4649999999999999</v>
      </c>
      <c r="J52" s="262">
        <f>1.05</f>
        <v>1.05</v>
      </c>
      <c r="K52" s="262">
        <f>I52*J52</f>
        <v>3.6382500000000002</v>
      </c>
    </row>
    <row r="53" spans="1:11" ht="15.95" customHeight="1">
      <c r="A53" s="4" t="s">
        <v>45</v>
      </c>
      <c r="B53" s="5"/>
      <c r="C53" s="123" t="s">
        <v>47</v>
      </c>
      <c r="D53" s="272" t="s">
        <v>251</v>
      </c>
      <c r="E53" s="275">
        <f>K53</f>
        <v>3.6382500000000002</v>
      </c>
      <c r="F53" s="108" t="e">
        <f>#REF!</f>
        <v>#REF!</v>
      </c>
      <c r="G53" s="65" t="e">
        <f>+E53*F53</f>
        <v>#REF!</v>
      </c>
      <c r="I53" s="262">
        <f>I52</f>
        <v>3.4649999999999999</v>
      </c>
      <c r="J53" s="262">
        <f>1.05</f>
        <v>1.05</v>
      </c>
      <c r="K53" s="262">
        <f>I53*J53</f>
        <v>3.6382500000000002</v>
      </c>
    </row>
    <row r="54" spans="1:11" ht="15.95" customHeight="1">
      <c r="A54" s="4" t="s">
        <v>48</v>
      </c>
      <c r="B54" s="5"/>
      <c r="C54" s="123" t="s">
        <v>204</v>
      </c>
      <c r="D54" s="272" t="s">
        <v>205</v>
      </c>
      <c r="E54" s="275">
        <f>K54</f>
        <v>363.82499999999999</v>
      </c>
      <c r="F54" s="201" t="e">
        <f>#REF!</f>
        <v>#REF!</v>
      </c>
      <c r="G54" s="65" t="e">
        <f>+E54*F54</f>
        <v>#REF!</v>
      </c>
      <c r="I54" s="262">
        <f>10%*G13</f>
        <v>346.5</v>
      </c>
      <c r="J54" s="262">
        <f>1.05</f>
        <v>1.05</v>
      </c>
      <c r="K54" s="262">
        <f>I54*J54</f>
        <v>363.82499999999999</v>
      </c>
    </row>
    <row r="55" spans="1:11" ht="15.95" customHeight="1">
      <c r="A55" s="22" t="s">
        <v>203</v>
      </c>
      <c r="B55" s="30"/>
      <c r="C55" s="24" t="s">
        <v>49</v>
      </c>
      <c r="D55" s="168" t="s">
        <v>251</v>
      </c>
      <c r="E55" s="276">
        <f>K55</f>
        <v>3.6382500000000002</v>
      </c>
      <c r="F55" s="107" t="e">
        <f>#REF!</f>
        <v>#REF!</v>
      </c>
      <c r="G55" s="64" t="e">
        <f>+E55*F55</f>
        <v>#REF!</v>
      </c>
      <c r="I55" s="262">
        <f>I53</f>
        <v>3.4649999999999999</v>
      </c>
      <c r="J55" s="262">
        <f>1.05</f>
        <v>1.05</v>
      </c>
      <c r="K55" s="262">
        <f>I55*J55</f>
        <v>3.6382500000000002</v>
      </c>
    </row>
    <row r="56" spans="1:11" ht="15.95" customHeight="1">
      <c r="A56" s="17">
        <v>206</v>
      </c>
      <c r="B56" s="5"/>
      <c r="C56" s="14" t="s">
        <v>123</v>
      </c>
      <c r="D56" s="56"/>
      <c r="E56" s="80"/>
      <c r="F56" s="109"/>
      <c r="G56" s="65"/>
    </row>
    <row r="57" spans="1:11" ht="15.95" customHeight="1">
      <c r="A57" s="8"/>
      <c r="B57" s="15"/>
      <c r="C57" s="16"/>
      <c r="D57" s="53" t="s">
        <v>94</v>
      </c>
      <c r="E57" s="77">
        <v>510</v>
      </c>
      <c r="F57" s="107" t="e">
        <f>#REF!</f>
        <v>#REF!</v>
      </c>
      <c r="G57" s="64" t="e">
        <f>+E57*F57</f>
        <v>#REF!</v>
      </c>
    </row>
    <row r="58" spans="1:11" s="129" customFormat="1" ht="15.95" customHeight="1">
      <c r="A58" s="41" t="s">
        <v>50</v>
      </c>
      <c r="B58" s="42"/>
      <c r="C58" s="43" t="s">
        <v>51</v>
      </c>
      <c r="D58" s="57"/>
      <c r="E58" s="81"/>
      <c r="F58" s="109"/>
      <c r="G58" s="63"/>
      <c r="H58" s="142"/>
      <c r="I58" s="255"/>
      <c r="J58" s="262"/>
      <c r="K58" s="255"/>
    </row>
    <row r="59" spans="1:11" s="129" customFormat="1" ht="15.95" customHeight="1">
      <c r="A59" s="8"/>
      <c r="B59" s="15"/>
      <c r="C59" s="16"/>
      <c r="D59" s="53" t="s">
        <v>1</v>
      </c>
      <c r="E59" s="77">
        <v>240</v>
      </c>
      <c r="F59" s="107" t="e">
        <f>#REF!</f>
        <v>#REF!</v>
      </c>
      <c r="G59" s="64" t="e">
        <f>+E59*F59</f>
        <v>#REF!</v>
      </c>
      <c r="H59" s="142"/>
      <c r="I59" s="255"/>
      <c r="J59" s="262"/>
      <c r="K59" s="255"/>
    </row>
    <row r="60" spans="1:11" s="129" customFormat="1" ht="15.95" customHeight="1">
      <c r="A60" s="41" t="s">
        <v>52</v>
      </c>
      <c r="B60" s="42"/>
      <c r="C60" s="43" t="s">
        <v>53</v>
      </c>
      <c r="D60" s="57"/>
      <c r="E60" s="81"/>
      <c r="F60" s="109"/>
      <c r="G60" s="63"/>
      <c r="H60" s="142"/>
      <c r="I60" s="255"/>
      <c r="J60" s="262"/>
      <c r="K60" s="255"/>
    </row>
    <row r="61" spans="1:11" s="129" customFormat="1" ht="15.95" customHeight="1">
      <c r="A61" s="17" t="s">
        <v>54</v>
      </c>
      <c r="B61" s="5"/>
      <c r="C61" s="39" t="s">
        <v>97</v>
      </c>
      <c r="D61" s="50" t="s">
        <v>1</v>
      </c>
      <c r="E61" s="83">
        <f>K61</f>
        <v>4904</v>
      </c>
      <c r="F61" s="108" t="e">
        <f>#REF!</f>
        <v>#REF!</v>
      </c>
      <c r="G61" s="65" t="e">
        <f>+E61*F61</f>
        <v>#REF!</v>
      </c>
      <c r="H61" s="142"/>
      <c r="I61" s="255">
        <f>472+204+467+600+116+251+225+143+195+156+31+40+172+176+709+600+142+205</f>
        <v>4904</v>
      </c>
      <c r="J61" s="262">
        <v>1</v>
      </c>
      <c r="K61" s="255">
        <f>I61*J61</f>
        <v>4904</v>
      </c>
    </row>
    <row r="62" spans="1:11" s="129" customFormat="1" ht="15.95" customHeight="1">
      <c r="A62" s="17" t="s">
        <v>56</v>
      </c>
      <c r="B62" s="5"/>
      <c r="C62" s="39" t="s">
        <v>55</v>
      </c>
      <c r="D62" s="50" t="s">
        <v>1</v>
      </c>
      <c r="E62" s="83">
        <f>K62</f>
        <v>4093</v>
      </c>
      <c r="F62" s="108" t="e">
        <f>#REF!</f>
        <v>#REF!</v>
      </c>
      <c r="G62" s="64" t="e">
        <f>+E62*F62</f>
        <v>#REF!</v>
      </c>
      <c r="H62" s="142"/>
      <c r="I62" s="255">
        <f>2158+1595+340</f>
        <v>4093</v>
      </c>
      <c r="J62" s="262">
        <v>1</v>
      </c>
      <c r="K62" s="255">
        <f>I62*J62</f>
        <v>4093</v>
      </c>
    </row>
    <row r="63" spans="1:11" s="129" customFormat="1" ht="15.95" customHeight="1">
      <c r="A63" s="41">
        <v>210</v>
      </c>
      <c r="B63" s="42"/>
      <c r="C63" s="43" t="s">
        <v>57</v>
      </c>
      <c r="D63" s="57"/>
      <c r="E63" s="84"/>
      <c r="F63" s="109"/>
      <c r="G63" s="63"/>
      <c r="H63" s="142"/>
      <c r="I63" s="255"/>
      <c r="J63" s="262"/>
      <c r="K63" s="255"/>
    </row>
    <row r="64" spans="1:11" s="129" customFormat="1" ht="15.95" customHeight="1">
      <c r="A64" s="8"/>
      <c r="B64" s="15"/>
      <c r="C64" s="16"/>
      <c r="D64" s="53" t="s">
        <v>94</v>
      </c>
      <c r="E64" s="150">
        <v>0</v>
      </c>
      <c r="F64" s="107" t="e">
        <f>#REF!</f>
        <v>#REF!</v>
      </c>
      <c r="G64" s="64" t="e">
        <f>+E64*F64</f>
        <v>#REF!</v>
      </c>
      <c r="H64" s="142"/>
      <c r="I64" s="255"/>
      <c r="J64" s="262"/>
      <c r="K64" s="255"/>
    </row>
    <row r="65" spans="1:12" s="129" customFormat="1" ht="15.95" customHeight="1">
      <c r="A65" s="41">
        <v>212</v>
      </c>
      <c r="B65" s="42"/>
      <c r="C65" s="43" t="s">
        <v>58</v>
      </c>
      <c r="D65" s="57"/>
      <c r="E65" s="84"/>
      <c r="F65" s="109"/>
      <c r="G65" s="63"/>
      <c r="H65" s="142"/>
      <c r="I65" s="255"/>
      <c r="J65" s="262"/>
      <c r="K65" s="255"/>
    </row>
    <row r="66" spans="1:12" s="129" customFormat="1" ht="15.95" customHeight="1">
      <c r="A66" s="8"/>
      <c r="B66" s="15"/>
      <c r="C66" s="16"/>
      <c r="D66" s="53" t="s">
        <v>94</v>
      </c>
      <c r="E66" s="77">
        <f>E57</f>
        <v>510</v>
      </c>
      <c r="F66" s="107" t="e">
        <f>#REF!</f>
        <v>#REF!</v>
      </c>
      <c r="G66" s="64" t="e">
        <f>+E66*F66</f>
        <v>#REF!</v>
      </c>
      <c r="H66" s="142"/>
      <c r="I66" s="255"/>
      <c r="J66" s="262"/>
      <c r="K66" s="255"/>
    </row>
    <row r="67" spans="1:12" s="129" customFormat="1" ht="15.95" customHeight="1">
      <c r="A67" s="41">
        <v>215</v>
      </c>
      <c r="B67" s="42"/>
      <c r="C67" s="43" t="s">
        <v>59</v>
      </c>
      <c r="D67" s="57"/>
      <c r="E67" s="84"/>
      <c r="F67" s="109"/>
      <c r="G67" s="63"/>
      <c r="H67" s="142"/>
      <c r="I67" s="255"/>
      <c r="J67" s="262"/>
      <c r="K67" s="255"/>
    </row>
    <row r="68" spans="1:12" s="129" customFormat="1" ht="15.95" customHeight="1">
      <c r="A68" s="8"/>
      <c r="B68" s="15"/>
      <c r="C68" s="16"/>
      <c r="D68" s="53" t="s">
        <v>1</v>
      </c>
      <c r="E68" s="77">
        <v>0</v>
      </c>
      <c r="F68" s="107" t="e">
        <f>#REF!</f>
        <v>#REF!</v>
      </c>
      <c r="G68" s="64" t="e">
        <f>+E68*F68</f>
        <v>#REF!</v>
      </c>
      <c r="H68" s="142"/>
      <c r="I68" s="255"/>
      <c r="J68" s="262"/>
      <c r="K68" s="255"/>
    </row>
    <row r="69" spans="1:12" s="129" customFormat="1" ht="25.5" customHeight="1">
      <c r="A69" s="10"/>
      <c r="B69" s="21"/>
      <c r="C69" s="40"/>
      <c r="D69" s="95"/>
      <c r="E69" s="92"/>
      <c r="F69" s="93" t="s">
        <v>111</v>
      </c>
      <c r="G69" s="94" t="e">
        <f>SUM(G45:G68)</f>
        <v>#REF!</v>
      </c>
      <c r="H69" s="142"/>
      <c r="I69" s="255"/>
      <c r="J69" s="262"/>
      <c r="K69" s="255"/>
    </row>
    <row r="70" spans="1:12" s="129" customFormat="1" ht="15.95" customHeight="1">
      <c r="A70" s="10"/>
      <c r="B70" s="21"/>
      <c r="C70" s="40"/>
      <c r="D70" s="51"/>
      <c r="E70" s="76"/>
      <c r="F70" s="66"/>
      <c r="G70" s="66"/>
      <c r="H70" s="142"/>
      <c r="I70" s="255"/>
      <c r="J70" s="262"/>
      <c r="K70" s="255"/>
    </row>
    <row r="71" spans="1:12" s="129" customFormat="1" ht="23.25" customHeight="1">
      <c r="A71" s="1" t="s">
        <v>5</v>
      </c>
      <c r="B71" s="2"/>
      <c r="C71" s="3"/>
      <c r="D71" s="52" t="s">
        <v>98</v>
      </c>
      <c r="E71" s="86" t="s">
        <v>99</v>
      </c>
      <c r="F71" s="71" t="s">
        <v>100</v>
      </c>
      <c r="G71" s="71" t="s">
        <v>114</v>
      </c>
      <c r="H71" s="142"/>
      <c r="I71" s="255"/>
      <c r="J71" s="262"/>
      <c r="K71" s="255"/>
    </row>
    <row r="72" spans="1:12" s="129" customFormat="1" ht="15.95" customHeight="1">
      <c r="A72" s="4" t="s">
        <v>6</v>
      </c>
      <c r="B72" s="5"/>
      <c r="C72" s="19" t="s">
        <v>60</v>
      </c>
      <c r="D72" s="7"/>
      <c r="E72" s="84"/>
      <c r="F72" s="109"/>
      <c r="G72" s="63"/>
      <c r="H72" s="142"/>
      <c r="I72" s="255"/>
      <c r="J72" s="262"/>
      <c r="K72" s="255"/>
    </row>
    <row r="73" spans="1:12" s="129" customFormat="1" ht="15.95" customHeight="1">
      <c r="A73" s="22" t="s">
        <v>61</v>
      </c>
      <c r="B73" s="30"/>
      <c r="C73" s="9" t="s">
        <v>62</v>
      </c>
      <c r="D73" s="55" t="s">
        <v>95</v>
      </c>
      <c r="E73" s="77">
        <f>K73</f>
        <v>29320.500000000004</v>
      </c>
      <c r="F73" s="107" t="e">
        <f>#REF!</f>
        <v>#REF!</v>
      </c>
      <c r="G73" s="64" t="e">
        <f>+E73*F73</f>
        <v>#REF!</v>
      </c>
      <c r="H73" s="142"/>
      <c r="I73" s="255">
        <f>(I11*J11+I12*J12+I13*J13)*0.5+G10*K10*0.2</f>
        <v>26655</v>
      </c>
      <c r="J73" s="262">
        <v>1.1000000000000001</v>
      </c>
      <c r="K73" s="255">
        <f>I73*J73</f>
        <v>29320.500000000004</v>
      </c>
    </row>
    <row r="74" spans="1:12" s="129" customFormat="1" ht="15.95" customHeight="1">
      <c r="A74" s="4" t="s">
        <v>7</v>
      </c>
      <c r="B74" s="5"/>
      <c r="C74" s="14" t="s">
        <v>63</v>
      </c>
      <c r="D74" s="56"/>
      <c r="E74" s="84"/>
      <c r="F74" s="108"/>
      <c r="G74" s="65"/>
      <c r="H74" s="142"/>
      <c r="I74" s="255"/>
      <c r="J74" s="262"/>
      <c r="K74" s="255">
        <f>K73*0</f>
        <v>0</v>
      </c>
    </row>
    <row r="75" spans="1:12" s="129" customFormat="1" ht="15.95" customHeight="1">
      <c r="A75" s="8"/>
      <c r="B75" s="15"/>
      <c r="C75" s="16"/>
      <c r="D75" s="53" t="s">
        <v>95</v>
      </c>
      <c r="E75" s="77">
        <f>E73*0.1</f>
        <v>2932.0500000000006</v>
      </c>
      <c r="F75" s="107" t="e">
        <f>#REF!</f>
        <v>#REF!</v>
      </c>
      <c r="G75" s="64" t="e">
        <f>+E75*F75</f>
        <v>#REF!</v>
      </c>
      <c r="H75" s="142"/>
      <c r="I75" s="255">
        <v>0</v>
      </c>
      <c r="J75" s="262"/>
      <c r="K75" s="255"/>
    </row>
    <row r="76" spans="1:12" s="129" customFormat="1" ht="15.95" customHeight="1">
      <c r="A76" s="4" t="s">
        <v>8</v>
      </c>
      <c r="B76" s="5"/>
      <c r="C76" s="14" t="s">
        <v>64</v>
      </c>
      <c r="D76" s="56"/>
      <c r="E76" s="84"/>
      <c r="F76" s="109"/>
      <c r="G76" s="63"/>
      <c r="H76" s="142"/>
      <c r="I76" s="255"/>
      <c r="J76" s="262"/>
      <c r="K76" s="255"/>
    </row>
    <row r="77" spans="1:12" s="129" customFormat="1" ht="15.95" customHeight="1">
      <c r="A77" s="8"/>
      <c r="B77" s="15"/>
      <c r="C77" s="20"/>
      <c r="D77" s="53" t="s">
        <v>95</v>
      </c>
      <c r="E77" s="77">
        <f>K79+L77</f>
        <v>52420.5</v>
      </c>
      <c r="F77" s="107" t="e">
        <f>#REF!</f>
        <v>#REF!</v>
      </c>
      <c r="G77" s="64" t="e">
        <f>+E77*F77</f>
        <v>#REF!</v>
      </c>
      <c r="H77" s="142"/>
      <c r="I77" s="255">
        <f>I73+I79</f>
        <v>37155</v>
      </c>
      <c r="J77" s="262">
        <v>1.1000000000000001</v>
      </c>
      <c r="K77" s="255">
        <f>I77*J77</f>
        <v>40870.5</v>
      </c>
      <c r="L77" s="129">
        <f>K77-K74</f>
        <v>40870.5</v>
      </c>
    </row>
    <row r="78" spans="1:12" s="205" customFormat="1" ht="15.95" customHeight="1">
      <c r="A78" s="181" t="s">
        <v>189</v>
      </c>
      <c r="B78" s="202"/>
      <c r="C78" s="190" t="s">
        <v>132</v>
      </c>
      <c r="D78" s="203"/>
      <c r="E78" s="84"/>
      <c r="F78" s="161"/>
      <c r="G78" s="204"/>
      <c r="I78" s="258"/>
      <c r="J78" s="264"/>
      <c r="K78" s="258"/>
    </row>
    <row r="79" spans="1:12" s="205" customFormat="1" ht="15.95" customHeight="1">
      <c r="A79" s="206"/>
      <c r="B79" s="192"/>
      <c r="C79" s="207"/>
      <c r="D79" s="191" t="s">
        <v>95</v>
      </c>
      <c r="E79" s="77">
        <f>K79</f>
        <v>11550.000000000002</v>
      </c>
      <c r="F79" s="185" t="e">
        <f>#REF!</f>
        <v>#REF!</v>
      </c>
      <c r="G79" s="208" t="e">
        <f>+E79*F79</f>
        <v>#REF!</v>
      </c>
      <c r="I79" s="258">
        <f>(I12*1)*J12</f>
        <v>10500</v>
      </c>
      <c r="J79" s="264">
        <f>1.1</f>
        <v>1.1000000000000001</v>
      </c>
      <c r="K79" s="258">
        <f>I79*J79</f>
        <v>11550.000000000002</v>
      </c>
      <c r="L79" s="205" t="s">
        <v>420</v>
      </c>
    </row>
    <row r="80" spans="1:12" s="129" customFormat="1" ht="27" customHeight="1">
      <c r="A80" s="142"/>
      <c r="B80" s="142"/>
      <c r="C80" s="18"/>
      <c r="D80" s="95"/>
      <c r="E80" s="92"/>
      <c r="F80" s="93" t="s">
        <v>110</v>
      </c>
      <c r="G80" s="94" t="e">
        <f>SUM(G72:G79)</f>
        <v>#REF!</v>
      </c>
      <c r="H80" s="142"/>
      <c r="I80" s="255"/>
      <c r="J80" s="262"/>
      <c r="K80" s="255"/>
    </row>
    <row r="81" spans="1:12" s="129" customFormat="1" ht="15.95" customHeight="1">
      <c r="A81" s="142"/>
      <c r="B81" s="142"/>
      <c r="C81" s="18"/>
      <c r="D81" s="48"/>
      <c r="E81" s="111"/>
      <c r="F81" s="142"/>
      <c r="G81" s="112"/>
      <c r="H81" s="142"/>
      <c r="I81" s="255"/>
      <c r="J81" s="262"/>
      <c r="K81" s="255"/>
    </row>
    <row r="82" spans="1:12" s="129" customFormat="1" ht="23.25" customHeight="1">
      <c r="A82" s="1" t="s">
        <v>9</v>
      </c>
      <c r="B82" s="2"/>
      <c r="C82" s="3"/>
      <c r="D82" s="52" t="s">
        <v>98</v>
      </c>
      <c r="E82" s="86" t="s">
        <v>99</v>
      </c>
      <c r="F82" s="71" t="s">
        <v>100</v>
      </c>
      <c r="G82" s="71" t="s">
        <v>114</v>
      </c>
      <c r="H82" s="142"/>
      <c r="I82" s="255">
        <f>0.15*11.84*I12+0.15*2*9.84*I13+0.15*2*6.84*I11+0.15*7.42*G10*2+49*9.84*20*0.15</f>
        <v>9450.9120000000003</v>
      </c>
      <c r="J82" s="262">
        <f>1.1</f>
        <v>1.1000000000000001</v>
      </c>
      <c r="K82" s="255">
        <f>I82*J82</f>
        <v>10396.003200000001</v>
      </c>
    </row>
    <row r="83" spans="1:12" s="129" customFormat="1" ht="29.25" customHeight="1">
      <c r="A83" s="46" t="s">
        <v>10</v>
      </c>
      <c r="B83" s="5"/>
      <c r="C83" s="19" t="s">
        <v>65</v>
      </c>
      <c r="D83" s="209"/>
      <c r="E83" s="210"/>
      <c r="F83" s="161"/>
      <c r="G83" s="204"/>
      <c r="H83" s="142"/>
      <c r="I83" s="255"/>
      <c r="J83" s="262"/>
      <c r="K83" s="255"/>
      <c r="L83" s="129" t="s">
        <v>273</v>
      </c>
    </row>
    <row r="84" spans="1:12" s="129" customFormat="1" ht="15.95" customHeight="1">
      <c r="A84" s="8" t="s">
        <v>66</v>
      </c>
      <c r="B84" s="15"/>
      <c r="C84" s="24" t="s">
        <v>67</v>
      </c>
      <c r="D84" s="211" t="s">
        <v>95</v>
      </c>
      <c r="E84" s="147">
        <f>K84</f>
        <v>30023.567200000001</v>
      </c>
      <c r="F84" s="185" t="e">
        <f>#REF!</f>
        <v>#REF!</v>
      </c>
      <c r="G84" s="208" t="e">
        <f>+E84*F84</f>
        <v>#REF!</v>
      </c>
      <c r="H84" s="142"/>
      <c r="I84" s="255">
        <f>0.35*11.84*I12+0.35*2*9.84*I13+0.35*2*6.84*I11+0.2*(J11-6.84*2-2.6)*I11+0.2*(J12-11.84-0.9*2)*I12+0.2*(J13-9.84*2-1.6*2)*I13+2*7.84*G10*0.35+(10-7.42)*0.2*2*G10+49*20*0.35*9.84+0.2*20*2*2*49</f>
        <v>27294.151999999998</v>
      </c>
      <c r="J84" s="262">
        <f>1.1</f>
        <v>1.1000000000000001</v>
      </c>
      <c r="K84" s="255">
        <f>I84*J84</f>
        <v>30023.567200000001</v>
      </c>
    </row>
    <row r="85" spans="1:12" s="129" customFormat="1" ht="15.95" customHeight="1">
      <c r="A85" s="4" t="s">
        <v>11</v>
      </c>
      <c r="B85" s="5"/>
      <c r="C85" s="19" t="s">
        <v>68</v>
      </c>
      <c r="D85" s="23"/>
      <c r="E85" s="284"/>
      <c r="F85" s="109"/>
      <c r="G85" s="63"/>
      <c r="H85" s="142"/>
      <c r="I85" s="255"/>
      <c r="J85" s="262"/>
      <c r="K85" s="255"/>
    </row>
    <row r="86" spans="1:12" s="129" customFormat="1" ht="15.95" customHeight="1">
      <c r="A86" s="8"/>
      <c r="B86" s="15"/>
      <c r="C86" s="24"/>
      <c r="D86" s="59" t="s">
        <v>94</v>
      </c>
      <c r="E86" s="82">
        <f>K86</f>
        <v>132312.76800000001</v>
      </c>
      <c r="F86" s="107" t="e">
        <f>#REF!</f>
        <v>#REF!</v>
      </c>
      <c r="G86" s="64" t="e">
        <f>+E86*F86</f>
        <v>#REF!</v>
      </c>
      <c r="H86" s="142"/>
      <c r="I86" s="255">
        <f>(11.84*I12+2*9.84*I13+2*6.84*I11+2*7.42*G10+49*20*9.84)*2</f>
        <v>126012.16</v>
      </c>
      <c r="J86" s="262">
        <f>1.05</f>
        <v>1.05</v>
      </c>
      <c r="K86" s="255">
        <f>I86*J86</f>
        <v>132312.76800000001</v>
      </c>
    </row>
    <row r="87" spans="1:12" s="129" customFormat="1" ht="15.95" customHeight="1">
      <c r="A87" s="17">
        <v>404</v>
      </c>
      <c r="B87" s="5"/>
      <c r="C87" s="19" t="s">
        <v>69</v>
      </c>
      <c r="D87" s="23"/>
      <c r="E87" s="72"/>
      <c r="F87" s="109"/>
      <c r="G87" s="63"/>
      <c r="H87" s="142"/>
      <c r="I87" s="255"/>
      <c r="J87" s="262"/>
      <c r="K87" s="255"/>
    </row>
    <row r="88" spans="1:12" s="129" customFormat="1" ht="15.95" customHeight="1">
      <c r="A88" s="28"/>
      <c r="B88" s="15"/>
      <c r="C88" s="24"/>
      <c r="D88" s="59" t="s">
        <v>94</v>
      </c>
      <c r="E88" s="82">
        <f>+E86</f>
        <v>132312.76800000001</v>
      </c>
      <c r="F88" s="107" t="e">
        <f>#REF!</f>
        <v>#REF!</v>
      </c>
      <c r="G88" s="64" t="e">
        <f>+E88*F88</f>
        <v>#REF!</v>
      </c>
      <c r="H88" s="142"/>
      <c r="I88" s="255"/>
      <c r="J88" s="262"/>
      <c r="K88" s="255"/>
    </row>
    <row r="89" spans="1:12" s="129" customFormat="1" ht="15.95" customHeight="1">
      <c r="A89" s="17">
        <v>405</v>
      </c>
      <c r="B89" s="5"/>
      <c r="C89" s="19" t="s">
        <v>70</v>
      </c>
      <c r="D89" s="23"/>
      <c r="E89" s="284"/>
      <c r="F89" s="109"/>
      <c r="G89" s="63"/>
      <c r="H89" s="142"/>
      <c r="I89" s="255"/>
      <c r="J89" s="262"/>
      <c r="K89" s="255"/>
    </row>
    <row r="90" spans="1:12" s="129" customFormat="1" ht="15.95" customHeight="1">
      <c r="A90" s="8"/>
      <c r="B90" s="15"/>
      <c r="C90" s="24"/>
      <c r="D90" s="59" t="s">
        <v>14</v>
      </c>
      <c r="E90" s="147">
        <f>K90</f>
        <v>1013610.3120000003</v>
      </c>
      <c r="F90" s="107" t="e">
        <f>#REF!</f>
        <v>#REF!</v>
      </c>
      <c r="G90" s="64" t="e">
        <f>+E90*F90</f>
        <v>#REF!</v>
      </c>
      <c r="H90" s="142"/>
      <c r="I90" s="255">
        <f>I82*1950*5%</f>
        <v>921463.92000000016</v>
      </c>
      <c r="J90" s="262">
        <v>1.1000000000000001</v>
      </c>
      <c r="K90" s="255">
        <f>I90*J90</f>
        <v>1013610.3120000003</v>
      </c>
    </row>
    <row r="91" spans="1:12" s="129" customFormat="1" ht="15.95" customHeight="1">
      <c r="A91" s="45">
        <v>407</v>
      </c>
      <c r="B91" s="21"/>
      <c r="C91" s="27" t="s">
        <v>160</v>
      </c>
      <c r="D91" s="60"/>
      <c r="E91" s="79"/>
      <c r="F91" s="109"/>
      <c r="G91" s="67"/>
      <c r="H91" s="142"/>
      <c r="I91" s="255"/>
      <c r="J91" s="262"/>
      <c r="K91" s="255"/>
    </row>
    <row r="92" spans="1:12" s="129" customFormat="1" ht="15.95" customHeight="1">
      <c r="A92" s="45" t="s">
        <v>161</v>
      </c>
      <c r="B92" s="21"/>
      <c r="C92" s="12" t="s">
        <v>71</v>
      </c>
      <c r="D92" s="54" t="s">
        <v>94</v>
      </c>
      <c r="E92" s="138">
        <f>K92</f>
        <v>77260.415999999983</v>
      </c>
      <c r="F92" s="137" t="e">
        <f>#REF!</f>
        <v>#REF!</v>
      </c>
      <c r="G92" s="65" t="e">
        <f>+E92*F92</f>
        <v>#REF!</v>
      </c>
      <c r="H92" s="142"/>
      <c r="I92" s="255">
        <f>6.84*2*I11+11.84*I12+2*9.84*I13+7*20*9.84+7.42*G10*2+49*20*9.84</f>
        <v>64383.679999999993</v>
      </c>
      <c r="J92" s="262">
        <f>1.2</f>
        <v>1.2</v>
      </c>
      <c r="K92" s="255">
        <f>I92*J92</f>
        <v>77260.415999999983</v>
      </c>
    </row>
    <row r="93" spans="1:12" s="129" customFormat="1" ht="15.95" customHeight="1">
      <c r="A93" s="28" t="s">
        <v>173</v>
      </c>
      <c r="B93" s="15"/>
      <c r="C93" s="24" t="s">
        <v>72</v>
      </c>
      <c r="D93" s="53" t="s">
        <v>94</v>
      </c>
      <c r="E93" s="82">
        <f>K93</f>
        <v>16384.852000000003</v>
      </c>
      <c r="F93" s="137" t="e">
        <f>#REF!</f>
        <v>#REF!</v>
      </c>
      <c r="G93" s="65" t="e">
        <f>+E93*F93</f>
        <v>#REF!</v>
      </c>
      <c r="H93" s="142"/>
      <c r="I93" s="255">
        <f>(J11-2*6.84-2.6)*I11+(J12-11.84-0.9*2)*I12+(J13-9.84*2-1.6*2)*I13+2*2.5*(7+49)*20</f>
        <v>14895.32</v>
      </c>
      <c r="J93" s="262">
        <f>1.1</f>
        <v>1.1000000000000001</v>
      </c>
      <c r="K93" s="255">
        <f>I93*J93</f>
        <v>16384.852000000003</v>
      </c>
    </row>
    <row r="94" spans="1:12" s="129" customFormat="1" ht="15.95" customHeight="1">
      <c r="A94" s="41">
        <v>408</v>
      </c>
      <c r="B94" s="42"/>
      <c r="C94" s="223" t="s">
        <v>163</v>
      </c>
      <c r="D94" s="88"/>
      <c r="E94" s="285"/>
      <c r="F94" s="109"/>
      <c r="G94" s="63"/>
      <c r="H94" s="142"/>
      <c r="I94" s="255"/>
      <c r="J94" s="262"/>
      <c r="K94" s="255"/>
    </row>
    <row r="95" spans="1:12" s="129" customFormat="1" ht="15.95" customHeight="1">
      <c r="A95" s="45" t="s">
        <v>162</v>
      </c>
      <c r="B95" s="21"/>
      <c r="C95" s="123" t="s">
        <v>190</v>
      </c>
      <c r="D95" s="146" t="s">
        <v>1</v>
      </c>
      <c r="E95" s="155">
        <f>K95</f>
        <v>11299.2</v>
      </c>
      <c r="F95" s="108" t="e">
        <f>#REF!</f>
        <v>#REF!</v>
      </c>
      <c r="G95" s="65" t="e">
        <f>+E95*F95</f>
        <v>#REF!</v>
      </c>
      <c r="H95" s="142"/>
      <c r="I95" s="255">
        <f>4*I11+2*I12+2*I13+7*20*2+2*G10+2*20*49</f>
        <v>10272</v>
      </c>
      <c r="J95" s="262">
        <f>1.1</f>
        <v>1.1000000000000001</v>
      </c>
      <c r="K95" s="255">
        <f>I95*J95</f>
        <v>11299.2</v>
      </c>
    </row>
    <row r="96" spans="1:12" s="129" customFormat="1" ht="15.95" customHeight="1">
      <c r="A96" s="45" t="s">
        <v>174</v>
      </c>
      <c r="B96" s="21"/>
      <c r="C96" s="123" t="s">
        <v>191</v>
      </c>
      <c r="D96" s="146" t="s">
        <v>1</v>
      </c>
      <c r="E96" s="155">
        <f>K96</f>
        <v>550</v>
      </c>
      <c r="F96" s="108" t="e">
        <f>#REF!</f>
        <v>#REF!</v>
      </c>
      <c r="G96" s="65" t="e">
        <f>+E96*F96</f>
        <v>#REF!</v>
      </c>
      <c r="H96" s="142"/>
      <c r="I96" s="255">
        <f>500</f>
        <v>500</v>
      </c>
      <c r="J96" s="262">
        <f>1.1</f>
        <v>1.1000000000000001</v>
      </c>
      <c r="K96" s="255">
        <f>I96*J96</f>
        <v>550</v>
      </c>
    </row>
    <row r="97" spans="1:13" s="129" customFormat="1" ht="15.95" customHeight="1">
      <c r="A97" s="28" t="s">
        <v>233</v>
      </c>
      <c r="B97" s="15"/>
      <c r="C97" s="24" t="s">
        <v>234</v>
      </c>
      <c r="D97" s="286" t="s">
        <v>1</v>
      </c>
      <c r="E97" s="156">
        <f>K97</f>
        <v>11299.2</v>
      </c>
      <c r="F97" s="107" t="e">
        <f>#REF!</f>
        <v>#REF!</v>
      </c>
      <c r="G97" s="64" t="e">
        <f>+E97*F97</f>
        <v>#REF!</v>
      </c>
      <c r="H97" s="142"/>
      <c r="I97" s="256">
        <f>I95</f>
        <v>10272</v>
      </c>
      <c r="J97" s="262">
        <f>1.1</f>
        <v>1.1000000000000001</v>
      </c>
      <c r="K97" s="255">
        <f>I97*J97</f>
        <v>11299.2</v>
      </c>
    </row>
    <row r="98" spans="1:13" s="129" customFormat="1" ht="30" customHeight="1">
      <c r="A98" s="10"/>
      <c r="B98" s="21"/>
      <c r="C98" s="12"/>
      <c r="D98" s="95"/>
      <c r="E98" s="92"/>
      <c r="F98" s="93" t="s">
        <v>109</v>
      </c>
      <c r="G98" s="94" t="e">
        <f>SUM(G83:G97)</f>
        <v>#REF!</v>
      </c>
      <c r="H98" s="142"/>
      <c r="I98" s="255"/>
      <c r="J98" s="262"/>
      <c r="K98" s="255"/>
    </row>
    <row r="99" spans="1:13" s="129" customFormat="1" ht="15.95" customHeight="1">
      <c r="A99" s="10"/>
      <c r="B99" s="21"/>
      <c r="C99" s="12"/>
      <c r="D99" s="51"/>
      <c r="E99" s="76"/>
      <c r="F99" s="91"/>
      <c r="G99" s="91"/>
      <c r="H99" s="142"/>
      <c r="I99" s="255"/>
      <c r="J99" s="262"/>
      <c r="K99" s="255"/>
      <c r="M99" s="129">
        <f>5.9/2</f>
        <v>2.95</v>
      </c>
    </row>
    <row r="100" spans="1:13" s="129" customFormat="1" ht="26.25" customHeight="1">
      <c r="A100" s="1" t="s">
        <v>73</v>
      </c>
      <c r="B100" s="2"/>
      <c r="C100" s="3"/>
      <c r="D100" s="52" t="s">
        <v>98</v>
      </c>
      <c r="E100" s="86" t="s">
        <v>99</v>
      </c>
      <c r="F100" s="71" t="s">
        <v>100</v>
      </c>
      <c r="G100" s="71" t="s">
        <v>114</v>
      </c>
      <c r="H100" s="142"/>
      <c r="I100" s="255"/>
      <c r="J100" s="262"/>
      <c r="K100" s="255"/>
      <c r="M100" s="129">
        <f>2.95*2</f>
        <v>5.9</v>
      </c>
    </row>
    <row r="101" spans="1:13" s="129" customFormat="1" ht="15.95" customHeight="1">
      <c r="A101" s="220">
        <v>501</v>
      </c>
      <c r="B101" s="115"/>
      <c r="C101" s="216" t="s">
        <v>74</v>
      </c>
      <c r="D101" s="160"/>
      <c r="E101" s="213"/>
      <c r="F101" s="109"/>
      <c r="G101" s="68"/>
      <c r="H101" s="142"/>
      <c r="I101" s="255"/>
      <c r="J101" s="262"/>
      <c r="K101" s="255"/>
      <c r="M101" s="129">
        <v>6.1</v>
      </c>
    </row>
    <row r="102" spans="1:13" s="129" customFormat="1" ht="15.95" customHeight="1">
      <c r="A102" s="206"/>
      <c r="B102" s="192"/>
      <c r="C102" s="207"/>
      <c r="D102" s="191" t="s">
        <v>95</v>
      </c>
      <c r="E102" s="150">
        <f>K102</f>
        <v>40592.640000000007</v>
      </c>
      <c r="F102" s="107" t="e">
        <f>#REF!</f>
        <v>#REF!</v>
      </c>
      <c r="G102" s="64" t="e">
        <f>+E102*F102</f>
        <v>#REF!</v>
      </c>
      <c r="H102" s="142"/>
      <c r="I102" s="256">
        <f>(G3*2+2*G8+G9)*(0.6+0.2*2+0.1*2+0.4*2)*(0.6+0.1+0.2+0.2)+G4*(1.2+0.2*2+0.1*2+0.6*2)*(1+0.1+0.2+0.2)+G5*(1+1+0.2*3+0.1*2+0.6*2)*(1.1+0.1+0.2+0.2)+33*2*(1+0.2*2+0.4*2+0.1*2)*(1+0.1+0.2+0.2)*20+(1.5+0.3*2+0.6*2+0.1*2)*(1.5+0.3*2+0.1)*G6+(2*1.5+0.3*3+0.6*2+0.1*2)*(1.5+0.3*2+0.1)*G7</f>
        <v>36902.400000000001</v>
      </c>
      <c r="J102" s="262">
        <v>1.1000000000000001</v>
      </c>
      <c r="K102" s="255">
        <f>I102*J102</f>
        <v>40592.640000000007</v>
      </c>
      <c r="M102" s="129">
        <f>2*9</f>
        <v>18</v>
      </c>
    </row>
    <row r="103" spans="1:13" s="129" customFormat="1" ht="15.95" customHeight="1">
      <c r="A103" s="214">
        <v>502</v>
      </c>
      <c r="B103" s="215"/>
      <c r="C103" s="216" t="s">
        <v>75</v>
      </c>
      <c r="D103" s="221"/>
      <c r="E103" s="212"/>
      <c r="F103" s="109"/>
      <c r="G103" s="69"/>
      <c r="H103" s="142"/>
      <c r="I103" s="255"/>
      <c r="J103" s="262"/>
      <c r="K103" s="255"/>
      <c r="M103" s="129">
        <f>2*2</f>
        <v>4</v>
      </c>
    </row>
    <row r="104" spans="1:13" s="129" customFormat="1" ht="15.95" customHeight="1">
      <c r="A104" s="217"/>
      <c r="B104" s="218"/>
      <c r="C104" s="219"/>
      <c r="D104" s="191" t="s">
        <v>95</v>
      </c>
      <c r="E104" s="150">
        <f>K104</f>
        <v>15897.683999999999</v>
      </c>
      <c r="F104" s="107" t="e">
        <f>#REF!</f>
        <v>#REF!</v>
      </c>
      <c r="G104" s="64" t="e">
        <f>+E104*F104</f>
        <v>#REF!</v>
      </c>
      <c r="H104" s="142"/>
      <c r="I104" s="255">
        <f>0.5*(2*G3+2*G8+G9)*(0.6+0.1+0.2+0.2)*2+0.7*2*G4*(1+0.5)+0.7*2*G5*(1.1+0.5)+0.7*2*G6*(1.5+0.1+0.3+0.3)+0.5*2*(33*2*20*(1+0.5))</f>
        <v>14452.439999999999</v>
      </c>
      <c r="J104" s="262">
        <v>1.1000000000000001</v>
      </c>
      <c r="K104" s="255">
        <f>I104*J104</f>
        <v>15897.683999999999</v>
      </c>
      <c r="M104" s="129">
        <f>2*3</f>
        <v>6</v>
      </c>
    </row>
    <row r="105" spans="1:13" s="129" customFormat="1" ht="15.95" customHeight="1">
      <c r="A105" s="46" t="s">
        <v>12</v>
      </c>
      <c r="B105" s="5"/>
      <c r="C105" s="27" t="s">
        <v>101</v>
      </c>
      <c r="D105" s="160"/>
      <c r="E105" s="213"/>
      <c r="F105" s="109"/>
      <c r="G105" s="65"/>
      <c r="H105" s="142"/>
      <c r="I105" s="255"/>
      <c r="J105" s="262"/>
      <c r="K105" s="255"/>
    </row>
    <row r="106" spans="1:13" s="129" customFormat="1" ht="15.95" customHeight="1">
      <c r="A106" s="8"/>
      <c r="B106" s="15"/>
      <c r="C106" s="9"/>
      <c r="D106" s="191" t="s">
        <v>95</v>
      </c>
      <c r="E106" s="150">
        <v>50</v>
      </c>
      <c r="F106" s="107" t="e">
        <f>#REF!</f>
        <v>#REF!</v>
      </c>
      <c r="G106" s="64" t="e">
        <f>+E106*F106</f>
        <v>#REF!</v>
      </c>
      <c r="H106" s="142"/>
      <c r="I106" s="255"/>
      <c r="J106" s="262"/>
      <c r="K106" s="255"/>
    </row>
    <row r="107" spans="1:13" s="129" customFormat="1" ht="15.95" customHeight="1">
      <c r="A107" s="87" t="s">
        <v>13</v>
      </c>
      <c r="B107" s="42"/>
      <c r="C107" s="43" t="s">
        <v>77</v>
      </c>
      <c r="D107" s="88"/>
      <c r="E107" s="85"/>
      <c r="F107" s="109"/>
      <c r="G107" s="63"/>
      <c r="H107" s="142"/>
      <c r="I107" s="255"/>
      <c r="J107" s="262"/>
      <c r="K107" s="255"/>
    </row>
    <row r="108" spans="1:13" s="129" customFormat="1" ht="15.95" customHeight="1">
      <c r="A108" s="8"/>
      <c r="B108" s="15"/>
      <c r="C108" s="9"/>
      <c r="D108" s="55" t="s">
        <v>94</v>
      </c>
      <c r="E108" s="82">
        <v>350</v>
      </c>
      <c r="F108" s="107" t="e">
        <f>#REF!</f>
        <v>#REF!</v>
      </c>
      <c r="G108" s="64" t="e">
        <f>+E108*F108</f>
        <v>#REF!</v>
      </c>
      <c r="H108" s="142"/>
      <c r="I108" s="255"/>
      <c r="J108" s="262"/>
      <c r="K108" s="255">
        <f>6.2+2</f>
        <v>8.1999999999999993</v>
      </c>
      <c r="L108" s="129">
        <f>2</f>
        <v>2</v>
      </c>
    </row>
    <row r="109" spans="1:13" s="129" customFormat="1" ht="15.95" customHeight="1">
      <c r="A109" s="17">
        <v>505</v>
      </c>
      <c r="B109" s="5"/>
      <c r="C109" s="14" t="s">
        <v>76</v>
      </c>
      <c r="D109" s="56"/>
      <c r="E109" s="80"/>
      <c r="F109" s="109"/>
      <c r="G109" s="63"/>
      <c r="H109" s="142"/>
      <c r="I109" s="255"/>
      <c r="J109" s="262"/>
      <c r="K109" s="255"/>
      <c r="L109" s="129">
        <f>K108*L108/2</f>
        <v>8.1999999999999993</v>
      </c>
    </row>
    <row r="110" spans="1:13" s="129" customFormat="1" ht="15.95" customHeight="1">
      <c r="A110" s="17" t="s">
        <v>15</v>
      </c>
      <c r="B110" s="5"/>
      <c r="C110" s="37" t="s">
        <v>78</v>
      </c>
      <c r="D110" s="50" t="s">
        <v>14</v>
      </c>
      <c r="E110" s="83">
        <f>(E115)*110</f>
        <v>38500</v>
      </c>
      <c r="F110" s="108" t="e">
        <f>#REF!</f>
        <v>#REF!</v>
      </c>
      <c r="G110" s="65" t="e">
        <f>+E110*F110</f>
        <v>#REF!</v>
      </c>
      <c r="H110" s="142"/>
      <c r="I110" s="255"/>
      <c r="J110" s="262"/>
      <c r="K110" s="255"/>
    </row>
    <row r="111" spans="1:13" s="129" customFormat="1" ht="15.95" customHeight="1">
      <c r="A111" s="36" t="s">
        <v>16</v>
      </c>
      <c r="B111" s="30"/>
      <c r="C111" s="49" t="s">
        <v>79</v>
      </c>
      <c r="D111" s="53" t="s">
        <v>14</v>
      </c>
      <c r="E111" s="77">
        <v>0</v>
      </c>
      <c r="F111" s="108" t="e">
        <f>#REF!</f>
        <v>#REF!</v>
      </c>
      <c r="G111" s="64" t="e">
        <f>+E111*F111</f>
        <v>#REF!</v>
      </c>
      <c r="H111" s="142"/>
      <c r="I111" s="255"/>
      <c r="J111" s="262"/>
      <c r="K111" s="255"/>
    </row>
    <row r="112" spans="1:13" s="129" customFormat="1" ht="15.95" customHeight="1">
      <c r="A112" s="17">
        <v>506</v>
      </c>
      <c r="B112" s="5"/>
      <c r="C112" s="26" t="s">
        <v>80</v>
      </c>
      <c r="D112" s="56"/>
      <c r="E112" s="80"/>
      <c r="F112" s="109"/>
      <c r="G112" s="63"/>
      <c r="H112" s="142"/>
      <c r="I112" s="255"/>
      <c r="J112" s="262"/>
      <c r="K112" s="255"/>
    </row>
    <row r="113" spans="1:190" s="129" customFormat="1" ht="15.95" customHeight="1">
      <c r="A113" s="28"/>
      <c r="B113" s="15"/>
      <c r="C113" s="24"/>
      <c r="D113" s="53" t="s">
        <v>95</v>
      </c>
      <c r="E113" s="82">
        <v>110</v>
      </c>
      <c r="F113" s="98" t="e">
        <f>#REF!</f>
        <v>#REF!</v>
      </c>
      <c r="G113" s="64" t="e">
        <f>+E113*F113</f>
        <v>#REF!</v>
      </c>
      <c r="H113" s="142"/>
      <c r="I113" s="255"/>
      <c r="J113" s="262"/>
      <c r="K113" s="255"/>
    </row>
    <row r="114" spans="1:190" s="129" customFormat="1" ht="15.95" customHeight="1">
      <c r="A114" s="17">
        <v>507</v>
      </c>
      <c r="B114" s="5"/>
      <c r="C114" s="25" t="s">
        <v>81</v>
      </c>
      <c r="D114" s="56"/>
      <c r="E114" s="80"/>
      <c r="F114" s="109"/>
      <c r="G114" s="63"/>
      <c r="H114" s="142"/>
      <c r="I114" s="255"/>
      <c r="J114" s="262"/>
      <c r="K114" s="255"/>
    </row>
    <row r="115" spans="1:190" s="129" customFormat="1" ht="15.95" customHeight="1">
      <c r="A115" s="8"/>
      <c r="B115" s="15"/>
      <c r="C115" s="24"/>
      <c r="D115" s="53" t="s">
        <v>95</v>
      </c>
      <c r="E115" s="78">
        <v>350</v>
      </c>
      <c r="F115" s="107" t="e">
        <f>#REF!</f>
        <v>#REF!</v>
      </c>
      <c r="G115" s="64" t="e">
        <f>+E115*F115</f>
        <v>#REF!</v>
      </c>
      <c r="H115" s="142"/>
      <c r="I115" s="255"/>
      <c r="J115" s="262"/>
      <c r="K115" s="255"/>
      <c r="M115" s="129">
        <f>1116-500</f>
        <v>616</v>
      </c>
    </row>
    <row r="116" spans="1:190" s="129" customFormat="1" ht="15.95" customHeight="1">
      <c r="A116" s="41">
        <v>509</v>
      </c>
      <c r="B116" s="42"/>
      <c r="C116" s="43" t="s">
        <v>139</v>
      </c>
      <c r="D116" s="57"/>
      <c r="E116" s="84"/>
      <c r="F116" s="109"/>
      <c r="G116" s="63"/>
      <c r="H116" s="142"/>
      <c r="I116" s="255"/>
      <c r="J116" s="262"/>
      <c r="K116" s="255"/>
    </row>
    <row r="117" spans="1:190" s="129" customFormat="1" ht="15.95" customHeight="1">
      <c r="A117" s="17" t="s">
        <v>140</v>
      </c>
      <c r="B117" s="5"/>
      <c r="C117" s="39" t="s">
        <v>262</v>
      </c>
      <c r="D117" s="54" t="s">
        <v>94</v>
      </c>
      <c r="E117" s="83">
        <f>K117</f>
        <v>490.40000000000003</v>
      </c>
      <c r="F117" s="108" t="e">
        <f>#REF!</f>
        <v>#REF!</v>
      </c>
      <c r="G117" s="65" t="e">
        <f>+E117*F117</f>
        <v>#REF!</v>
      </c>
      <c r="H117" s="142"/>
      <c r="I117" s="255">
        <f>10%*K61</f>
        <v>490.40000000000003</v>
      </c>
      <c r="J117" s="262">
        <v>1</v>
      </c>
      <c r="K117" s="255">
        <f>I117*J117</f>
        <v>490.40000000000003</v>
      </c>
    </row>
    <row r="118" spans="1:190" s="129" customFormat="1" ht="15.95" customHeight="1">
      <c r="A118" s="17" t="s">
        <v>141</v>
      </c>
      <c r="B118" s="5"/>
      <c r="C118" s="39" t="s">
        <v>263</v>
      </c>
      <c r="D118" s="54" t="s">
        <v>94</v>
      </c>
      <c r="E118" s="83">
        <f>K118</f>
        <v>98.08</v>
      </c>
      <c r="F118" s="108" t="e">
        <f>#REF!</f>
        <v>#REF!</v>
      </c>
      <c r="G118" s="65" t="e">
        <f>+E118*F118</f>
        <v>#REF!</v>
      </c>
      <c r="H118" s="142"/>
      <c r="I118" s="255">
        <f>2%*I61</f>
        <v>98.08</v>
      </c>
      <c r="J118" s="262">
        <v>1</v>
      </c>
      <c r="K118" s="255">
        <f>I118*J118</f>
        <v>98.08</v>
      </c>
    </row>
    <row r="119" spans="1:190" s="129" customFormat="1" ht="15.95" customHeight="1">
      <c r="A119" s="22" t="s">
        <v>142</v>
      </c>
      <c r="B119" s="15"/>
      <c r="C119" s="49" t="s">
        <v>281</v>
      </c>
      <c r="D119" s="53" t="s">
        <v>94</v>
      </c>
      <c r="E119" s="155">
        <f>I119</f>
        <v>10</v>
      </c>
      <c r="F119" s="108" t="e">
        <f>#REF!</f>
        <v>#REF!</v>
      </c>
      <c r="G119" s="65" t="e">
        <f>+E119*F119</f>
        <v>#REF!</v>
      </c>
      <c r="H119" s="142"/>
      <c r="I119" s="255">
        <f>10</f>
        <v>10</v>
      </c>
      <c r="J119" s="262"/>
      <c r="K119" s="255"/>
    </row>
    <row r="120" spans="1:190" s="129" customFormat="1" ht="15.95" customHeight="1">
      <c r="A120" s="41">
        <v>510</v>
      </c>
      <c r="B120" s="42"/>
      <c r="C120" s="43" t="s">
        <v>82</v>
      </c>
      <c r="D120" s="57"/>
      <c r="E120" s="84"/>
      <c r="F120" s="109"/>
      <c r="G120" s="63"/>
      <c r="H120" s="142"/>
      <c r="I120" s="255"/>
      <c r="J120" s="262"/>
      <c r="K120" s="255"/>
    </row>
    <row r="121" spans="1:190" s="129" customFormat="1" ht="15.95" customHeight="1">
      <c r="A121" s="17" t="s">
        <v>83</v>
      </c>
      <c r="B121" s="5"/>
      <c r="C121" s="39" t="s">
        <v>88</v>
      </c>
      <c r="D121" s="58" t="s">
        <v>1</v>
      </c>
      <c r="E121" s="83">
        <v>0</v>
      </c>
      <c r="F121" s="108" t="e">
        <f>#REF!</f>
        <v>#REF!</v>
      </c>
      <c r="G121" s="65" t="e">
        <f>+E121*F121</f>
        <v>#REF!</v>
      </c>
      <c r="H121" s="142"/>
      <c r="I121" s="255"/>
      <c r="J121" s="262"/>
      <c r="K121" s="255"/>
    </row>
    <row r="122" spans="1:190" ht="15.95" customHeight="1">
      <c r="A122" s="17" t="s">
        <v>84</v>
      </c>
      <c r="B122" s="5"/>
      <c r="C122" s="39" t="s">
        <v>89</v>
      </c>
      <c r="D122" s="58" t="s">
        <v>1</v>
      </c>
      <c r="E122" s="83">
        <v>0</v>
      </c>
      <c r="F122" s="108" t="e">
        <f>#REF!</f>
        <v>#REF!</v>
      </c>
      <c r="G122" s="65" t="e">
        <f>+E122*F122</f>
        <v>#REF!</v>
      </c>
    </row>
    <row r="123" spans="1:190" ht="15.95" customHeight="1">
      <c r="A123" s="17" t="s">
        <v>85</v>
      </c>
      <c r="B123" s="5"/>
      <c r="C123" s="39" t="s">
        <v>90</v>
      </c>
      <c r="D123" s="58" t="s">
        <v>1</v>
      </c>
      <c r="E123" s="83">
        <v>0</v>
      </c>
      <c r="F123" s="108" t="e">
        <f>#REF!</f>
        <v>#REF!</v>
      </c>
      <c r="G123" s="65" t="e">
        <f>+E123*F123</f>
        <v>#REF!</v>
      </c>
    </row>
    <row r="124" spans="1:190" ht="15.95" customHeight="1">
      <c r="A124" s="17" t="s">
        <v>86</v>
      </c>
      <c r="B124" s="5"/>
      <c r="C124" s="39" t="s">
        <v>91</v>
      </c>
      <c r="D124" s="58" t="s">
        <v>1</v>
      </c>
      <c r="E124" s="83">
        <v>0</v>
      </c>
      <c r="F124" s="108" t="e">
        <f>#REF!</f>
        <v>#REF!</v>
      </c>
      <c r="G124" s="65" t="e">
        <f>+E124*F124</f>
        <v>#REF!</v>
      </c>
    </row>
    <row r="125" spans="1:190" ht="15.95" customHeight="1">
      <c r="A125" s="17" t="s">
        <v>87</v>
      </c>
      <c r="B125" s="5"/>
      <c r="C125" s="39" t="s">
        <v>92</v>
      </c>
      <c r="D125" s="124" t="s">
        <v>1</v>
      </c>
      <c r="E125" s="156">
        <v>0</v>
      </c>
      <c r="F125" s="108" t="e">
        <f>#REF!</f>
        <v>#REF!</v>
      </c>
      <c r="G125" s="64" t="e">
        <f>+E125*F125</f>
        <v>#REF!</v>
      </c>
      <c r="I125" s="255">
        <f>882-775</f>
        <v>107</v>
      </c>
      <c r="J125" s="262">
        <v>1.05</v>
      </c>
      <c r="K125" s="255">
        <f>I125*J125</f>
        <v>112.35000000000001</v>
      </c>
    </row>
    <row r="126" spans="1:190" s="225" customFormat="1" ht="15.95" customHeight="1">
      <c r="A126" s="141">
        <v>511</v>
      </c>
      <c r="B126" s="222"/>
      <c r="C126" s="223" t="s">
        <v>124</v>
      </c>
      <c r="D126" s="224"/>
      <c r="E126" s="200"/>
      <c r="F126" s="109"/>
      <c r="G126" s="63"/>
      <c r="I126" s="259"/>
      <c r="J126" s="265"/>
      <c r="K126" s="259"/>
      <c r="L126" s="226"/>
      <c r="M126" s="226"/>
      <c r="N126" s="226"/>
      <c r="O126" s="226"/>
      <c r="P126" s="226"/>
      <c r="Q126" s="226"/>
      <c r="R126" s="226"/>
      <c r="S126" s="226"/>
      <c r="T126" s="226"/>
      <c r="U126" s="226"/>
      <c r="V126" s="226"/>
      <c r="W126" s="226"/>
      <c r="X126" s="226"/>
      <c r="Y126" s="226"/>
      <c r="Z126" s="226"/>
      <c r="AA126" s="226"/>
      <c r="AB126" s="226"/>
      <c r="AC126" s="226"/>
      <c r="AD126" s="226"/>
      <c r="AE126" s="226"/>
      <c r="AF126" s="226"/>
      <c r="AG126" s="226"/>
      <c r="AH126" s="226"/>
      <c r="AI126" s="226"/>
      <c r="AJ126" s="226"/>
      <c r="AK126" s="226"/>
      <c r="AL126" s="226"/>
      <c r="AM126" s="226"/>
      <c r="AN126" s="226"/>
      <c r="AO126" s="226"/>
      <c r="AP126" s="226"/>
      <c r="AQ126" s="226"/>
      <c r="AR126" s="226"/>
      <c r="AS126" s="226"/>
      <c r="AT126" s="226"/>
      <c r="AU126" s="226"/>
      <c r="AV126" s="226"/>
      <c r="AW126" s="226"/>
      <c r="AX126" s="226"/>
      <c r="AY126" s="226"/>
      <c r="AZ126" s="226"/>
      <c r="BA126" s="226"/>
      <c r="BB126" s="226"/>
      <c r="BC126" s="226"/>
      <c r="BD126" s="226"/>
      <c r="BE126" s="226"/>
      <c r="BF126" s="226"/>
      <c r="BG126" s="226"/>
      <c r="BH126" s="226"/>
      <c r="BI126" s="226"/>
      <c r="BJ126" s="226"/>
      <c r="BK126" s="226"/>
      <c r="BL126" s="226"/>
      <c r="BM126" s="226"/>
      <c r="BN126" s="226"/>
      <c r="BO126" s="226"/>
      <c r="BP126" s="226"/>
      <c r="BQ126" s="226"/>
      <c r="BR126" s="226"/>
      <c r="BS126" s="226"/>
      <c r="BT126" s="226"/>
      <c r="BU126" s="226"/>
      <c r="BV126" s="226"/>
      <c r="BW126" s="226"/>
      <c r="BX126" s="226"/>
      <c r="BY126" s="226"/>
      <c r="BZ126" s="226"/>
      <c r="CA126" s="226"/>
      <c r="CB126" s="226"/>
      <c r="CC126" s="226"/>
      <c r="CD126" s="226"/>
      <c r="CE126" s="226"/>
      <c r="CF126" s="226"/>
      <c r="CG126" s="226"/>
      <c r="CH126" s="226"/>
      <c r="CI126" s="226"/>
      <c r="CJ126" s="226"/>
      <c r="CK126" s="226"/>
      <c r="CL126" s="226"/>
      <c r="CM126" s="226"/>
      <c r="CN126" s="226"/>
      <c r="CO126" s="226"/>
      <c r="CP126" s="226"/>
      <c r="CQ126" s="226"/>
      <c r="CR126" s="226"/>
      <c r="CS126" s="226"/>
      <c r="CT126" s="226"/>
      <c r="CU126" s="226"/>
      <c r="CV126" s="226"/>
      <c r="CW126" s="226"/>
      <c r="CX126" s="226"/>
      <c r="CY126" s="226"/>
      <c r="CZ126" s="226"/>
      <c r="DA126" s="226"/>
      <c r="DB126" s="226"/>
      <c r="DC126" s="226"/>
      <c r="DD126" s="226"/>
      <c r="DE126" s="226"/>
      <c r="DF126" s="226"/>
      <c r="DG126" s="226"/>
      <c r="DH126" s="226"/>
      <c r="DI126" s="226"/>
      <c r="DJ126" s="226"/>
      <c r="DK126" s="226"/>
      <c r="DL126" s="226"/>
      <c r="DM126" s="226"/>
      <c r="DN126" s="226"/>
      <c r="DO126" s="226"/>
      <c r="DP126" s="226"/>
      <c r="DQ126" s="226"/>
      <c r="DR126" s="226"/>
      <c r="DS126" s="226"/>
      <c r="DT126" s="226"/>
      <c r="DU126" s="226"/>
      <c r="DV126" s="226"/>
      <c r="DW126" s="226"/>
      <c r="DX126" s="226"/>
      <c r="DY126" s="226"/>
      <c r="DZ126" s="226"/>
      <c r="EA126" s="226"/>
      <c r="EB126" s="226"/>
      <c r="EC126" s="226"/>
      <c r="ED126" s="226"/>
      <c r="EE126" s="226"/>
      <c r="EF126" s="226"/>
      <c r="EG126" s="226"/>
      <c r="EH126" s="226"/>
      <c r="EI126" s="226"/>
      <c r="EJ126" s="226"/>
      <c r="EK126" s="226"/>
      <c r="EL126" s="226"/>
      <c r="EM126" s="226"/>
      <c r="EN126" s="226"/>
      <c r="EO126" s="226"/>
      <c r="EP126" s="226"/>
      <c r="EQ126" s="226"/>
      <c r="ER126" s="226"/>
      <c r="ES126" s="226"/>
      <c r="ET126" s="226"/>
      <c r="EU126" s="226"/>
      <c r="EV126" s="226"/>
      <c r="EW126" s="226"/>
      <c r="EX126" s="226"/>
      <c r="EY126" s="226"/>
      <c r="EZ126" s="226"/>
      <c r="FA126" s="226"/>
      <c r="FB126" s="226"/>
      <c r="FC126" s="226"/>
      <c r="FD126" s="226"/>
      <c r="FE126" s="226"/>
      <c r="FF126" s="226"/>
      <c r="FG126" s="226"/>
      <c r="FH126" s="226"/>
      <c r="FI126" s="226"/>
      <c r="FJ126" s="226"/>
      <c r="FK126" s="226"/>
      <c r="FL126" s="226"/>
      <c r="FM126" s="226"/>
      <c r="FN126" s="226"/>
      <c r="FO126" s="226"/>
      <c r="FP126" s="226"/>
      <c r="FQ126" s="226"/>
      <c r="FR126" s="226"/>
      <c r="FS126" s="226"/>
      <c r="FT126" s="226"/>
      <c r="FU126" s="226"/>
      <c r="FV126" s="226"/>
      <c r="FW126" s="226"/>
      <c r="FX126" s="226"/>
      <c r="FY126" s="226"/>
      <c r="FZ126" s="226"/>
      <c r="GA126" s="226"/>
      <c r="GB126" s="226"/>
      <c r="GC126" s="226"/>
      <c r="GD126" s="226"/>
      <c r="GE126" s="226"/>
      <c r="GF126" s="226"/>
      <c r="GG126" s="226"/>
      <c r="GH126" s="226"/>
    </row>
    <row r="127" spans="1:190" s="225" customFormat="1" ht="15.95" customHeight="1">
      <c r="A127" s="202" t="s">
        <v>93</v>
      </c>
      <c r="B127" s="202"/>
      <c r="C127" s="227" t="s">
        <v>211</v>
      </c>
      <c r="D127" s="228" t="s">
        <v>1</v>
      </c>
      <c r="E127" s="138">
        <f>K127</f>
        <v>6804</v>
      </c>
      <c r="F127" s="108" t="e">
        <f>#REF!</f>
        <v>#REF!</v>
      </c>
      <c r="G127" s="65" t="e">
        <f>+E127*F127</f>
        <v>#REF!</v>
      </c>
      <c r="I127" s="259">
        <f>2*G3+20*5*2+G8*2+G9</f>
        <v>6480</v>
      </c>
      <c r="J127" s="265">
        <v>1.05</v>
      </c>
      <c r="K127" s="259">
        <f>I127*J127</f>
        <v>6804</v>
      </c>
      <c r="L127" s="226"/>
      <c r="M127" s="226"/>
      <c r="N127" s="226"/>
      <c r="O127" s="226"/>
      <c r="P127" s="226"/>
      <c r="Q127" s="226"/>
      <c r="R127" s="226"/>
      <c r="S127" s="226"/>
      <c r="T127" s="226"/>
      <c r="U127" s="226"/>
      <c r="V127" s="226"/>
      <c r="W127" s="226"/>
      <c r="X127" s="226"/>
      <c r="Y127" s="226"/>
      <c r="Z127" s="226"/>
      <c r="AA127" s="226"/>
      <c r="AB127" s="226"/>
      <c r="AC127" s="226"/>
      <c r="AD127" s="226"/>
      <c r="AE127" s="226"/>
      <c r="AF127" s="226"/>
      <c r="AG127" s="226"/>
      <c r="AH127" s="226"/>
      <c r="AI127" s="226"/>
      <c r="AJ127" s="226"/>
      <c r="AK127" s="226"/>
      <c r="AL127" s="226"/>
      <c r="AM127" s="226"/>
      <c r="AN127" s="226"/>
      <c r="AO127" s="226"/>
      <c r="AP127" s="226"/>
      <c r="AQ127" s="226"/>
      <c r="AR127" s="226"/>
      <c r="AS127" s="226"/>
      <c r="AT127" s="226"/>
      <c r="AU127" s="226"/>
      <c r="AV127" s="226"/>
      <c r="AW127" s="226"/>
      <c r="AX127" s="226"/>
      <c r="AY127" s="226"/>
      <c r="AZ127" s="226"/>
      <c r="BA127" s="226"/>
      <c r="BB127" s="226"/>
      <c r="BC127" s="226"/>
      <c r="BD127" s="226"/>
      <c r="BE127" s="226"/>
      <c r="BF127" s="226"/>
      <c r="BG127" s="226"/>
      <c r="BH127" s="226"/>
      <c r="BI127" s="226"/>
      <c r="BJ127" s="226"/>
      <c r="BK127" s="226"/>
      <c r="BL127" s="226"/>
      <c r="BM127" s="226"/>
      <c r="BN127" s="226"/>
      <c r="BO127" s="226"/>
      <c r="BP127" s="226"/>
      <c r="BQ127" s="226"/>
      <c r="BR127" s="226"/>
      <c r="BS127" s="226"/>
      <c r="BT127" s="226"/>
      <c r="BU127" s="226"/>
      <c r="BV127" s="226"/>
      <c r="BW127" s="226"/>
      <c r="BX127" s="226"/>
      <c r="BY127" s="226"/>
      <c r="BZ127" s="226"/>
      <c r="CA127" s="226"/>
      <c r="CB127" s="226"/>
      <c r="CC127" s="226"/>
      <c r="CD127" s="226"/>
      <c r="CE127" s="226"/>
      <c r="CF127" s="226"/>
      <c r="CG127" s="226"/>
      <c r="CH127" s="226"/>
      <c r="CI127" s="226"/>
      <c r="CJ127" s="226"/>
      <c r="CK127" s="226"/>
      <c r="CL127" s="226"/>
      <c r="CM127" s="226"/>
      <c r="CN127" s="226"/>
      <c r="CO127" s="226"/>
      <c r="CP127" s="226"/>
      <c r="CQ127" s="226"/>
      <c r="CR127" s="226"/>
      <c r="CS127" s="226"/>
      <c r="CT127" s="226"/>
      <c r="CU127" s="226"/>
      <c r="CV127" s="226"/>
      <c r="CW127" s="226"/>
      <c r="CX127" s="226"/>
      <c r="CY127" s="226"/>
      <c r="CZ127" s="226"/>
      <c r="DA127" s="226"/>
      <c r="DB127" s="226"/>
      <c r="DC127" s="226"/>
      <c r="DD127" s="226"/>
      <c r="DE127" s="226"/>
      <c r="DF127" s="226"/>
      <c r="DG127" s="226"/>
      <c r="DH127" s="226"/>
      <c r="DI127" s="226"/>
      <c r="DJ127" s="226"/>
      <c r="DK127" s="226"/>
      <c r="DL127" s="226"/>
      <c r="DM127" s="226"/>
      <c r="DN127" s="226"/>
      <c r="DO127" s="226"/>
      <c r="DP127" s="226"/>
      <c r="DQ127" s="226"/>
      <c r="DR127" s="226"/>
      <c r="DS127" s="226"/>
      <c r="DT127" s="226"/>
      <c r="DU127" s="226"/>
      <c r="DV127" s="226"/>
      <c r="DW127" s="226"/>
      <c r="DX127" s="226"/>
      <c r="DY127" s="226"/>
      <c r="DZ127" s="226"/>
      <c r="EA127" s="226"/>
      <c r="EB127" s="226"/>
      <c r="EC127" s="226"/>
      <c r="ED127" s="226"/>
      <c r="EE127" s="226"/>
      <c r="EF127" s="226"/>
      <c r="EG127" s="226"/>
      <c r="EH127" s="226"/>
      <c r="EI127" s="226"/>
      <c r="EJ127" s="226"/>
      <c r="EK127" s="226"/>
      <c r="EL127" s="226"/>
      <c r="EM127" s="226"/>
      <c r="EN127" s="226"/>
      <c r="EO127" s="226"/>
      <c r="EP127" s="226"/>
      <c r="EQ127" s="226"/>
      <c r="ER127" s="226"/>
      <c r="ES127" s="226"/>
      <c r="ET127" s="226"/>
      <c r="EU127" s="226"/>
      <c r="EV127" s="226"/>
      <c r="EW127" s="226"/>
      <c r="EX127" s="226"/>
      <c r="EY127" s="226"/>
      <c r="EZ127" s="226"/>
      <c r="FA127" s="226"/>
      <c r="FB127" s="226"/>
      <c r="FC127" s="226"/>
      <c r="FD127" s="226"/>
      <c r="FE127" s="226"/>
      <c r="FF127" s="226"/>
      <c r="FG127" s="226"/>
      <c r="FH127" s="226"/>
      <c r="FI127" s="226"/>
      <c r="FJ127" s="226"/>
      <c r="FK127" s="226"/>
      <c r="FL127" s="226"/>
      <c r="FM127" s="226"/>
      <c r="FN127" s="226"/>
      <c r="FO127" s="226"/>
      <c r="FP127" s="226"/>
      <c r="FQ127" s="226"/>
      <c r="FR127" s="226"/>
      <c r="FS127" s="226"/>
      <c r="FT127" s="226"/>
      <c r="FU127" s="226"/>
      <c r="FV127" s="226"/>
      <c r="FW127" s="226"/>
      <c r="FX127" s="226"/>
      <c r="FY127" s="226"/>
      <c r="FZ127" s="226"/>
      <c r="GA127" s="226"/>
      <c r="GB127" s="226"/>
      <c r="GC127" s="226"/>
      <c r="GD127" s="226"/>
      <c r="GE127" s="226"/>
      <c r="GF127" s="226"/>
      <c r="GG127" s="226"/>
      <c r="GH127" s="226"/>
    </row>
    <row r="128" spans="1:190" s="225" customFormat="1" ht="15.95" customHeight="1">
      <c r="A128" s="202" t="s">
        <v>206</v>
      </c>
      <c r="B128" s="202"/>
      <c r="C128" s="227" t="s">
        <v>320</v>
      </c>
      <c r="D128" s="228" t="s">
        <v>1</v>
      </c>
      <c r="E128" s="138">
        <f>K128</f>
        <v>756</v>
      </c>
      <c r="F128" s="108" t="e">
        <f>#REF!</f>
        <v>#REF!</v>
      </c>
      <c r="G128" s="65" t="e">
        <f>+E128*F128</f>
        <v>#REF!</v>
      </c>
      <c r="I128" s="259">
        <f>18*20*2</f>
        <v>720</v>
      </c>
      <c r="J128" s="265">
        <v>1.05</v>
      </c>
      <c r="K128" s="259">
        <f>I128*J128</f>
        <v>756</v>
      </c>
      <c r="L128" s="226"/>
      <c r="M128" s="226"/>
      <c r="N128" s="226"/>
      <c r="O128" s="226"/>
      <c r="P128" s="226"/>
      <c r="Q128" s="226"/>
      <c r="R128" s="226"/>
      <c r="S128" s="226"/>
      <c r="T128" s="226"/>
      <c r="U128" s="226"/>
      <c r="V128" s="226"/>
      <c r="W128" s="226"/>
      <c r="X128" s="226"/>
      <c r="Y128" s="226"/>
      <c r="Z128" s="226"/>
      <c r="AA128" s="226"/>
      <c r="AB128" s="226"/>
      <c r="AC128" s="226"/>
      <c r="AD128" s="226"/>
      <c r="AE128" s="226"/>
      <c r="AF128" s="226"/>
      <c r="AG128" s="226"/>
      <c r="AH128" s="226"/>
      <c r="AI128" s="226"/>
      <c r="AJ128" s="226"/>
      <c r="AK128" s="226"/>
      <c r="AL128" s="226"/>
      <c r="AM128" s="226"/>
      <c r="AN128" s="226"/>
      <c r="AO128" s="226"/>
      <c r="AP128" s="226"/>
      <c r="AQ128" s="226"/>
      <c r="AR128" s="226"/>
      <c r="AS128" s="226"/>
      <c r="AT128" s="226"/>
      <c r="AU128" s="226"/>
      <c r="AV128" s="226"/>
      <c r="AW128" s="226"/>
      <c r="AX128" s="226"/>
      <c r="AY128" s="226"/>
      <c r="AZ128" s="226"/>
      <c r="BA128" s="226"/>
      <c r="BB128" s="226"/>
      <c r="BC128" s="226"/>
      <c r="BD128" s="226"/>
      <c r="BE128" s="226"/>
      <c r="BF128" s="226"/>
      <c r="BG128" s="226"/>
      <c r="BH128" s="226"/>
      <c r="BI128" s="226"/>
      <c r="BJ128" s="226"/>
      <c r="BK128" s="226"/>
      <c r="BL128" s="226"/>
      <c r="BM128" s="226"/>
      <c r="BN128" s="226"/>
      <c r="BO128" s="226"/>
      <c r="BP128" s="226"/>
      <c r="BQ128" s="226"/>
      <c r="BR128" s="226"/>
      <c r="BS128" s="226"/>
      <c r="BT128" s="226"/>
      <c r="BU128" s="226"/>
      <c r="BV128" s="226"/>
      <c r="BW128" s="226"/>
      <c r="BX128" s="226"/>
      <c r="BY128" s="226"/>
      <c r="BZ128" s="226"/>
      <c r="CA128" s="226"/>
      <c r="CB128" s="226"/>
      <c r="CC128" s="226"/>
      <c r="CD128" s="226"/>
      <c r="CE128" s="226"/>
      <c r="CF128" s="226"/>
      <c r="CG128" s="226"/>
      <c r="CH128" s="226"/>
      <c r="CI128" s="226"/>
      <c r="CJ128" s="226"/>
      <c r="CK128" s="226"/>
      <c r="CL128" s="226"/>
      <c r="CM128" s="226"/>
      <c r="CN128" s="226"/>
      <c r="CO128" s="226"/>
      <c r="CP128" s="226"/>
      <c r="CQ128" s="226"/>
      <c r="CR128" s="226"/>
      <c r="CS128" s="226"/>
      <c r="CT128" s="226"/>
      <c r="CU128" s="226"/>
      <c r="CV128" s="226"/>
      <c r="CW128" s="226"/>
      <c r="CX128" s="226"/>
      <c r="CY128" s="226"/>
      <c r="CZ128" s="226"/>
      <c r="DA128" s="226"/>
      <c r="DB128" s="226"/>
      <c r="DC128" s="226"/>
      <c r="DD128" s="226"/>
      <c r="DE128" s="226"/>
      <c r="DF128" s="226"/>
      <c r="DG128" s="226"/>
      <c r="DH128" s="226"/>
      <c r="DI128" s="226"/>
      <c r="DJ128" s="226"/>
      <c r="DK128" s="226"/>
      <c r="DL128" s="226"/>
      <c r="DM128" s="226"/>
      <c r="DN128" s="226"/>
      <c r="DO128" s="226"/>
      <c r="DP128" s="226"/>
      <c r="DQ128" s="226"/>
      <c r="DR128" s="226"/>
      <c r="DS128" s="226"/>
      <c r="DT128" s="226"/>
      <c r="DU128" s="226"/>
      <c r="DV128" s="226"/>
      <c r="DW128" s="226"/>
      <c r="DX128" s="226"/>
      <c r="DY128" s="226"/>
      <c r="DZ128" s="226"/>
      <c r="EA128" s="226"/>
      <c r="EB128" s="226"/>
      <c r="EC128" s="226"/>
      <c r="ED128" s="226"/>
      <c r="EE128" s="226"/>
      <c r="EF128" s="226"/>
      <c r="EG128" s="226"/>
      <c r="EH128" s="226"/>
      <c r="EI128" s="226"/>
      <c r="EJ128" s="226"/>
      <c r="EK128" s="226"/>
      <c r="EL128" s="226"/>
      <c r="EM128" s="226"/>
      <c r="EN128" s="226"/>
      <c r="EO128" s="226"/>
      <c r="EP128" s="226"/>
      <c r="EQ128" s="226"/>
      <c r="ER128" s="226"/>
      <c r="ES128" s="226"/>
      <c r="ET128" s="226"/>
      <c r="EU128" s="226"/>
      <c r="EV128" s="226"/>
      <c r="EW128" s="226"/>
      <c r="EX128" s="226"/>
      <c r="EY128" s="226"/>
      <c r="EZ128" s="226"/>
      <c r="FA128" s="226"/>
      <c r="FB128" s="226"/>
      <c r="FC128" s="226"/>
      <c r="FD128" s="226"/>
      <c r="FE128" s="226"/>
      <c r="FF128" s="226"/>
      <c r="FG128" s="226"/>
      <c r="FH128" s="226"/>
      <c r="FI128" s="226"/>
      <c r="FJ128" s="226"/>
      <c r="FK128" s="226"/>
      <c r="FL128" s="226"/>
      <c r="FM128" s="226"/>
      <c r="FN128" s="226"/>
      <c r="FO128" s="226"/>
      <c r="FP128" s="226"/>
      <c r="FQ128" s="226"/>
      <c r="FR128" s="226"/>
      <c r="FS128" s="226"/>
      <c r="FT128" s="226"/>
      <c r="FU128" s="226"/>
      <c r="FV128" s="226"/>
      <c r="FW128" s="226"/>
      <c r="FX128" s="226"/>
      <c r="FY128" s="226"/>
      <c r="FZ128" s="226"/>
      <c r="GA128" s="226"/>
      <c r="GB128" s="226"/>
      <c r="GC128" s="226"/>
      <c r="GD128" s="226"/>
      <c r="GE128" s="226"/>
      <c r="GF128" s="226"/>
      <c r="GG128" s="226"/>
      <c r="GH128" s="226"/>
    </row>
    <row r="129" spans="1:190" s="225" customFormat="1" ht="15.95" customHeight="1">
      <c r="A129" s="202" t="s">
        <v>206</v>
      </c>
      <c r="B129" s="202"/>
      <c r="C129" s="227" t="s">
        <v>317</v>
      </c>
      <c r="D129" s="228" t="s">
        <v>1</v>
      </c>
      <c r="E129" s="138">
        <f>K129</f>
        <v>420</v>
      </c>
      <c r="F129" s="108" t="e">
        <f>#REF!</f>
        <v>#REF!</v>
      </c>
      <c r="G129" s="65" t="e">
        <f>+E129*F129</f>
        <v>#REF!</v>
      </c>
      <c r="I129" s="259">
        <f>10*20*2</f>
        <v>400</v>
      </c>
      <c r="J129" s="265">
        <v>1.05</v>
      </c>
      <c r="K129" s="259">
        <f>I129*J129</f>
        <v>420</v>
      </c>
      <c r="L129" s="226"/>
      <c r="M129" s="226"/>
      <c r="N129" s="226"/>
      <c r="O129" s="226"/>
      <c r="P129" s="226"/>
      <c r="Q129" s="226"/>
      <c r="R129" s="226"/>
      <c r="S129" s="226"/>
      <c r="T129" s="226"/>
      <c r="U129" s="226"/>
      <c r="V129" s="226"/>
      <c r="W129" s="226"/>
      <c r="X129" s="226"/>
      <c r="Y129" s="226"/>
      <c r="Z129" s="226"/>
      <c r="AA129" s="226"/>
      <c r="AB129" s="226"/>
      <c r="AC129" s="226"/>
      <c r="AD129" s="226"/>
      <c r="AE129" s="226"/>
      <c r="AF129" s="226"/>
      <c r="AG129" s="226"/>
      <c r="AH129" s="226"/>
      <c r="AI129" s="226"/>
      <c r="AJ129" s="226"/>
      <c r="AK129" s="226"/>
      <c r="AL129" s="226"/>
      <c r="AM129" s="226"/>
      <c r="AN129" s="226"/>
      <c r="AO129" s="226"/>
      <c r="AP129" s="226"/>
      <c r="AQ129" s="226"/>
      <c r="AR129" s="226"/>
      <c r="AS129" s="226"/>
      <c r="AT129" s="226"/>
      <c r="AU129" s="226"/>
      <c r="AV129" s="226"/>
      <c r="AW129" s="226"/>
      <c r="AX129" s="226"/>
      <c r="AY129" s="226"/>
      <c r="AZ129" s="226"/>
      <c r="BA129" s="226"/>
      <c r="BB129" s="226"/>
      <c r="BC129" s="226"/>
      <c r="BD129" s="226"/>
      <c r="BE129" s="226"/>
      <c r="BF129" s="226"/>
      <c r="BG129" s="226"/>
      <c r="BH129" s="226"/>
      <c r="BI129" s="226"/>
      <c r="BJ129" s="226"/>
      <c r="BK129" s="226"/>
      <c r="BL129" s="226"/>
      <c r="BM129" s="226"/>
      <c r="BN129" s="226"/>
      <c r="BO129" s="226"/>
      <c r="BP129" s="226"/>
      <c r="BQ129" s="226"/>
      <c r="BR129" s="226"/>
      <c r="BS129" s="226"/>
      <c r="BT129" s="226"/>
      <c r="BU129" s="226"/>
      <c r="BV129" s="226"/>
      <c r="BW129" s="226"/>
      <c r="BX129" s="226"/>
      <c r="BY129" s="226"/>
      <c r="BZ129" s="226"/>
      <c r="CA129" s="226"/>
      <c r="CB129" s="226"/>
      <c r="CC129" s="226"/>
      <c r="CD129" s="226"/>
      <c r="CE129" s="226"/>
      <c r="CF129" s="226"/>
      <c r="CG129" s="226"/>
      <c r="CH129" s="226"/>
      <c r="CI129" s="226"/>
      <c r="CJ129" s="226"/>
      <c r="CK129" s="226"/>
      <c r="CL129" s="226"/>
      <c r="CM129" s="226"/>
      <c r="CN129" s="226"/>
      <c r="CO129" s="226"/>
      <c r="CP129" s="226"/>
      <c r="CQ129" s="226"/>
      <c r="CR129" s="226"/>
      <c r="CS129" s="226"/>
      <c r="CT129" s="226"/>
      <c r="CU129" s="226"/>
      <c r="CV129" s="226"/>
      <c r="CW129" s="226"/>
      <c r="CX129" s="226"/>
      <c r="CY129" s="226"/>
      <c r="CZ129" s="226"/>
      <c r="DA129" s="226"/>
      <c r="DB129" s="226"/>
      <c r="DC129" s="226"/>
      <c r="DD129" s="226"/>
      <c r="DE129" s="226"/>
      <c r="DF129" s="226"/>
      <c r="DG129" s="226"/>
      <c r="DH129" s="226"/>
      <c r="DI129" s="226"/>
      <c r="DJ129" s="226"/>
      <c r="DK129" s="226"/>
      <c r="DL129" s="226"/>
      <c r="DM129" s="226"/>
      <c r="DN129" s="226"/>
      <c r="DO129" s="226"/>
      <c r="DP129" s="226"/>
      <c r="DQ129" s="226"/>
      <c r="DR129" s="226"/>
      <c r="DS129" s="226"/>
      <c r="DT129" s="226"/>
      <c r="DU129" s="226"/>
      <c r="DV129" s="226"/>
      <c r="DW129" s="226"/>
      <c r="DX129" s="226"/>
      <c r="DY129" s="226"/>
      <c r="DZ129" s="226"/>
      <c r="EA129" s="226"/>
      <c r="EB129" s="226"/>
      <c r="EC129" s="226"/>
      <c r="ED129" s="226"/>
      <c r="EE129" s="226"/>
      <c r="EF129" s="226"/>
      <c r="EG129" s="226"/>
      <c r="EH129" s="226"/>
      <c r="EI129" s="226"/>
      <c r="EJ129" s="226"/>
      <c r="EK129" s="226"/>
      <c r="EL129" s="226"/>
      <c r="EM129" s="226"/>
      <c r="EN129" s="226"/>
      <c r="EO129" s="226"/>
      <c r="EP129" s="226"/>
      <c r="EQ129" s="226"/>
      <c r="ER129" s="226"/>
      <c r="ES129" s="226"/>
      <c r="ET129" s="226"/>
      <c r="EU129" s="226"/>
      <c r="EV129" s="226"/>
      <c r="EW129" s="226"/>
      <c r="EX129" s="226"/>
      <c r="EY129" s="226"/>
      <c r="EZ129" s="226"/>
      <c r="FA129" s="226"/>
      <c r="FB129" s="226"/>
      <c r="FC129" s="226"/>
      <c r="FD129" s="226"/>
      <c r="FE129" s="226"/>
      <c r="FF129" s="226"/>
      <c r="FG129" s="226"/>
      <c r="FH129" s="226"/>
      <c r="FI129" s="226"/>
      <c r="FJ129" s="226"/>
      <c r="FK129" s="226"/>
      <c r="FL129" s="226"/>
      <c r="FM129" s="226"/>
      <c r="FN129" s="226"/>
      <c r="FO129" s="226"/>
      <c r="FP129" s="226"/>
      <c r="FQ129" s="226"/>
      <c r="FR129" s="226"/>
      <c r="FS129" s="226"/>
      <c r="FT129" s="226"/>
      <c r="FU129" s="226"/>
      <c r="FV129" s="226"/>
      <c r="FW129" s="226"/>
      <c r="FX129" s="226"/>
      <c r="FY129" s="226"/>
      <c r="FZ129" s="226"/>
      <c r="GA129" s="226"/>
      <c r="GB129" s="226"/>
      <c r="GC129" s="226"/>
      <c r="GD129" s="226"/>
      <c r="GE129" s="226"/>
      <c r="GF129" s="226"/>
      <c r="GG129" s="226"/>
      <c r="GH129" s="226"/>
    </row>
    <row r="130" spans="1:190" s="225" customFormat="1" ht="15.95" customHeight="1">
      <c r="A130" s="202" t="s">
        <v>206</v>
      </c>
      <c r="B130" s="202"/>
      <c r="C130" s="227" t="s">
        <v>321</v>
      </c>
      <c r="D130" s="228" t="s">
        <v>1</v>
      </c>
      <c r="E130" s="138">
        <f>K130</f>
        <v>1066.8</v>
      </c>
      <c r="F130" s="140" t="e">
        <f>#REF!</f>
        <v>#REF!</v>
      </c>
      <c r="G130" s="65" t="e">
        <f>+E130*F130</f>
        <v>#REF!</v>
      </c>
      <c r="I130" s="259">
        <f>G4</f>
        <v>1016</v>
      </c>
      <c r="J130" s="265">
        <v>1.05</v>
      </c>
      <c r="K130" s="259">
        <f>I130*J130</f>
        <v>1066.8</v>
      </c>
      <c r="L130" s="226"/>
      <c r="M130" s="226"/>
      <c r="N130" s="226"/>
      <c r="O130" s="226"/>
      <c r="P130" s="226"/>
      <c r="Q130" s="226"/>
      <c r="R130" s="226"/>
      <c r="S130" s="226"/>
      <c r="T130" s="226"/>
      <c r="U130" s="226"/>
      <c r="V130" s="226"/>
      <c r="W130" s="226"/>
      <c r="X130" s="226"/>
      <c r="Y130" s="226"/>
      <c r="Z130" s="226"/>
      <c r="AA130" s="226"/>
      <c r="AB130" s="226"/>
      <c r="AC130" s="226"/>
      <c r="AD130" s="226"/>
      <c r="AE130" s="226"/>
      <c r="AF130" s="226"/>
      <c r="AG130" s="226"/>
      <c r="AH130" s="226"/>
      <c r="AI130" s="226"/>
      <c r="AJ130" s="226"/>
      <c r="AK130" s="226"/>
      <c r="AL130" s="226"/>
      <c r="AM130" s="226"/>
      <c r="AN130" s="226"/>
      <c r="AO130" s="226"/>
      <c r="AP130" s="226"/>
      <c r="AQ130" s="226"/>
      <c r="AR130" s="226"/>
      <c r="AS130" s="226"/>
      <c r="AT130" s="226"/>
      <c r="AU130" s="226"/>
      <c r="AV130" s="226"/>
      <c r="AW130" s="226"/>
      <c r="AX130" s="226"/>
      <c r="AY130" s="226"/>
      <c r="AZ130" s="226"/>
      <c r="BA130" s="226"/>
      <c r="BB130" s="226"/>
      <c r="BC130" s="226"/>
      <c r="BD130" s="226"/>
      <c r="BE130" s="226"/>
      <c r="BF130" s="226"/>
      <c r="BG130" s="226"/>
      <c r="BH130" s="226"/>
      <c r="BI130" s="226"/>
      <c r="BJ130" s="226"/>
      <c r="BK130" s="226"/>
      <c r="BL130" s="226"/>
      <c r="BM130" s="226"/>
      <c r="BN130" s="226"/>
      <c r="BO130" s="226"/>
      <c r="BP130" s="226"/>
      <c r="BQ130" s="226"/>
      <c r="BR130" s="226"/>
      <c r="BS130" s="226"/>
      <c r="BT130" s="226"/>
      <c r="BU130" s="226"/>
      <c r="BV130" s="226"/>
      <c r="BW130" s="226"/>
      <c r="BX130" s="226"/>
      <c r="BY130" s="226"/>
      <c r="BZ130" s="226"/>
      <c r="CA130" s="226"/>
      <c r="CB130" s="226"/>
      <c r="CC130" s="226"/>
      <c r="CD130" s="226"/>
      <c r="CE130" s="226"/>
      <c r="CF130" s="226"/>
      <c r="CG130" s="226"/>
      <c r="CH130" s="226"/>
      <c r="CI130" s="226"/>
      <c r="CJ130" s="226"/>
      <c r="CK130" s="226"/>
      <c r="CL130" s="226"/>
      <c r="CM130" s="226"/>
      <c r="CN130" s="226"/>
      <c r="CO130" s="226"/>
      <c r="CP130" s="226"/>
      <c r="CQ130" s="226"/>
      <c r="CR130" s="226"/>
      <c r="CS130" s="226"/>
      <c r="CT130" s="226"/>
      <c r="CU130" s="226"/>
      <c r="CV130" s="226"/>
      <c r="CW130" s="226"/>
      <c r="CX130" s="226"/>
      <c r="CY130" s="226"/>
      <c r="CZ130" s="226"/>
      <c r="DA130" s="226"/>
      <c r="DB130" s="226"/>
      <c r="DC130" s="226"/>
      <c r="DD130" s="226"/>
      <c r="DE130" s="226"/>
      <c r="DF130" s="226"/>
      <c r="DG130" s="226"/>
      <c r="DH130" s="226"/>
      <c r="DI130" s="226"/>
      <c r="DJ130" s="226"/>
      <c r="DK130" s="226"/>
      <c r="DL130" s="226"/>
      <c r="DM130" s="226"/>
      <c r="DN130" s="226"/>
      <c r="DO130" s="226"/>
      <c r="DP130" s="226"/>
      <c r="DQ130" s="226"/>
      <c r="DR130" s="226"/>
      <c r="DS130" s="226"/>
      <c r="DT130" s="226"/>
      <c r="DU130" s="226"/>
      <c r="DV130" s="226"/>
      <c r="DW130" s="226"/>
      <c r="DX130" s="226"/>
      <c r="DY130" s="226"/>
      <c r="DZ130" s="226"/>
      <c r="EA130" s="226"/>
      <c r="EB130" s="226"/>
      <c r="EC130" s="226"/>
      <c r="ED130" s="226"/>
      <c r="EE130" s="226"/>
      <c r="EF130" s="226"/>
      <c r="EG130" s="226"/>
      <c r="EH130" s="226"/>
      <c r="EI130" s="226"/>
      <c r="EJ130" s="226"/>
      <c r="EK130" s="226"/>
      <c r="EL130" s="226"/>
      <c r="EM130" s="226"/>
      <c r="EN130" s="226"/>
      <c r="EO130" s="226"/>
      <c r="EP130" s="226"/>
      <c r="EQ130" s="226"/>
      <c r="ER130" s="226"/>
      <c r="ES130" s="226"/>
      <c r="ET130" s="226"/>
      <c r="EU130" s="226"/>
      <c r="EV130" s="226"/>
      <c r="EW130" s="226"/>
      <c r="EX130" s="226"/>
      <c r="EY130" s="226"/>
      <c r="EZ130" s="226"/>
      <c r="FA130" s="226"/>
      <c r="FB130" s="226"/>
      <c r="FC130" s="226"/>
      <c r="FD130" s="226"/>
      <c r="FE130" s="226"/>
      <c r="FF130" s="226"/>
      <c r="FG130" s="226"/>
      <c r="FH130" s="226"/>
      <c r="FI130" s="226"/>
      <c r="FJ130" s="226"/>
      <c r="FK130" s="226"/>
      <c r="FL130" s="226"/>
      <c r="FM130" s="226"/>
      <c r="FN130" s="226"/>
      <c r="FO130" s="226"/>
      <c r="FP130" s="226"/>
      <c r="FQ130" s="226"/>
      <c r="FR130" s="226"/>
      <c r="FS130" s="226"/>
      <c r="FT130" s="226"/>
      <c r="FU130" s="226"/>
      <c r="FV130" s="226"/>
      <c r="FW130" s="226"/>
      <c r="FX130" s="226"/>
      <c r="FY130" s="226"/>
      <c r="FZ130" s="226"/>
      <c r="GA130" s="226"/>
      <c r="GB130" s="226"/>
      <c r="GC130" s="226"/>
      <c r="GD130" s="226"/>
      <c r="GE130" s="226"/>
      <c r="GF130" s="226"/>
      <c r="GG130" s="226"/>
      <c r="GH130" s="226"/>
    </row>
    <row r="131" spans="1:190" s="225" customFormat="1" ht="15.95" customHeight="1">
      <c r="A131" s="126" t="s">
        <v>290</v>
      </c>
      <c r="B131" s="202"/>
      <c r="C131" s="227" t="s">
        <v>322</v>
      </c>
      <c r="D131" s="228" t="s">
        <v>1</v>
      </c>
      <c r="E131" s="138">
        <f>K131</f>
        <v>1066.8</v>
      </c>
      <c r="F131" s="140" t="e">
        <f>+#REF!</f>
        <v>#REF!</v>
      </c>
      <c r="G131" s="65" t="e">
        <f>+E131*F131</f>
        <v>#REF!</v>
      </c>
      <c r="I131" s="259">
        <f>G5</f>
        <v>1016</v>
      </c>
      <c r="J131" s="265">
        <v>1.05</v>
      </c>
      <c r="K131" s="259">
        <f>I131*J131</f>
        <v>1066.8</v>
      </c>
      <c r="L131" s="226"/>
      <c r="M131" s="226"/>
      <c r="N131" s="226"/>
      <c r="O131" s="226"/>
      <c r="P131" s="226"/>
      <c r="Q131" s="226"/>
      <c r="R131" s="226"/>
      <c r="S131" s="226"/>
      <c r="T131" s="226"/>
      <c r="U131" s="226"/>
      <c r="V131" s="226"/>
      <c r="W131" s="226"/>
      <c r="X131" s="226"/>
      <c r="Y131" s="226"/>
      <c r="Z131" s="226"/>
      <c r="AA131" s="226"/>
      <c r="AB131" s="226"/>
      <c r="AC131" s="226"/>
      <c r="AD131" s="226"/>
      <c r="AE131" s="226"/>
      <c r="AF131" s="226"/>
      <c r="AG131" s="226"/>
      <c r="AH131" s="226"/>
      <c r="AI131" s="226"/>
      <c r="AJ131" s="226"/>
      <c r="AK131" s="226"/>
      <c r="AL131" s="226"/>
      <c r="AM131" s="226"/>
      <c r="AN131" s="226"/>
      <c r="AO131" s="226"/>
      <c r="AP131" s="226"/>
      <c r="AQ131" s="226"/>
      <c r="AR131" s="226"/>
      <c r="AS131" s="226"/>
      <c r="AT131" s="226"/>
      <c r="AU131" s="226"/>
      <c r="AV131" s="226"/>
      <c r="AW131" s="226"/>
      <c r="AX131" s="226"/>
      <c r="AY131" s="226"/>
      <c r="AZ131" s="226"/>
      <c r="BA131" s="226"/>
      <c r="BB131" s="226"/>
      <c r="BC131" s="226"/>
      <c r="BD131" s="226"/>
      <c r="BE131" s="226"/>
      <c r="BF131" s="226"/>
      <c r="BG131" s="226"/>
      <c r="BH131" s="226"/>
      <c r="BI131" s="226"/>
      <c r="BJ131" s="226"/>
      <c r="BK131" s="226"/>
      <c r="BL131" s="226"/>
      <c r="BM131" s="226"/>
      <c r="BN131" s="226"/>
      <c r="BO131" s="226"/>
      <c r="BP131" s="226"/>
      <c r="BQ131" s="226"/>
      <c r="BR131" s="226"/>
      <c r="BS131" s="226"/>
      <c r="BT131" s="226"/>
      <c r="BU131" s="226"/>
      <c r="BV131" s="226"/>
      <c r="BW131" s="226"/>
      <c r="BX131" s="226"/>
      <c r="BY131" s="226"/>
      <c r="BZ131" s="226"/>
      <c r="CA131" s="226"/>
      <c r="CB131" s="226"/>
      <c r="CC131" s="226"/>
      <c r="CD131" s="226"/>
      <c r="CE131" s="226"/>
      <c r="CF131" s="226"/>
      <c r="CG131" s="226"/>
      <c r="CH131" s="226"/>
      <c r="CI131" s="226"/>
      <c r="CJ131" s="226"/>
      <c r="CK131" s="226"/>
      <c r="CL131" s="226"/>
      <c r="CM131" s="226"/>
      <c r="CN131" s="226"/>
      <c r="CO131" s="226"/>
      <c r="CP131" s="226"/>
      <c r="CQ131" s="226"/>
      <c r="CR131" s="226"/>
      <c r="CS131" s="226"/>
      <c r="CT131" s="226"/>
      <c r="CU131" s="226"/>
      <c r="CV131" s="226"/>
      <c r="CW131" s="226"/>
      <c r="CX131" s="226"/>
      <c r="CY131" s="226"/>
      <c r="CZ131" s="226"/>
      <c r="DA131" s="226"/>
      <c r="DB131" s="226"/>
      <c r="DC131" s="226"/>
      <c r="DD131" s="226"/>
      <c r="DE131" s="226"/>
      <c r="DF131" s="226"/>
      <c r="DG131" s="226"/>
      <c r="DH131" s="226"/>
      <c r="DI131" s="226"/>
      <c r="DJ131" s="226"/>
      <c r="DK131" s="226"/>
      <c r="DL131" s="226"/>
      <c r="DM131" s="226"/>
      <c r="DN131" s="226"/>
      <c r="DO131" s="226"/>
      <c r="DP131" s="226"/>
      <c r="DQ131" s="226"/>
      <c r="DR131" s="226"/>
      <c r="DS131" s="226"/>
      <c r="DT131" s="226"/>
      <c r="DU131" s="226"/>
      <c r="DV131" s="226"/>
      <c r="DW131" s="226"/>
      <c r="DX131" s="226"/>
      <c r="DY131" s="226"/>
      <c r="DZ131" s="226"/>
      <c r="EA131" s="226"/>
      <c r="EB131" s="226"/>
      <c r="EC131" s="226"/>
      <c r="ED131" s="226"/>
      <c r="EE131" s="226"/>
      <c r="EF131" s="226"/>
      <c r="EG131" s="226"/>
      <c r="EH131" s="226"/>
      <c r="EI131" s="226"/>
      <c r="EJ131" s="226"/>
      <c r="EK131" s="226"/>
      <c r="EL131" s="226"/>
      <c r="EM131" s="226"/>
      <c r="EN131" s="226"/>
      <c r="EO131" s="226"/>
      <c r="EP131" s="226"/>
      <c r="EQ131" s="226"/>
      <c r="ER131" s="226"/>
      <c r="ES131" s="226"/>
      <c r="ET131" s="226"/>
      <c r="EU131" s="226"/>
      <c r="EV131" s="226"/>
      <c r="EW131" s="226"/>
      <c r="EX131" s="226"/>
      <c r="EY131" s="226"/>
      <c r="EZ131" s="226"/>
      <c r="FA131" s="226"/>
      <c r="FB131" s="226"/>
      <c r="FC131" s="226"/>
      <c r="FD131" s="226"/>
      <c r="FE131" s="226"/>
      <c r="FF131" s="226"/>
      <c r="FG131" s="226"/>
      <c r="FH131" s="226"/>
      <c r="FI131" s="226"/>
      <c r="FJ131" s="226"/>
      <c r="FK131" s="226"/>
      <c r="FL131" s="226"/>
      <c r="FM131" s="226"/>
      <c r="FN131" s="226"/>
      <c r="FO131" s="226"/>
      <c r="FP131" s="226"/>
      <c r="FQ131" s="226"/>
      <c r="FR131" s="226"/>
      <c r="FS131" s="226"/>
      <c r="FT131" s="226"/>
      <c r="FU131" s="226"/>
      <c r="FV131" s="226"/>
      <c r="FW131" s="226"/>
      <c r="FX131" s="226"/>
      <c r="FY131" s="226"/>
      <c r="FZ131" s="226"/>
      <c r="GA131" s="226"/>
      <c r="GB131" s="226"/>
      <c r="GC131" s="226"/>
      <c r="GD131" s="226"/>
      <c r="GE131" s="226"/>
      <c r="GF131" s="226"/>
      <c r="GG131" s="226"/>
      <c r="GH131" s="226"/>
    </row>
    <row r="132" spans="1:190" s="225" customFormat="1" ht="15.95" customHeight="1">
      <c r="A132" s="17"/>
      <c r="B132" s="229"/>
      <c r="C132" s="227"/>
      <c r="D132" s="228"/>
      <c r="E132" s="138"/>
      <c r="F132" s="140"/>
      <c r="G132" s="65"/>
      <c r="I132" s="259"/>
      <c r="J132" s="265">
        <v>1.05</v>
      </c>
      <c r="K132" s="259"/>
      <c r="L132" s="226"/>
      <c r="M132" s="226"/>
      <c r="N132" s="226"/>
      <c r="O132" s="226"/>
      <c r="P132" s="226"/>
      <c r="Q132" s="226"/>
      <c r="R132" s="226"/>
      <c r="S132" s="226"/>
      <c r="T132" s="226"/>
      <c r="U132" s="226"/>
      <c r="V132" s="226"/>
      <c r="W132" s="226"/>
      <c r="X132" s="226"/>
      <c r="Y132" s="226"/>
      <c r="Z132" s="226"/>
      <c r="AA132" s="226"/>
      <c r="AB132" s="226"/>
      <c r="AC132" s="226"/>
      <c r="AD132" s="226"/>
      <c r="AE132" s="226"/>
      <c r="AF132" s="226"/>
      <c r="AG132" s="226"/>
      <c r="AH132" s="226"/>
      <c r="AI132" s="226"/>
      <c r="AJ132" s="226"/>
      <c r="AK132" s="226"/>
      <c r="AL132" s="226"/>
      <c r="AM132" s="226"/>
      <c r="AN132" s="226"/>
      <c r="AO132" s="226"/>
      <c r="AP132" s="226"/>
      <c r="AQ132" s="226"/>
      <c r="AR132" s="226"/>
      <c r="AS132" s="226"/>
      <c r="AT132" s="226"/>
      <c r="AU132" s="226"/>
      <c r="AV132" s="226"/>
      <c r="AW132" s="226"/>
      <c r="AX132" s="226"/>
      <c r="AY132" s="226"/>
      <c r="AZ132" s="226"/>
      <c r="BA132" s="226"/>
      <c r="BB132" s="226"/>
      <c r="BC132" s="226"/>
      <c r="BD132" s="226"/>
      <c r="BE132" s="226"/>
      <c r="BF132" s="226"/>
      <c r="BG132" s="226"/>
      <c r="BH132" s="226"/>
      <c r="BI132" s="226"/>
      <c r="BJ132" s="226"/>
      <c r="BK132" s="226"/>
      <c r="BL132" s="226"/>
      <c r="BM132" s="226"/>
      <c r="BN132" s="226"/>
      <c r="BO132" s="226"/>
      <c r="BP132" s="226"/>
      <c r="BQ132" s="226"/>
      <c r="BR132" s="226"/>
      <c r="BS132" s="226"/>
      <c r="BT132" s="226"/>
      <c r="BU132" s="226"/>
      <c r="BV132" s="226"/>
      <c r="BW132" s="226"/>
      <c r="BX132" s="226"/>
      <c r="BY132" s="226"/>
      <c r="BZ132" s="226"/>
      <c r="CA132" s="226"/>
      <c r="CB132" s="226"/>
      <c r="CC132" s="226"/>
      <c r="CD132" s="226"/>
      <c r="CE132" s="226"/>
      <c r="CF132" s="226"/>
      <c r="CG132" s="226"/>
      <c r="CH132" s="226"/>
      <c r="CI132" s="226"/>
      <c r="CJ132" s="226"/>
      <c r="CK132" s="226"/>
      <c r="CL132" s="226"/>
      <c r="CM132" s="226"/>
      <c r="CN132" s="226"/>
      <c r="CO132" s="226"/>
      <c r="CP132" s="226"/>
      <c r="CQ132" s="226"/>
      <c r="CR132" s="226"/>
      <c r="CS132" s="226"/>
      <c r="CT132" s="226"/>
      <c r="CU132" s="226"/>
      <c r="CV132" s="226"/>
      <c r="CW132" s="226"/>
      <c r="CX132" s="226"/>
      <c r="CY132" s="226"/>
      <c r="CZ132" s="226"/>
      <c r="DA132" s="226"/>
      <c r="DB132" s="226"/>
      <c r="DC132" s="226"/>
      <c r="DD132" s="226"/>
      <c r="DE132" s="226"/>
      <c r="DF132" s="226"/>
      <c r="DG132" s="226"/>
      <c r="DH132" s="226"/>
      <c r="DI132" s="226"/>
      <c r="DJ132" s="226"/>
      <c r="DK132" s="226"/>
      <c r="DL132" s="226"/>
      <c r="DM132" s="226"/>
      <c r="DN132" s="226"/>
      <c r="DO132" s="226"/>
      <c r="DP132" s="226"/>
      <c r="DQ132" s="226"/>
      <c r="DR132" s="226"/>
      <c r="DS132" s="226"/>
      <c r="DT132" s="226"/>
      <c r="DU132" s="226"/>
      <c r="DV132" s="226"/>
      <c r="DW132" s="226"/>
      <c r="DX132" s="226"/>
      <c r="DY132" s="226"/>
      <c r="DZ132" s="226"/>
      <c r="EA132" s="226"/>
      <c r="EB132" s="226"/>
      <c r="EC132" s="226"/>
      <c r="ED132" s="226"/>
      <c r="EE132" s="226"/>
      <c r="EF132" s="226"/>
      <c r="EG132" s="226"/>
      <c r="EH132" s="226"/>
      <c r="EI132" s="226"/>
      <c r="EJ132" s="226"/>
      <c r="EK132" s="226"/>
      <c r="EL132" s="226"/>
      <c r="EM132" s="226"/>
      <c r="EN132" s="226"/>
      <c r="EO132" s="226"/>
      <c r="EP132" s="226"/>
      <c r="EQ132" s="226"/>
      <c r="ER132" s="226"/>
      <c r="ES132" s="226"/>
      <c r="ET132" s="226"/>
      <c r="EU132" s="226"/>
      <c r="EV132" s="226"/>
      <c r="EW132" s="226"/>
      <c r="EX132" s="226"/>
      <c r="EY132" s="226"/>
      <c r="EZ132" s="226"/>
      <c r="FA132" s="226"/>
      <c r="FB132" s="226"/>
      <c r="FC132" s="226"/>
      <c r="FD132" s="226"/>
      <c r="FE132" s="226"/>
      <c r="FF132" s="226"/>
      <c r="FG132" s="226"/>
      <c r="FH132" s="226"/>
      <c r="FI132" s="226"/>
      <c r="FJ132" s="226"/>
      <c r="FK132" s="226"/>
      <c r="FL132" s="226"/>
      <c r="FM132" s="226"/>
      <c r="FN132" s="226"/>
      <c r="FO132" s="226"/>
      <c r="FP132" s="226"/>
      <c r="FQ132" s="226"/>
      <c r="FR132" s="226"/>
      <c r="FS132" s="226"/>
      <c r="FT132" s="226"/>
      <c r="FU132" s="226"/>
      <c r="FV132" s="226"/>
      <c r="FW132" s="226"/>
      <c r="FX132" s="226"/>
      <c r="FY132" s="226"/>
      <c r="FZ132" s="226"/>
      <c r="GA132" s="226"/>
      <c r="GB132" s="226"/>
      <c r="GC132" s="226"/>
      <c r="GD132" s="226"/>
      <c r="GE132" s="226"/>
      <c r="GF132" s="226"/>
      <c r="GG132" s="226"/>
      <c r="GH132" s="226"/>
    </row>
    <row r="133" spans="1:190" s="198" customFormat="1" ht="15.95" customHeight="1">
      <c r="A133" s="247" t="s">
        <v>229</v>
      </c>
      <c r="B133" s="222"/>
      <c r="C133" s="223" t="s">
        <v>143</v>
      </c>
      <c r="D133" s="224"/>
      <c r="E133" s="200"/>
      <c r="F133" s="109"/>
      <c r="G133" s="63"/>
      <c r="H133" s="225"/>
      <c r="I133" s="259"/>
      <c r="J133" s="265">
        <v>1.05</v>
      </c>
      <c r="K133" s="259"/>
      <c r="L133" s="199"/>
      <c r="M133" s="199"/>
      <c r="N133" s="199"/>
      <c r="O133" s="199"/>
      <c r="P133" s="199"/>
      <c r="Q133" s="199"/>
      <c r="R133" s="199"/>
      <c r="S133" s="199"/>
      <c r="T133" s="199"/>
      <c r="U133" s="199"/>
      <c r="V133" s="199"/>
      <c r="W133" s="199"/>
      <c r="X133" s="199"/>
      <c r="Y133" s="199"/>
      <c r="Z133" s="199"/>
      <c r="AA133" s="199"/>
      <c r="AB133" s="199"/>
      <c r="AC133" s="199"/>
      <c r="AD133" s="199"/>
      <c r="AE133" s="199"/>
      <c r="AF133" s="199"/>
      <c r="AG133" s="199"/>
      <c r="AH133" s="199"/>
      <c r="AI133" s="199"/>
      <c r="AJ133" s="199"/>
      <c r="AK133" s="199"/>
      <c r="AL133" s="199"/>
      <c r="AM133" s="199"/>
      <c r="AN133" s="199"/>
      <c r="AO133" s="199"/>
      <c r="AP133" s="199"/>
      <c r="AQ133" s="199"/>
      <c r="AR133" s="199"/>
      <c r="AS133" s="199"/>
      <c r="AT133" s="199"/>
      <c r="AU133" s="199"/>
      <c r="AV133" s="199"/>
      <c r="AW133" s="199"/>
      <c r="AX133" s="199"/>
      <c r="AY133" s="199"/>
      <c r="AZ133" s="199"/>
      <c r="BA133" s="199"/>
      <c r="BB133" s="199"/>
      <c r="BC133" s="199"/>
      <c r="BD133" s="199"/>
      <c r="BE133" s="199"/>
      <c r="BF133" s="199"/>
      <c r="BG133" s="199"/>
      <c r="BH133" s="199"/>
      <c r="BI133" s="199"/>
      <c r="BJ133" s="199"/>
      <c r="BK133" s="199"/>
      <c r="BL133" s="199"/>
      <c r="BM133" s="199"/>
      <c r="BN133" s="199"/>
      <c r="BO133" s="199"/>
      <c r="BP133" s="199"/>
      <c r="BQ133" s="199"/>
      <c r="BR133" s="199"/>
      <c r="BS133" s="199"/>
      <c r="BT133" s="199"/>
      <c r="BU133" s="199"/>
      <c r="BV133" s="199"/>
      <c r="BW133" s="199"/>
      <c r="BX133" s="199"/>
      <c r="BY133" s="199"/>
      <c r="BZ133" s="199"/>
      <c r="CA133" s="199"/>
      <c r="CB133" s="199"/>
      <c r="CC133" s="199"/>
      <c r="CD133" s="199"/>
      <c r="CE133" s="199"/>
      <c r="CF133" s="199"/>
      <c r="CG133" s="199"/>
      <c r="CH133" s="199"/>
      <c r="CI133" s="199"/>
      <c r="CJ133" s="199"/>
      <c r="CK133" s="199"/>
      <c r="CL133" s="199"/>
      <c r="CM133" s="199"/>
      <c r="CN133" s="199"/>
      <c r="CO133" s="199"/>
      <c r="CP133" s="199"/>
      <c r="CQ133" s="199"/>
      <c r="CR133" s="199"/>
      <c r="CS133" s="199"/>
      <c r="CT133" s="199"/>
      <c r="CU133" s="199"/>
      <c r="CV133" s="199"/>
      <c r="CW133" s="199"/>
      <c r="CX133" s="199"/>
      <c r="CY133" s="199"/>
      <c r="CZ133" s="199"/>
      <c r="DA133" s="199"/>
      <c r="DB133" s="199"/>
      <c r="DC133" s="199"/>
      <c r="DD133" s="199"/>
      <c r="DE133" s="199"/>
      <c r="DF133" s="199"/>
      <c r="DG133" s="199"/>
      <c r="DH133" s="199"/>
      <c r="DI133" s="199"/>
      <c r="DJ133" s="199"/>
      <c r="DK133" s="199"/>
      <c r="DL133" s="199"/>
      <c r="DM133" s="199"/>
      <c r="DN133" s="199"/>
      <c r="DO133" s="199"/>
      <c r="DP133" s="199"/>
      <c r="DQ133" s="199"/>
      <c r="DR133" s="199"/>
      <c r="DS133" s="199"/>
      <c r="DT133" s="199"/>
      <c r="DU133" s="199"/>
      <c r="DV133" s="199"/>
      <c r="DW133" s="199"/>
      <c r="DX133" s="199"/>
      <c r="DY133" s="199"/>
      <c r="DZ133" s="199"/>
      <c r="EA133" s="199"/>
      <c r="EB133" s="199"/>
      <c r="EC133" s="199"/>
      <c r="ED133" s="199"/>
      <c r="EE133" s="199"/>
      <c r="EF133" s="199"/>
      <c r="EG133" s="199"/>
      <c r="EH133" s="199"/>
      <c r="EI133" s="199"/>
      <c r="EJ133" s="199"/>
      <c r="EK133" s="199"/>
      <c r="EL133" s="199"/>
      <c r="EM133" s="199"/>
      <c r="EN133" s="199"/>
      <c r="EO133" s="199"/>
      <c r="EP133" s="199"/>
      <c r="EQ133" s="199"/>
      <c r="ER133" s="199"/>
      <c r="ES133" s="199"/>
      <c r="ET133" s="199"/>
      <c r="EU133" s="199"/>
      <c r="EV133" s="199"/>
      <c r="EW133" s="199"/>
      <c r="EX133" s="199"/>
      <c r="EY133" s="199"/>
      <c r="EZ133" s="199"/>
      <c r="FA133" s="199"/>
      <c r="FB133" s="199"/>
      <c r="FC133" s="199"/>
      <c r="FD133" s="199"/>
      <c r="FE133" s="199"/>
      <c r="FF133" s="199"/>
      <c r="FG133" s="199"/>
      <c r="FH133" s="199"/>
      <c r="FI133" s="199"/>
      <c r="FJ133" s="199"/>
      <c r="FK133" s="199"/>
      <c r="FL133" s="199"/>
      <c r="FM133" s="199"/>
      <c r="FN133" s="199"/>
      <c r="FO133" s="199"/>
      <c r="FP133" s="199"/>
      <c r="FQ133" s="199"/>
      <c r="FR133" s="199"/>
      <c r="FS133" s="199"/>
      <c r="FT133" s="199"/>
      <c r="FU133" s="199"/>
      <c r="FV133" s="199"/>
      <c r="FW133" s="199"/>
      <c r="FX133" s="199"/>
      <c r="FY133" s="199"/>
      <c r="FZ133" s="199"/>
      <c r="GA133" s="199"/>
      <c r="GB133" s="199"/>
      <c r="GC133" s="199"/>
      <c r="GD133" s="199"/>
      <c r="GE133" s="199"/>
      <c r="GF133" s="199"/>
      <c r="GG133" s="199"/>
      <c r="GH133" s="199"/>
    </row>
    <row r="134" spans="1:190" s="225" customFormat="1" ht="15.95" customHeight="1">
      <c r="A134" s="139" t="s">
        <v>228</v>
      </c>
      <c r="B134" s="202"/>
      <c r="C134" s="193" t="s">
        <v>514</v>
      </c>
      <c r="D134" s="228" t="s">
        <v>1</v>
      </c>
      <c r="E134" s="138">
        <f>K134</f>
        <v>472.5</v>
      </c>
      <c r="F134" s="140" t="e">
        <f>#REF!</f>
        <v>#REF!</v>
      </c>
      <c r="G134" s="65" t="e">
        <f>+E134*F134</f>
        <v>#REF!</v>
      </c>
      <c r="I134" s="259">
        <f>1*G6+75</f>
        <v>450</v>
      </c>
      <c r="J134" s="265">
        <v>1.05</v>
      </c>
      <c r="K134" s="259">
        <f>I134*J134</f>
        <v>472.5</v>
      </c>
      <c r="L134" s="226"/>
      <c r="M134" s="226"/>
      <c r="N134" s="226"/>
      <c r="O134" s="226"/>
      <c r="P134" s="226"/>
      <c r="Q134" s="226"/>
      <c r="R134" s="226"/>
      <c r="S134" s="226"/>
      <c r="T134" s="226"/>
      <c r="U134" s="226"/>
      <c r="V134" s="226"/>
      <c r="W134" s="226"/>
      <c r="X134" s="226"/>
      <c r="Y134" s="226"/>
      <c r="Z134" s="226"/>
      <c r="AA134" s="226"/>
      <c r="AB134" s="226"/>
      <c r="AC134" s="226"/>
      <c r="AD134" s="226"/>
      <c r="AE134" s="226"/>
      <c r="AF134" s="226"/>
      <c r="AG134" s="226"/>
      <c r="AH134" s="226"/>
      <c r="AI134" s="226"/>
      <c r="AJ134" s="226"/>
      <c r="AK134" s="226"/>
      <c r="AL134" s="226"/>
      <c r="AM134" s="226"/>
      <c r="AN134" s="226"/>
      <c r="AO134" s="226"/>
      <c r="AP134" s="226"/>
      <c r="AQ134" s="226"/>
      <c r="AR134" s="226"/>
      <c r="AS134" s="226"/>
      <c r="AT134" s="226"/>
      <c r="AU134" s="226"/>
      <c r="AV134" s="226"/>
      <c r="AW134" s="226"/>
      <c r="AX134" s="226"/>
      <c r="AY134" s="226"/>
      <c r="AZ134" s="226"/>
      <c r="BA134" s="226"/>
      <c r="BB134" s="226"/>
      <c r="BC134" s="226"/>
      <c r="BD134" s="226"/>
      <c r="BE134" s="226"/>
      <c r="BF134" s="226"/>
      <c r="BG134" s="226"/>
      <c r="BH134" s="226"/>
      <c r="BI134" s="226"/>
      <c r="BJ134" s="226"/>
      <c r="BK134" s="226"/>
      <c r="BL134" s="226"/>
      <c r="BM134" s="226"/>
      <c r="BN134" s="226"/>
      <c r="BO134" s="226"/>
      <c r="BP134" s="226"/>
      <c r="BQ134" s="226"/>
      <c r="BR134" s="226"/>
      <c r="BS134" s="226"/>
      <c r="BT134" s="226"/>
      <c r="BU134" s="226"/>
      <c r="BV134" s="226"/>
      <c r="BW134" s="226"/>
      <c r="BX134" s="226"/>
      <c r="BY134" s="226"/>
      <c r="BZ134" s="226"/>
      <c r="CA134" s="226"/>
      <c r="CB134" s="226"/>
      <c r="CC134" s="226"/>
      <c r="CD134" s="226"/>
      <c r="CE134" s="226"/>
      <c r="CF134" s="226"/>
      <c r="CG134" s="226"/>
      <c r="CH134" s="226"/>
      <c r="CI134" s="226"/>
      <c r="CJ134" s="226"/>
      <c r="CK134" s="226"/>
      <c r="CL134" s="226"/>
      <c r="CM134" s="226"/>
      <c r="CN134" s="226"/>
      <c r="CO134" s="226"/>
      <c r="CP134" s="226"/>
      <c r="CQ134" s="226"/>
      <c r="CR134" s="226"/>
      <c r="CS134" s="226"/>
      <c r="CT134" s="226"/>
      <c r="CU134" s="226"/>
      <c r="CV134" s="226"/>
      <c r="CW134" s="226"/>
      <c r="CX134" s="226"/>
      <c r="CY134" s="226"/>
      <c r="CZ134" s="226"/>
      <c r="DA134" s="226"/>
      <c r="DB134" s="226"/>
      <c r="DC134" s="226"/>
      <c r="DD134" s="226"/>
      <c r="DE134" s="226"/>
      <c r="DF134" s="226"/>
      <c r="DG134" s="226"/>
      <c r="DH134" s="226"/>
      <c r="DI134" s="226"/>
      <c r="DJ134" s="226"/>
      <c r="DK134" s="226"/>
      <c r="DL134" s="226"/>
      <c r="DM134" s="226"/>
      <c r="DN134" s="226"/>
      <c r="DO134" s="226"/>
      <c r="DP134" s="226"/>
      <c r="DQ134" s="226"/>
      <c r="DR134" s="226"/>
      <c r="DS134" s="226"/>
      <c r="DT134" s="226"/>
      <c r="DU134" s="226"/>
      <c r="DV134" s="226"/>
      <c r="DW134" s="226"/>
      <c r="DX134" s="226"/>
      <c r="DY134" s="226"/>
      <c r="DZ134" s="226"/>
      <c r="EA134" s="226"/>
      <c r="EB134" s="226"/>
      <c r="EC134" s="226"/>
      <c r="ED134" s="226"/>
      <c r="EE134" s="226"/>
      <c r="EF134" s="226"/>
      <c r="EG134" s="226"/>
      <c r="EH134" s="226"/>
      <c r="EI134" s="226"/>
      <c r="EJ134" s="226"/>
      <c r="EK134" s="226"/>
      <c r="EL134" s="226"/>
      <c r="EM134" s="226"/>
      <c r="EN134" s="226"/>
      <c r="EO134" s="226"/>
      <c r="EP134" s="226"/>
      <c r="EQ134" s="226"/>
      <c r="ER134" s="226"/>
      <c r="ES134" s="226"/>
      <c r="ET134" s="226"/>
      <c r="EU134" s="226"/>
      <c r="EV134" s="226"/>
      <c r="EW134" s="226"/>
      <c r="EX134" s="226"/>
      <c r="EY134" s="226"/>
      <c r="EZ134" s="226"/>
      <c r="FA134" s="226"/>
      <c r="FB134" s="226"/>
      <c r="FC134" s="226"/>
      <c r="FD134" s="226"/>
      <c r="FE134" s="226"/>
      <c r="FF134" s="226"/>
      <c r="FG134" s="226"/>
      <c r="FH134" s="226"/>
      <c r="FI134" s="226"/>
      <c r="FJ134" s="226"/>
      <c r="FK134" s="226"/>
      <c r="FL134" s="226"/>
      <c r="FM134" s="226"/>
      <c r="FN134" s="226"/>
      <c r="FO134" s="226"/>
      <c r="FP134" s="226"/>
      <c r="FQ134" s="226"/>
      <c r="FR134" s="226"/>
      <c r="FS134" s="226"/>
      <c r="FT134" s="226"/>
      <c r="FU134" s="226"/>
      <c r="FV134" s="226"/>
      <c r="FW134" s="226"/>
      <c r="FX134" s="226"/>
      <c r="FY134" s="226"/>
      <c r="FZ134" s="226"/>
      <c r="GA134" s="226"/>
      <c r="GB134" s="226"/>
      <c r="GC134" s="226"/>
      <c r="GD134" s="226"/>
      <c r="GE134" s="226"/>
      <c r="GF134" s="226"/>
      <c r="GG134" s="226"/>
      <c r="GH134" s="226"/>
    </row>
    <row r="135" spans="1:190" s="225" customFormat="1" ht="15.95" customHeight="1">
      <c r="A135" s="139" t="s">
        <v>228</v>
      </c>
      <c r="B135" s="202"/>
      <c r="C135" s="193" t="s">
        <v>515</v>
      </c>
      <c r="D135" s="228" t="s">
        <v>1</v>
      </c>
      <c r="E135" s="138">
        <f>K135</f>
        <v>472.5</v>
      </c>
      <c r="F135" s="140" t="e">
        <f>#REF!</f>
        <v>#REF!</v>
      </c>
      <c r="G135" s="65" t="e">
        <f>+E135*F135</f>
        <v>#REF!</v>
      </c>
      <c r="I135" s="259">
        <f>1*G7+75</f>
        <v>450</v>
      </c>
      <c r="J135" s="265">
        <v>1.05</v>
      </c>
      <c r="K135" s="259">
        <f>I135*J135</f>
        <v>472.5</v>
      </c>
      <c r="L135" s="226"/>
      <c r="M135" s="226"/>
      <c r="N135" s="226"/>
      <c r="O135" s="226"/>
      <c r="P135" s="226"/>
      <c r="Q135" s="226"/>
      <c r="R135" s="226"/>
      <c r="S135" s="226"/>
      <c r="T135" s="226"/>
      <c r="U135" s="226"/>
      <c r="V135" s="226"/>
      <c r="W135" s="226"/>
      <c r="X135" s="226"/>
      <c r="Y135" s="226"/>
      <c r="Z135" s="226"/>
      <c r="AA135" s="226"/>
      <c r="AB135" s="226"/>
      <c r="AC135" s="226"/>
      <c r="AD135" s="226"/>
      <c r="AE135" s="226"/>
      <c r="AF135" s="226"/>
      <c r="AG135" s="226"/>
      <c r="AH135" s="226"/>
      <c r="AI135" s="226"/>
      <c r="AJ135" s="226"/>
      <c r="AK135" s="226"/>
      <c r="AL135" s="226"/>
      <c r="AM135" s="226"/>
      <c r="AN135" s="226"/>
      <c r="AO135" s="226"/>
      <c r="AP135" s="226"/>
      <c r="AQ135" s="226"/>
      <c r="AR135" s="226"/>
      <c r="AS135" s="226"/>
      <c r="AT135" s="226"/>
      <c r="AU135" s="226"/>
      <c r="AV135" s="226"/>
      <c r="AW135" s="226"/>
      <c r="AX135" s="226"/>
      <c r="AY135" s="226"/>
      <c r="AZ135" s="226"/>
      <c r="BA135" s="226"/>
      <c r="BB135" s="226"/>
      <c r="BC135" s="226"/>
      <c r="BD135" s="226"/>
      <c r="BE135" s="226"/>
      <c r="BF135" s="226"/>
      <c r="BG135" s="226"/>
      <c r="BH135" s="226"/>
      <c r="BI135" s="226"/>
      <c r="BJ135" s="226"/>
      <c r="BK135" s="226"/>
      <c r="BL135" s="226"/>
      <c r="BM135" s="226"/>
      <c r="BN135" s="226"/>
      <c r="BO135" s="226"/>
      <c r="BP135" s="226"/>
      <c r="BQ135" s="226"/>
      <c r="BR135" s="226"/>
      <c r="BS135" s="226"/>
      <c r="BT135" s="226"/>
      <c r="BU135" s="226"/>
      <c r="BV135" s="226"/>
      <c r="BW135" s="226"/>
      <c r="BX135" s="226"/>
      <c r="BY135" s="226"/>
      <c r="BZ135" s="226"/>
      <c r="CA135" s="226"/>
      <c r="CB135" s="226"/>
      <c r="CC135" s="226"/>
      <c r="CD135" s="226"/>
      <c r="CE135" s="226"/>
      <c r="CF135" s="226"/>
      <c r="CG135" s="226"/>
      <c r="CH135" s="226"/>
      <c r="CI135" s="226"/>
      <c r="CJ135" s="226"/>
      <c r="CK135" s="226"/>
      <c r="CL135" s="226"/>
      <c r="CM135" s="226"/>
      <c r="CN135" s="226"/>
      <c r="CO135" s="226"/>
      <c r="CP135" s="226"/>
      <c r="CQ135" s="226"/>
      <c r="CR135" s="226"/>
      <c r="CS135" s="226"/>
      <c r="CT135" s="226"/>
      <c r="CU135" s="226"/>
      <c r="CV135" s="226"/>
      <c r="CW135" s="226"/>
      <c r="CX135" s="226"/>
      <c r="CY135" s="226"/>
      <c r="CZ135" s="226"/>
      <c r="DA135" s="226"/>
      <c r="DB135" s="226"/>
      <c r="DC135" s="226"/>
      <c r="DD135" s="226"/>
      <c r="DE135" s="226"/>
      <c r="DF135" s="226"/>
      <c r="DG135" s="226"/>
      <c r="DH135" s="226"/>
      <c r="DI135" s="226"/>
      <c r="DJ135" s="226"/>
      <c r="DK135" s="226"/>
      <c r="DL135" s="226"/>
      <c r="DM135" s="226"/>
      <c r="DN135" s="226"/>
      <c r="DO135" s="226"/>
      <c r="DP135" s="226"/>
      <c r="DQ135" s="226"/>
      <c r="DR135" s="226"/>
      <c r="DS135" s="226"/>
      <c r="DT135" s="226"/>
      <c r="DU135" s="226"/>
      <c r="DV135" s="226"/>
      <c r="DW135" s="226"/>
      <c r="DX135" s="226"/>
      <c r="DY135" s="226"/>
      <c r="DZ135" s="226"/>
      <c r="EA135" s="226"/>
      <c r="EB135" s="226"/>
      <c r="EC135" s="226"/>
      <c r="ED135" s="226"/>
      <c r="EE135" s="226"/>
      <c r="EF135" s="226"/>
      <c r="EG135" s="226"/>
      <c r="EH135" s="226"/>
      <c r="EI135" s="226"/>
      <c r="EJ135" s="226"/>
      <c r="EK135" s="226"/>
      <c r="EL135" s="226"/>
      <c r="EM135" s="226"/>
      <c r="EN135" s="226"/>
      <c r="EO135" s="226"/>
      <c r="EP135" s="226"/>
      <c r="EQ135" s="226"/>
      <c r="ER135" s="226"/>
      <c r="ES135" s="226"/>
      <c r="ET135" s="226"/>
      <c r="EU135" s="226"/>
      <c r="EV135" s="226"/>
      <c r="EW135" s="226"/>
      <c r="EX135" s="226"/>
      <c r="EY135" s="226"/>
      <c r="EZ135" s="226"/>
      <c r="FA135" s="226"/>
      <c r="FB135" s="226"/>
      <c r="FC135" s="226"/>
      <c r="FD135" s="226"/>
      <c r="FE135" s="226"/>
      <c r="FF135" s="226"/>
      <c r="FG135" s="226"/>
      <c r="FH135" s="226"/>
      <c r="FI135" s="226"/>
      <c r="FJ135" s="226"/>
      <c r="FK135" s="226"/>
      <c r="FL135" s="226"/>
      <c r="FM135" s="226"/>
      <c r="FN135" s="226"/>
      <c r="FO135" s="226"/>
      <c r="FP135" s="226"/>
      <c r="FQ135" s="226"/>
      <c r="FR135" s="226"/>
      <c r="FS135" s="226"/>
      <c r="FT135" s="226"/>
      <c r="FU135" s="226"/>
      <c r="FV135" s="226"/>
      <c r="FW135" s="226"/>
      <c r="FX135" s="226"/>
      <c r="FY135" s="226"/>
      <c r="FZ135" s="226"/>
      <c r="GA135" s="226"/>
      <c r="GB135" s="226"/>
      <c r="GC135" s="226"/>
      <c r="GD135" s="226"/>
      <c r="GE135" s="226"/>
      <c r="GF135" s="226"/>
      <c r="GG135" s="226"/>
      <c r="GH135" s="226"/>
    </row>
    <row r="136" spans="1:190" s="225" customFormat="1" ht="15.95" customHeight="1">
      <c r="A136" s="17"/>
      <c r="B136" s="229"/>
      <c r="C136" s="230"/>
      <c r="D136" s="228"/>
      <c r="E136" s="138"/>
      <c r="F136" s="108"/>
      <c r="G136" s="65"/>
      <c r="I136" s="259"/>
      <c r="J136" s="265"/>
      <c r="K136" s="259"/>
      <c r="L136" s="226"/>
      <c r="M136" s="226"/>
      <c r="N136" s="226"/>
      <c r="O136" s="226"/>
      <c r="P136" s="226"/>
      <c r="Q136" s="226"/>
      <c r="R136" s="226"/>
      <c r="S136" s="226"/>
      <c r="T136" s="226"/>
      <c r="U136" s="226"/>
      <c r="V136" s="226"/>
      <c r="W136" s="226"/>
      <c r="X136" s="226"/>
      <c r="Y136" s="226"/>
      <c r="Z136" s="226"/>
      <c r="AA136" s="226"/>
      <c r="AB136" s="226"/>
      <c r="AC136" s="226"/>
      <c r="AD136" s="226"/>
      <c r="AE136" s="226"/>
      <c r="AF136" s="226"/>
      <c r="AG136" s="226"/>
      <c r="AH136" s="226"/>
      <c r="AI136" s="226"/>
      <c r="AJ136" s="226"/>
      <c r="AK136" s="226"/>
      <c r="AL136" s="226"/>
      <c r="AM136" s="226"/>
      <c r="AN136" s="226"/>
      <c r="AO136" s="226"/>
      <c r="AP136" s="226"/>
      <c r="AQ136" s="226"/>
      <c r="AR136" s="226"/>
      <c r="AS136" s="226"/>
      <c r="AT136" s="226"/>
      <c r="AU136" s="226"/>
      <c r="AV136" s="226"/>
      <c r="AW136" s="226"/>
      <c r="AX136" s="226"/>
      <c r="AY136" s="226"/>
      <c r="AZ136" s="226"/>
      <c r="BA136" s="226"/>
      <c r="BB136" s="226"/>
      <c r="BC136" s="226"/>
      <c r="BD136" s="226"/>
      <c r="BE136" s="226"/>
      <c r="BF136" s="226"/>
      <c r="BG136" s="226"/>
      <c r="BH136" s="226"/>
      <c r="BI136" s="226"/>
      <c r="BJ136" s="226"/>
      <c r="BK136" s="226"/>
      <c r="BL136" s="226"/>
      <c r="BM136" s="226"/>
      <c r="BN136" s="226"/>
      <c r="BO136" s="226"/>
      <c r="BP136" s="226"/>
      <c r="BQ136" s="226"/>
      <c r="BR136" s="226"/>
      <c r="BS136" s="226"/>
      <c r="BT136" s="226"/>
      <c r="BU136" s="226"/>
      <c r="BV136" s="226"/>
      <c r="BW136" s="226"/>
      <c r="BX136" s="226"/>
      <c r="BY136" s="226"/>
      <c r="BZ136" s="226"/>
      <c r="CA136" s="226"/>
      <c r="CB136" s="226"/>
      <c r="CC136" s="226"/>
      <c r="CD136" s="226"/>
      <c r="CE136" s="226"/>
      <c r="CF136" s="226"/>
      <c r="CG136" s="226"/>
      <c r="CH136" s="226"/>
      <c r="CI136" s="226"/>
      <c r="CJ136" s="226"/>
      <c r="CK136" s="226"/>
      <c r="CL136" s="226"/>
      <c r="CM136" s="226"/>
      <c r="CN136" s="226"/>
      <c r="CO136" s="226"/>
      <c r="CP136" s="226"/>
      <c r="CQ136" s="226"/>
      <c r="CR136" s="226"/>
      <c r="CS136" s="226"/>
      <c r="CT136" s="226"/>
      <c r="CU136" s="226"/>
      <c r="CV136" s="226"/>
      <c r="CW136" s="226"/>
      <c r="CX136" s="226"/>
      <c r="CY136" s="226"/>
      <c r="CZ136" s="226"/>
      <c r="DA136" s="226"/>
      <c r="DB136" s="226"/>
      <c r="DC136" s="226"/>
      <c r="DD136" s="226"/>
      <c r="DE136" s="226"/>
      <c r="DF136" s="226"/>
      <c r="DG136" s="226"/>
      <c r="DH136" s="226"/>
      <c r="DI136" s="226"/>
      <c r="DJ136" s="226"/>
      <c r="DK136" s="226"/>
      <c r="DL136" s="226"/>
      <c r="DM136" s="226"/>
      <c r="DN136" s="226"/>
      <c r="DO136" s="226"/>
      <c r="DP136" s="226"/>
      <c r="DQ136" s="226"/>
      <c r="DR136" s="226"/>
      <c r="DS136" s="226"/>
      <c r="DT136" s="226"/>
      <c r="DU136" s="226"/>
      <c r="DV136" s="226"/>
      <c r="DW136" s="226"/>
      <c r="DX136" s="226"/>
      <c r="DY136" s="226"/>
      <c r="DZ136" s="226"/>
      <c r="EA136" s="226"/>
      <c r="EB136" s="226"/>
      <c r="EC136" s="226"/>
      <c r="ED136" s="226"/>
      <c r="EE136" s="226"/>
      <c r="EF136" s="226"/>
      <c r="EG136" s="226"/>
      <c r="EH136" s="226"/>
      <c r="EI136" s="226"/>
      <c r="EJ136" s="226"/>
      <c r="EK136" s="226"/>
      <c r="EL136" s="226"/>
      <c r="EM136" s="226"/>
      <c r="EN136" s="226"/>
      <c r="EO136" s="226"/>
      <c r="EP136" s="226"/>
      <c r="EQ136" s="226"/>
      <c r="ER136" s="226"/>
      <c r="ES136" s="226"/>
      <c r="ET136" s="226"/>
      <c r="EU136" s="226"/>
      <c r="EV136" s="226"/>
      <c r="EW136" s="226"/>
      <c r="EX136" s="226"/>
      <c r="EY136" s="226"/>
      <c r="EZ136" s="226"/>
      <c r="FA136" s="226"/>
      <c r="FB136" s="226"/>
      <c r="FC136" s="226"/>
      <c r="FD136" s="226"/>
      <c r="FE136" s="226"/>
      <c r="FF136" s="226"/>
      <c r="FG136" s="226"/>
      <c r="FH136" s="226"/>
      <c r="FI136" s="226"/>
      <c r="FJ136" s="226"/>
      <c r="FK136" s="226"/>
      <c r="FL136" s="226"/>
      <c r="FM136" s="226"/>
      <c r="FN136" s="226"/>
      <c r="FO136" s="226"/>
      <c r="FP136" s="226"/>
      <c r="FQ136" s="226"/>
      <c r="FR136" s="226"/>
      <c r="FS136" s="226"/>
      <c r="FT136" s="226"/>
      <c r="FU136" s="226"/>
      <c r="FV136" s="226"/>
      <c r="FW136" s="226"/>
      <c r="FX136" s="226"/>
      <c r="FY136" s="226"/>
      <c r="FZ136" s="226"/>
      <c r="GA136" s="226"/>
      <c r="GB136" s="226"/>
      <c r="GC136" s="226"/>
      <c r="GD136" s="226"/>
      <c r="GE136" s="226"/>
      <c r="GF136" s="226"/>
      <c r="GG136" s="226"/>
      <c r="GH136" s="226"/>
    </row>
    <row r="137" spans="1:190" s="198" customFormat="1" ht="15.95" customHeight="1">
      <c r="A137" s="247" t="s">
        <v>219</v>
      </c>
      <c r="B137" s="222"/>
      <c r="C137" s="223" t="s">
        <v>220</v>
      </c>
      <c r="D137" s="224"/>
      <c r="E137" s="200"/>
      <c r="F137" s="109"/>
      <c r="G137" s="63"/>
      <c r="H137" s="225"/>
      <c r="I137" s="259"/>
      <c r="J137" s="265"/>
      <c r="K137" s="259"/>
      <c r="L137" s="199"/>
      <c r="M137" s="199"/>
      <c r="N137" s="199"/>
      <c r="O137" s="199"/>
      <c r="P137" s="199"/>
      <c r="Q137" s="199"/>
      <c r="R137" s="199"/>
      <c r="S137" s="199"/>
      <c r="T137" s="199"/>
      <c r="U137" s="199"/>
      <c r="V137" s="199"/>
      <c r="W137" s="199"/>
      <c r="X137" s="199"/>
      <c r="Y137" s="199"/>
      <c r="Z137" s="199"/>
      <c r="AA137" s="199"/>
      <c r="AB137" s="199"/>
      <c r="AC137" s="199"/>
      <c r="AD137" s="199"/>
      <c r="AE137" s="199"/>
      <c r="AF137" s="199"/>
      <c r="AG137" s="199"/>
      <c r="AH137" s="199"/>
      <c r="AI137" s="199"/>
      <c r="AJ137" s="199"/>
      <c r="AK137" s="199"/>
      <c r="AL137" s="199"/>
      <c r="AM137" s="199"/>
      <c r="AN137" s="199"/>
      <c r="AO137" s="199"/>
      <c r="AP137" s="199"/>
      <c r="AQ137" s="199"/>
      <c r="AR137" s="199"/>
      <c r="AS137" s="199"/>
      <c r="AT137" s="199"/>
      <c r="AU137" s="199"/>
      <c r="AV137" s="199"/>
      <c r="AW137" s="199"/>
      <c r="AX137" s="199"/>
      <c r="AY137" s="199"/>
      <c r="AZ137" s="199"/>
      <c r="BA137" s="199"/>
      <c r="BB137" s="199"/>
      <c r="BC137" s="199"/>
      <c r="BD137" s="199"/>
      <c r="BE137" s="199"/>
      <c r="BF137" s="199"/>
      <c r="BG137" s="199"/>
      <c r="BH137" s="199"/>
      <c r="BI137" s="199"/>
      <c r="BJ137" s="199"/>
      <c r="BK137" s="199"/>
      <c r="BL137" s="199"/>
      <c r="BM137" s="199"/>
      <c r="BN137" s="199"/>
      <c r="BO137" s="199"/>
      <c r="BP137" s="199"/>
      <c r="BQ137" s="199"/>
      <c r="BR137" s="199"/>
      <c r="BS137" s="199"/>
      <c r="BT137" s="199"/>
      <c r="BU137" s="199"/>
      <c r="BV137" s="199"/>
      <c r="BW137" s="199"/>
      <c r="BX137" s="199"/>
      <c r="BY137" s="199"/>
      <c r="BZ137" s="199"/>
      <c r="CA137" s="199"/>
      <c r="CB137" s="199"/>
      <c r="CC137" s="199"/>
      <c r="CD137" s="199"/>
      <c r="CE137" s="199"/>
      <c r="CF137" s="199"/>
      <c r="CG137" s="199"/>
      <c r="CH137" s="199"/>
      <c r="CI137" s="199"/>
      <c r="CJ137" s="199"/>
      <c r="CK137" s="199"/>
      <c r="CL137" s="199"/>
      <c r="CM137" s="199"/>
      <c r="CN137" s="199"/>
      <c r="CO137" s="199"/>
      <c r="CP137" s="199"/>
      <c r="CQ137" s="199"/>
      <c r="CR137" s="199"/>
      <c r="CS137" s="199"/>
      <c r="CT137" s="199"/>
      <c r="CU137" s="199"/>
      <c r="CV137" s="199"/>
      <c r="CW137" s="199"/>
      <c r="CX137" s="199"/>
      <c r="CY137" s="199"/>
      <c r="CZ137" s="199"/>
      <c r="DA137" s="199"/>
      <c r="DB137" s="199"/>
      <c r="DC137" s="199"/>
      <c r="DD137" s="199"/>
      <c r="DE137" s="199"/>
      <c r="DF137" s="199"/>
      <c r="DG137" s="199"/>
      <c r="DH137" s="199"/>
      <c r="DI137" s="199"/>
      <c r="DJ137" s="199"/>
      <c r="DK137" s="199"/>
      <c r="DL137" s="199"/>
      <c r="DM137" s="199"/>
      <c r="DN137" s="199"/>
      <c r="DO137" s="199"/>
      <c r="DP137" s="199"/>
      <c r="DQ137" s="199"/>
      <c r="DR137" s="199"/>
      <c r="DS137" s="199"/>
      <c r="DT137" s="199"/>
      <c r="DU137" s="199"/>
      <c r="DV137" s="199"/>
      <c r="DW137" s="199"/>
      <c r="DX137" s="199"/>
      <c r="DY137" s="199"/>
      <c r="DZ137" s="199"/>
      <c r="EA137" s="199"/>
      <c r="EB137" s="199"/>
      <c r="EC137" s="199"/>
      <c r="ED137" s="199"/>
      <c r="EE137" s="199"/>
      <c r="EF137" s="199"/>
      <c r="EG137" s="199"/>
      <c r="EH137" s="199"/>
      <c r="EI137" s="199"/>
      <c r="EJ137" s="199"/>
      <c r="EK137" s="199"/>
      <c r="EL137" s="199"/>
      <c r="EM137" s="199"/>
      <c r="EN137" s="199"/>
      <c r="EO137" s="199"/>
      <c r="EP137" s="199"/>
      <c r="EQ137" s="199"/>
      <c r="ER137" s="199"/>
      <c r="ES137" s="199"/>
      <c r="ET137" s="199"/>
      <c r="EU137" s="199"/>
      <c r="EV137" s="199"/>
      <c r="EW137" s="199"/>
      <c r="EX137" s="199"/>
      <c r="EY137" s="199"/>
      <c r="EZ137" s="199"/>
      <c r="FA137" s="199"/>
      <c r="FB137" s="199"/>
      <c r="FC137" s="199"/>
      <c r="FD137" s="199"/>
      <c r="FE137" s="199"/>
      <c r="FF137" s="199"/>
      <c r="FG137" s="199"/>
      <c r="FH137" s="199"/>
      <c r="FI137" s="199"/>
      <c r="FJ137" s="199"/>
      <c r="FK137" s="199"/>
      <c r="FL137" s="199"/>
      <c r="FM137" s="199"/>
      <c r="FN137" s="199"/>
      <c r="FO137" s="199"/>
      <c r="FP137" s="199"/>
      <c r="FQ137" s="199"/>
      <c r="FR137" s="199"/>
      <c r="FS137" s="199"/>
      <c r="FT137" s="199"/>
      <c r="FU137" s="199"/>
      <c r="FV137" s="199"/>
      <c r="FW137" s="199"/>
      <c r="FX137" s="199"/>
      <c r="FY137" s="199"/>
      <c r="FZ137" s="199"/>
      <c r="GA137" s="199"/>
      <c r="GB137" s="199"/>
      <c r="GC137" s="199"/>
      <c r="GD137" s="199"/>
      <c r="GE137" s="199"/>
      <c r="GF137" s="199"/>
      <c r="GG137" s="199"/>
      <c r="GH137" s="199"/>
    </row>
    <row r="138" spans="1:190" s="225" customFormat="1" ht="15.95" customHeight="1">
      <c r="A138" s="139" t="s">
        <v>230</v>
      </c>
      <c r="B138" s="202"/>
      <c r="C138" s="193"/>
      <c r="D138" s="228" t="s">
        <v>27</v>
      </c>
      <c r="E138" s="138">
        <v>1</v>
      </c>
      <c r="F138" s="140" t="e">
        <f>#REF!</f>
        <v>#REF!</v>
      </c>
      <c r="G138" s="65" t="e">
        <f>+E138*F138</f>
        <v>#REF!</v>
      </c>
      <c r="I138" s="259">
        <f>37+13+19</f>
        <v>69</v>
      </c>
      <c r="J138" s="265">
        <v>1.05</v>
      </c>
      <c r="K138" s="259">
        <f>I138*J138</f>
        <v>72.45</v>
      </c>
      <c r="L138" s="226"/>
      <c r="M138" s="226"/>
      <c r="N138" s="226"/>
      <c r="O138" s="226"/>
      <c r="P138" s="226"/>
      <c r="Q138" s="226"/>
      <c r="R138" s="226"/>
      <c r="S138" s="226"/>
      <c r="T138" s="226"/>
      <c r="U138" s="226"/>
      <c r="V138" s="226"/>
      <c r="W138" s="226"/>
      <c r="X138" s="226"/>
      <c r="Y138" s="226"/>
      <c r="Z138" s="226"/>
      <c r="AA138" s="226"/>
      <c r="AB138" s="226"/>
      <c r="AC138" s="226"/>
      <c r="AD138" s="226"/>
      <c r="AE138" s="226"/>
      <c r="AF138" s="226"/>
      <c r="AG138" s="226"/>
      <c r="AH138" s="226"/>
      <c r="AI138" s="226"/>
      <c r="AJ138" s="226"/>
      <c r="AK138" s="226"/>
      <c r="AL138" s="226"/>
      <c r="AM138" s="226"/>
      <c r="AN138" s="226"/>
      <c r="AO138" s="226"/>
      <c r="AP138" s="226"/>
      <c r="AQ138" s="226"/>
      <c r="AR138" s="226"/>
      <c r="AS138" s="226"/>
      <c r="AT138" s="226"/>
      <c r="AU138" s="226"/>
      <c r="AV138" s="226"/>
      <c r="AW138" s="226"/>
      <c r="AX138" s="226"/>
      <c r="AY138" s="226"/>
      <c r="AZ138" s="226"/>
      <c r="BA138" s="226"/>
      <c r="BB138" s="226"/>
      <c r="BC138" s="226"/>
      <c r="BD138" s="226"/>
      <c r="BE138" s="226"/>
      <c r="BF138" s="226"/>
      <c r="BG138" s="226"/>
      <c r="BH138" s="226"/>
      <c r="BI138" s="226"/>
      <c r="BJ138" s="226"/>
      <c r="BK138" s="226"/>
      <c r="BL138" s="226"/>
      <c r="BM138" s="226"/>
      <c r="BN138" s="226"/>
      <c r="BO138" s="226"/>
      <c r="BP138" s="226"/>
      <c r="BQ138" s="226"/>
      <c r="BR138" s="226"/>
      <c r="BS138" s="226"/>
      <c r="BT138" s="226"/>
      <c r="BU138" s="226"/>
      <c r="BV138" s="226"/>
      <c r="BW138" s="226"/>
      <c r="BX138" s="226"/>
      <c r="BY138" s="226"/>
      <c r="BZ138" s="226"/>
      <c r="CA138" s="226"/>
      <c r="CB138" s="226"/>
      <c r="CC138" s="226"/>
      <c r="CD138" s="226"/>
      <c r="CE138" s="226"/>
      <c r="CF138" s="226"/>
      <c r="CG138" s="226"/>
      <c r="CH138" s="226"/>
      <c r="CI138" s="226"/>
      <c r="CJ138" s="226"/>
      <c r="CK138" s="226"/>
      <c r="CL138" s="226"/>
      <c r="CM138" s="226"/>
      <c r="CN138" s="226"/>
      <c r="CO138" s="226"/>
      <c r="CP138" s="226"/>
      <c r="CQ138" s="226"/>
      <c r="CR138" s="226"/>
      <c r="CS138" s="226"/>
      <c r="CT138" s="226"/>
      <c r="CU138" s="226"/>
      <c r="CV138" s="226"/>
      <c r="CW138" s="226"/>
      <c r="CX138" s="226"/>
      <c r="CY138" s="226"/>
      <c r="CZ138" s="226"/>
      <c r="DA138" s="226"/>
      <c r="DB138" s="226"/>
      <c r="DC138" s="226"/>
      <c r="DD138" s="226"/>
      <c r="DE138" s="226"/>
      <c r="DF138" s="226"/>
      <c r="DG138" s="226"/>
      <c r="DH138" s="226"/>
      <c r="DI138" s="226"/>
      <c r="DJ138" s="226"/>
      <c r="DK138" s="226"/>
      <c r="DL138" s="226"/>
      <c r="DM138" s="226"/>
      <c r="DN138" s="226"/>
      <c r="DO138" s="226"/>
      <c r="DP138" s="226"/>
      <c r="DQ138" s="226"/>
      <c r="DR138" s="226"/>
      <c r="DS138" s="226"/>
      <c r="DT138" s="226"/>
      <c r="DU138" s="226"/>
      <c r="DV138" s="226"/>
      <c r="DW138" s="226"/>
      <c r="DX138" s="226"/>
      <c r="DY138" s="226"/>
      <c r="DZ138" s="226"/>
      <c r="EA138" s="226"/>
      <c r="EB138" s="226"/>
      <c r="EC138" s="226"/>
      <c r="ED138" s="226"/>
      <c r="EE138" s="226"/>
      <c r="EF138" s="226"/>
      <c r="EG138" s="226"/>
      <c r="EH138" s="226"/>
      <c r="EI138" s="226"/>
      <c r="EJ138" s="226"/>
      <c r="EK138" s="226"/>
      <c r="EL138" s="226"/>
      <c r="EM138" s="226"/>
      <c r="EN138" s="226"/>
      <c r="EO138" s="226"/>
      <c r="EP138" s="226"/>
      <c r="EQ138" s="226"/>
      <c r="ER138" s="226"/>
      <c r="ES138" s="226"/>
      <c r="ET138" s="226"/>
      <c r="EU138" s="226"/>
      <c r="EV138" s="226"/>
      <c r="EW138" s="226"/>
      <c r="EX138" s="226"/>
      <c r="EY138" s="226"/>
      <c r="EZ138" s="226"/>
      <c r="FA138" s="226"/>
      <c r="FB138" s="226"/>
      <c r="FC138" s="226"/>
      <c r="FD138" s="226"/>
      <c r="FE138" s="226"/>
      <c r="FF138" s="226"/>
      <c r="FG138" s="226"/>
      <c r="FH138" s="226"/>
      <c r="FI138" s="226"/>
      <c r="FJ138" s="226"/>
      <c r="FK138" s="226"/>
      <c r="FL138" s="226"/>
      <c r="FM138" s="226"/>
      <c r="FN138" s="226"/>
      <c r="FO138" s="226"/>
      <c r="FP138" s="226"/>
      <c r="FQ138" s="226"/>
      <c r="FR138" s="226"/>
      <c r="FS138" s="226"/>
      <c r="FT138" s="226"/>
      <c r="FU138" s="226"/>
      <c r="FV138" s="226"/>
      <c r="FW138" s="226"/>
      <c r="FX138" s="226"/>
      <c r="FY138" s="226"/>
      <c r="FZ138" s="226"/>
      <c r="GA138" s="226"/>
      <c r="GB138" s="226"/>
      <c r="GC138" s="226"/>
      <c r="GD138" s="226"/>
      <c r="GE138" s="226"/>
      <c r="GF138" s="226"/>
      <c r="GG138" s="226"/>
      <c r="GH138" s="226"/>
    </row>
    <row r="139" spans="1:190" s="225" customFormat="1" ht="15.95" customHeight="1">
      <c r="A139" s="17"/>
      <c r="B139" s="229"/>
      <c r="C139" s="230"/>
      <c r="D139" s="228"/>
      <c r="E139" s="138"/>
      <c r="F139" s="108"/>
      <c r="G139" s="65"/>
      <c r="I139" s="259"/>
      <c r="J139" s="265"/>
      <c r="K139" s="259"/>
      <c r="L139" s="226"/>
      <c r="M139" s="226"/>
      <c r="N139" s="226"/>
      <c r="O139" s="226"/>
      <c r="P139" s="226"/>
      <c r="Q139" s="226"/>
      <c r="R139" s="226"/>
      <c r="S139" s="226"/>
      <c r="T139" s="226"/>
      <c r="U139" s="226"/>
      <c r="V139" s="226"/>
      <c r="W139" s="226"/>
      <c r="X139" s="226"/>
      <c r="Y139" s="226"/>
      <c r="Z139" s="226"/>
      <c r="AA139" s="226"/>
      <c r="AB139" s="226"/>
      <c r="AC139" s="226"/>
      <c r="AD139" s="226"/>
      <c r="AE139" s="226"/>
      <c r="AF139" s="226"/>
      <c r="AG139" s="226"/>
      <c r="AH139" s="226"/>
      <c r="AI139" s="226"/>
      <c r="AJ139" s="226"/>
      <c r="AK139" s="226"/>
      <c r="AL139" s="226"/>
      <c r="AM139" s="226"/>
      <c r="AN139" s="226"/>
      <c r="AO139" s="226"/>
      <c r="AP139" s="226"/>
      <c r="AQ139" s="226"/>
      <c r="AR139" s="226"/>
      <c r="AS139" s="226"/>
      <c r="AT139" s="226"/>
      <c r="AU139" s="226"/>
      <c r="AV139" s="226"/>
      <c r="AW139" s="226"/>
      <c r="AX139" s="226"/>
      <c r="AY139" s="226"/>
      <c r="AZ139" s="226"/>
      <c r="BA139" s="226"/>
      <c r="BB139" s="226"/>
      <c r="BC139" s="226"/>
      <c r="BD139" s="226"/>
      <c r="BE139" s="226"/>
      <c r="BF139" s="226"/>
      <c r="BG139" s="226"/>
      <c r="BH139" s="226"/>
      <c r="BI139" s="226"/>
      <c r="BJ139" s="226"/>
      <c r="BK139" s="226"/>
      <c r="BL139" s="226"/>
      <c r="BM139" s="226"/>
      <c r="BN139" s="226"/>
      <c r="BO139" s="226"/>
      <c r="BP139" s="226"/>
      <c r="BQ139" s="226"/>
      <c r="BR139" s="226"/>
      <c r="BS139" s="226"/>
      <c r="BT139" s="226"/>
      <c r="BU139" s="226"/>
      <c r="BV139" s="226"/>
      <c r="BW139" s="226"/>
      <c r="BX139" s="226"/>
      <c r="BY139" s="226"/>
      <c r="BZ139" s="226"/>
      <c r="CA139" s="226"/>
      <c r="CB139" s="226"/>
      <c r="CC139" s="226"/>
      <c r="CD139" s="226"/>
      <c r="CE139" s="226"/>
      <c r="CF139" s="226"/>
      <c r="CG139" s="226"/>
      <c r="CH139" s="226"/>
      <c r="CI139" s="226"/>
      <c r="CJ139" s="226"/>
      <c r="CK139" s="226"/>
      <c r="CL139" s="226"/>
      <c r="CM139" s="226"/>
      <c r="CN139" s="226"/>
      <c r="CO139" s="226"/>
      <c r="CP139" s="226"/>
      <c r="CQ139" s="226"/>
      <c r="CR139" s="226"/>
      <c r="CS139" s="226"/>
      <c r="CT139" s="226"/>
      <c r="CU139" s="226"/>
      <c r="CV139" s="226"/>
      <c r="CW139" s="226"/>
      <c r="CX139" s="226"/>
      <c r="CY139" s="226"/>
      <c r="CZ139" s="226"/>
      <c r="DA139" s="226"/>
      <c r="DB139" s="226"/>
      <c r="DC139" s="226"/>
      <c r="DD139" s="226"/>
      <c r="DE139" s="226"/>
      <c r="DF139" s="226"/>
      <c r="DG139" s="226"/>
      <c r="DH139" s="226"/>
      <c r="DI139" s="226"/>
      <c r="DJ139" s="226"/>
      <c r="DK139" s="226"/>
      <c r="DL139" s="226"/>
      <c r="DM139" s="226"/>
      <c r="DN139" s="226"/>
      <c r="DO139" s="226"/>
      <c r="DP139" s="226"/>
      <c r="DQ139" s="226"/>
      <c r="DR139" s="226"/>
      <c r="DS139" s="226"/>
      <c r="DT139" s="226"/>
      <c r="DU139" s="226"/>
      <c r="DV139" s="226"/>
      <c r="DW139" s="226"/>
      <c r="DX139" s="226"/>
      <c r="DY139" s="226"/>
      <c r="DZ139" s="226"/>
      <c r="EA139" s="226"/>
      <c r="EB139" s="226"/>
      <c r="EC139" s="226"/>
      <c r="ED139" s="226"/>
      <c r="EE139" s="226"/>
      <c r="EF139" s="226"/>
      <c r="EG139" s="226"/>
      <c r="EH139" s="226"/>
      <c r="EI139" s="226"/>
      <c r="EJ139" s="226"/>
      <c r="EK139" s="226"/>
      <c r="EL139" s="226"/>
      <c r="EM139" s="226"/>
      <c r="EN139" s="226"/>
      <c r="EO139" s="226"/>
      <c r="EP139" s="226"/>
      <c r="EQ139" s="226"/>
      <c r="ER139" s="226"/>
      <c r="ES139" s="226"/>
      <c r="ET139" s="226"/>
      <c r="EU139" s="226"/>
      <c r="EV139" s="226"/>
      <c r="EW139" s="226"/>
      <c r="EX139" s="226"/>
      <c r="EY139" s="226"/>
      <c r="EZ139" s="226"/>
      <c r="FA139" s="226"/>
      <c r="FB139" s="226"/>
      <c r="FC139" s="226"/>
      <c r="FD139" s="226"/>
      <c r="FE139" s="226"/>
      <c r="FF139" s="226"/>
      <c r="FG139" s="226"/>
      <c r="FH139" s="226"/>
      <c r="FI139" s="226"/>
      <c r="FJ139" s="226"/>
      <c r="FK139" s="226"/>
      <c r="FL139" s="226"/>
      <c r="FM139" s="226"/>
      <c r="FN139" s="226"/>
      <c r="FO139" s="226"/>
      <c r="FP139" s="226"/>
      <c r="FQ139" s="226"/>
      <c r="FR139" s="226"/>
      <c r="FS139" s="226"/>
      <c r="FT139" s="226"/>
      <c r="FU139" s="226"/>
      <c r="FV139" s="226"/>
      <c r="FW139" s="226"/>
      <c r="FX139" s="226"/>
      <c r="FY139" s="226"/>
      <c r="FZ139" s="226"/>
      <c r="GA139" s="226"/>
      <c r="GB139" s="226"/>
      <c r="GC139" s="226"/>
      <c r="GD139" s="226"/>
      <c r="GE139" s="226"/>
      <c r="GF139" s="226"/>
      <c r="GG139" s="226"/>
      <c r="GH139" s="226"/>
    </row>
    <row r="140" spans="1:190" s="225" customFormat="1" ht="15.95" customHeight="1">
      <c r="A140" s="141">
        <v>513</v>
      </c>
      <c r="B140" s="222"/>
      <c r="C140" s="223" t="s">
        <v>144</v>
      </c>
      <c r="D140" s="224"/>
      <c r="E140" s="200"/>
      <c r="F140" s="109"/>
      <c r="G140" s="63"/>
      <c r="I140" s="259"/>
      <c r="J140" s="265"/>
      <c r="K140" s="259"/>
      <c r="L140" s="226"/>
      <c r="M140" s="226"/>
      <c r="N140" s="226"/>
      <c r="O140" s="226"/>
      <c r="P140" s="226"/>
      <c r="Q140" s="226"/>
      <c r="R140" s="226"/>
      <c r="S140" s="226"/>
      <c r="T140" s="226"/>
      <c r="U140" s="226"/>
      <c r="V140" s="226"/>
      <c r="W140" s="226"/>
      <c r="X140" s="226"/>
      <c r="Y140" s="226"/>
      <c r="Z140" s="226"/>
      <c r="AA140" s="226"/>
      <c r="AB140" s="226"/>
      <c r="AC140" s="226"/>
      <c r="AD140" s="226"/>
      <c r="AE140" s="226"/>
      <c r="AF140" s="226"/>
      <c r="AG140" s="226"/>
      <c r="AH140" s="226"/>
      <c r="AI140" s="226"/>
      <c r="AJ140" s="226"/>
      <c r="AK140" s="226"/>
      <c r="AL140" s="226"/>
      <c r="AM140" s="226"/>
      <c r="AN140" s="226"/>
      <c r="AO140" s="226"/>
      <c r="AP140" s="226"/>
      <c r="AQ140" s="226"/>
      <c r="AR140" s="226"/>
      <c r="AS140" s="226"/>
      <c r="AT140" s="226"/>
      <c r="AU140" s="226"/>
      <c r="AV140" s="226"/>
      <c r="AW140" s="226"/>
      <c r="AX140" s="226"/>
      <c r="AY140" s="226"/>
      <c r="AZ140" s="226"/>
      <c r="BA140" s="226"/>
      <c r="BB140" s="226"/>
      <c r="BC140" s="226"/>
      <c r="BD140" s="226"/>
      <c r="BE140" s="226"/>
      <c r="BF140" s="226"/>
      <c r="BG140" s="226"/>
      <c r="BH140" s="226"/>
      <c r="BI140" s="226"/>
      <c r="BJ140" s="226"/>
      <c r="BK140" s="226"/>
      <c r="BL140" s="226"/>
      <c r="BM140" s="226"/>
      <c r="BN140" s="226"/>
      <c r="BO140" s="226"/>
      <c r="BP140" s="226"/>
      <c r="BQ140" s="226"/>
      <c r="BR140" s="226"/>
      <c r="BS140" s="226"/>
      <c r="BT140" s="226"/>
      <c r="BU140" s="226"/>
      <c r="BV140" s="226"/>
      <c r="BW140" s="226"/>
      <c r="BX140" s="226"/>
      <c r="BY140" s="226"/>
      <c r="BZ140" s="226"/>
      <c r="CA140" s="226"/>
      <c r="CB140" s="226"/>
      <c r="CC140" s="226"/>
      <c r="CD140" s="226"/>
      <c r="CE140" s="226"/>
      <c r="CF140" s="226"/>
      <c r="CG140" s="226"/>
      <c r="CH140" s="226"/>
      <c r="CI140" s="226"/>
      <c r="CJ140" s="226"/>
      <c r="CK140" s="226"/>
      <c r="CL140" s="226"/>
      <c r="CM140" s="226"/>
      <c r="CN140" s="226"/>
      <c r="CO140" s="226"/>
      <c r="CP140" s="226"/>
      <c r="CQ140" s="226"/>
      <c r="CR140" s="226"/>
      <c r="CS140" s="226"/>
      <c r="CT140" s="226"/>
      <c r="CU140" s="226"/>
      <c r="CV140" s="226"/>
      <c r="CW140" s="226"/>
      <c r="CX140" s="226"/>
      <c r="CY140" s="226"/>
      <c r="CZ140" s="226"/>
      <c r="DA140" s="226"/>
      <c r="DB140" s="226"/>
      <c r="DC140" s="226"/>
      <c r="DD140" s="226"/>
      <c r="DE140" s="226"/>
      <c r="DF140" s="226"/>
      <c r="DG140" s="226"/>
      <c r="DH140" s="226"/>
      <c r="DI140" s="226"/>
      <c r="DJ140" s="226"/>
      <c r="DK140" s="226"/>
      <c r="DL140" s="226"/>
      <c r="DM140" s="226"/>
      <c r="DN140" s="226"/>
      <c r="DO140" s="226"/>
      <c r="DP140" s="226"/>
      <c r="DQ140" s="226"/>
      <c r="DR140" s="226"/>
      <c r="DS140" s="226"/>
      <c r="DT140" s="226"/>
      <c r="DU140" s="226"/>
      <c r="DV140" s="226"/>
      <c r="DW140" s="226"/>
      <c r="DX140" s="226"/>
      <c r="DY140" s="226"/>
      <c r="DZ140" s="226"/>
      <c r="EA140" s="226"/>
      <c r="EB140" s="226"/>
      <c r="EC140" s="226"/>
      <c r="ED140" s="226"/>
      <c r="EE140" s="226"/>
      <c r="EF140" s="226"/>
      <c r="EG140" s="226"/>
      <c r="EH140" s="226"/>
      <c r="EI140" s="226"/>
      <c r="EJ140" s="226"/>
      <c r="EK140" s="226"/>
      <c r="EL140" s="226"/>
      <c r="EM140" s="226"/>
      <c r="EN140" s="226"/>
      <c r="EO140" s="226"/>
      <c r="EP140" s="226"/>
      <c r="EQ140" s="226"/>
      <c r="ER140" s="226"/>
      <c r="ES140" s="226"/>
      <c r="ET140" s="226"/>
      <c r="EU140" s="226"/>
      <c r="EV140" s="226"/>
      <c r="EW140" s="226"/>
      <c r="EX140" s="226"/>
      <c r="EY140" s="226"/>
      <c r="EZ140" s="226"/>
      <c r="FA140" s="226"/>
      <c r="FB140" s="226"/>
      <c r="FC140" s="226"/>
      <c r="FD140" s="226"/>
      <c r="FE140" s="226"/>
      <c r="FF140" s="226"/>
      <c r="FG140" s="226"/>
      <c r="FH140" s="226"/>
      <c r="FI140" s="226"/>
      <c r="FJ140" s="226"/>
      <c r="FK140" s="226"/>
      <c r="FL140" s="226"/>
      <c r="FM140" s="226"/>
      <c r="FN140" s="226"/>
      <c r="FO140" s="226"/>
      <c r="FP140" s="226"/>
      <c r="FQ140" s="226"/>
      <c r="FR140" s="226"/>
      <c r="FS140" s="226"/>
      <c r="FT140" s="226"/>
      <c r="FU140" s="226"/>
      <c r="FV140" s="226"/>
      <c r="FW140" s="226"/>
      <c r="FX140" s="226"/>
      <c r="FY140" s="226"/>
      <c r="FZ140" s="226"/>
      <c r="GA140" s="226"/>
      <c r="GB140" s="226"/>
      <c r="GC140" s="226"/>
      <c r="GD140" s="226"/>
      <c r="GE140" s="226"/>
      <c r="GF140" s="226"/>
      <c r="GG140" s="226"/>
      <c r="GH140" s="226"/>
    </row>
    <row r="141" spans="1:190" s="225" customFormat="1" ht="30" customHeight="1">
      <c r="A141" s="139" t="s">
        <v>145</v>
      </c>
      <c r="B141" s="202"/>
      <c r="C141" s="231" t="s">
        <v>522</v>
      </c>
      <c r="D141" s="228" t="s">
        <v>1</v>
      </c>
      <c r="E141" s="138">
        <f>K141</f>
        <v>9</v>
      </c>
      <c r="F141" s="108" t="e">
        <f>#REF!</f>
        <v>#REF!</v>
      </c>
      <c r="G141" s="65" t="e">
        <f>+E141*F141</f>
        <v>#REF!</v>
      </c>
      <c r="I141" s="259">
        <f>I134/50</f>
        <v>9</v>
      </c>
      <c r="J141" s="265">
        <v>1</v>
      </c>
      <c r="K141" s="259">
        <f>I141*J141</f>
        <v>9</v>
      </c>
      <c r="L141" s="226"/>
      <c r="M141" s="226"/>
      <c r="N141" s="226"/>
      <c r="O141" s="226"/>
      <c r="P141" s="226"/>
      <c r="Q141" s="226"/>
      <c r="R141" s="226"/>
      <c r="S141" s="226"/>
      <c r="T141" s="226"/>
      <c r="U141" s="226"/>
      <c r="V141" s="226"/>
      <c r="W141" s="226"/>
      <c r="X141" s="226"/>
      <c r="Y141" s="226"/>
      <c r="Z141" s="226"/>
      <c r="AA141" s="226"/>
      <c r="AB141" s="226"/>
      <c r="AC141" s="226"/>
      <c r="AD141" s="226"/>
      <c r="AE141" s="226"/>
      <c r="AF141" s="226"/>
      <c r="AG141" s="226"/>
      <c r="AH141" s="226"/>
      <c r="AI141" s="226"/>
      <c r="AJ141" s="226"/>
      <c r="AK141" s="226"/>
      <c r="AL141" s="226"/>
      <c r="AM141" s="226"/>
      <c r="AN141" s="226"/>
      <c r="AO141" s="226"/>
      <c r="AP141" s="226"/>
      <c r="AQ141" s="226"/>
      <c r="AR141" s="226"/>
      <c r="AS141" s="226"/>
      <c r="AT141" s="226"/>
      <c r="AU141" s="226"/>
      <c r="AV141" s="226"/>
      <c r="AW141" s="226"/>
      <c r="AX141" s="226"/>
      <c r="AY141" s="226"/>
      <c r="AZ141" s="226"/>
      <c r="BA141" s="226"/>
      <c r="BB141" s="226"/>
      <c r="BC141" s="226"/>
      <c r="BD141" s="226"/>
      <c r="BE141" s="226"/>
      <c r="BF141" s="226"/>
      <c r="BG141" s="226"/>
      <c r="BH141" s="226"/>
      <c r="BI141" s="226"/>
      <c r="BJ141" s="226"/>
      <c r="BK141" s="226"/>
      <c r="BL141" s="226"/>
      <c r="BM141" s="226"/>
      <c r="BN141" s="226"/>
      <c r="BO141" s="226"/>
      <c r="BP141" s="226"/>
      <c r="BQ141" s="226"/>
      <c r="BR141" s="226"/>
      <c r="BS141" s="226"/>
      <c r="BT141" s="226"/>
      <c r="BU141" s="226"/>
      <c r="BV141" s="226"/>
      <c r="BW141" s="226"/>
      <c r="BX141" s="226"/>
      <c r="BY141" s="226"/>
      <c r="BZ141" s="226"/>
      <c r="CA141" s="226"/>
      <c r="CB141" s="226"/>
      <c r="CC141" s="226"/>
      <c r="CD141" s="226"/>
      <c r="CE141" s="226"/>
      <c r="CF141" s="226"/>
      <c r="CG141" s="226"/>
      <c r="CH141" s="226"/>
      <c r="CI141" s="226"/>
      <c r="CJ141" s="226"/>
      <c r="CK141" s="226"/>
      <c r="CL141" s="226"/>
      <c r="CM141" s="226"/>
      <c r="CN141" s="226"/>
      <c r="CO141" s="226"/>
      <c r="CP141" s="226"/>
      <c r="CQ141" s="226"/>
      <c r="CR141" s="226"/>
      <c r="CS141" s="226"/>
      <c r="CT141" s="226"/>
      <c r="CU141" s="226"/>
      <c r="CV141" s="226"/>
      <c r="CW141" s="226"/>
      <c r="CX141" s="226"/>
      <c r="CY141" s="226"/>
      <c r="CZ141" s="226"/>
      <c r="DA141" s="226"/>
      <c r="DB141" s="226"/>
      <c r="DC141" s="226"/>
      <c r="DD141" s="226"/>
      <c r="DE141" s="226"/>
      <c r="DF141" s="226"/>
      <c r="DG141" s="226"/>
      <c r="DH141" s="226"/>
      <c r="DI141" s="226"/>
      <c r="DJ141" s="226"/>
      <c r="DK141" s="226"/>
      <c r="DL141" s="226"/>
      <c r="DM141" s="226"/>
      <c r="DN141" s="226"/>
      <c r="DO141" s="226"/>
      <c r="DP141" s="226"/>
      <c r="DQ141" s="226"/>
      <c r="DR141" s="226"/>
      <c r="DS141" s="226"/>
      <c r="DT141" s="226"/>
      <c r="DU141" s="226"/>
      <c r="DV141" s="226"/>
      <c r="DW141" s="226"/>
      <c r="DX141" s="226"/>
      <c r="DY141" s="226"/>
      <c r="DZ141" s="226"/>
      <c r="EA141" s="226"/>
      <c r="EB141" s="226"/>
      <c r="EC141" s="226"/>
      <c r="ED141" s="226"/>
      <c r="EE141" s="226"/>
      <c r="EF141" s="226"/>
      <c r="EG141" s="226"/>
      <c r="EH141" s="226"/>
      <c r="EI141" s="226"/>
      <c r="EJ141" s="226"/>
      <c r="EK141" s="226"/>
      <c r="EL141" s="226"/>
      <c r="EM141" s="226"/>
      <c r="EN141" s="226"/>
      <c r="EO141" s="226"/>
      <c r="EP141" s="226"/>
      <c r="EQ141" s="226"/>
      <c r="ER141" s="226"/>
      <c r="ES141" s="226"/>
      <c r="ET141" s="226"/>
      <c r="EU141" s="226"/>
      <c r="EV141" s="226"/>
      <c r="EW141" s="226"/>
      <c r="EX141" s="226"/>
      <c r="EY141" s="226"/>
      <c r="EZ141" s="226"/>
      <c r="FA141" s="226"/>
      <c r="FB141" s="226"/>
      <c r="FC141" s="226"/>
      <c r="FD141" s="226"/>
      <c r="FE141" s="226"/>
      <c r="FF141" s="226"/>
      <c r="FG141" s="226"/>
      <c r="FH141" s="226"/>
      <c r="FI141" s="226"/>
      <c r="FJ141" s="226"/>
      <c r="FK141" s="226"/>
      <c r="FL141" s="226"/>
      <c r="FM141" s="226"/>
      <c r="FN141" s="226"/>
      <c r="FO141" s="226"/>
      <c r="FP141" s="226"/>
      <c r="FQ141" s="226"/>
      <c r="FR141" s="226"/>
      <c r="FS141" s="226"/>
      <c r="FT141" s="226"/>
      <c r="FU141" s="226"/>
      <c r="FV141" s="226"/>
      <c r="FW141" s="226"/>
      <c r="FX141" s="226"/>
      <c r="FY141" s="226"/>
      <c r="FZ141" s="226"/>
      <c r="GA141" s="226"/>
      <c r="GB141" s="226"/>
      <c r="GC141" s="226"/>
      <c r="GD141" s="226"/>
      <c r="GE141" s="226"/>
      <c r="GF141" s="226"/>
      <c r="GG141" s="226"/>
      <c r="GH141" s="226"/>
    </row>
    <row r="142" spans="1:190" s="225" customFormat="1" ht="15.95" customHeight="1">
      <c r="A142" s="139" t="s">
        <v>214</v>
      </c>
      <c r="B142" s="202"/>
      <c r="C142" s="231" t="s">
        <v>213</v>
      </c>
      <c r="D142" s="228" t="s">
        <v>27</v>
      </c>
      <c r="E142" s="138">
        <f>K142</f>
        <v>842.8</v>
      </c>
      <c r="F142" s="108" t="e">
        <f>#REF!</f>
        <v>#REF!</v>
      </c>
      <c r="G142" s="65" t="e">
        <f>+E142*F142</f>
        <v>#REF!</v>
      </c>
      <c r="I142" s="259">
        <f>SUM(I127:I131)/12</f>
        <v>802.66666666666663</v>
      </c>
      <c r="J142" s="265">
        <v>1.05</v>
      </c>
      <c r="K142" s="259">
        <f>I142*J142</f>
        <v>842.8</v>
      </c>
      <c r="L142" s="226"/>
      <c r="M142" s="226"/>
      <c r="N142" s="226"/>
      <c r="O142" s="226"/>
      <c r="P142" s="226"/>
      <c r="Q142" s="226"/>
      <c r="R142" s="226"/>
      <c r="S142" s="226"/>
      <c r="T142" s="226"/>
      <c r="U142" s="226"/>
      <c r="V142" s="226"/>
      <c r="W142" s="226"/>
      <c r="X142" s="226"/>
      <c r="Y142" s="226"/>
      <c r="Z142" s="226"/>
      <c r="AA142" s="226"/>
      <c r="AB142" s="226"/>
      <c r="AC142" s="226"/>
      <c r="AD142" s="226"/>
      <c r="AE142" s="226"/>
      <c r="AF142" s="226"/>
      <c r="AG142" s="226"/>
      <c r="AH142" s="226"/>
      <c r="AI142" s="226"/>
      <c r="AJ142" s="226"/>
      <c r="AK142" s="226"/>
      <c r="AL142" s="226"/>
      <c r="AM142" s="226"/>
      <c r="AN142" s="226"/>
      <c r="AO142" s="226"/>
      <c r="AP142" s="226"/>
      <c r="AQ142" s="226"/>
      <c r="AR142" s="226"/>
      <c r="AS142" s="226"/>
      <c r="AT142" s="226"/>
      <c r="AU142" s="226"/>
      <c r="AV142" s="226"/>
      <c r="AW142" s="226"/>
      <c r="AX142" s="226"/>
      <c r="AY142" s="226"/>
      <c r="AZ142" s="226"/>
      <c r="BA142" s="226"/>
      <c r="BB142" s="226"/>
      <c r="BC142" s="226"/>
      <c r="BD142" s="226"/>
      <c r="BE142" s="226"/>
      <c r="BF142" s="226"/>
      <c r="BG142" s="226"/>
      <c r="BH142" s="226"/>
      <c r="BI142" s="226"/>
      <c r="BJ142" s="226"/>
      <c r="BK142" s="226"/>
      <c r="BL142" s="226"/>
      <c r="BM142" s="226"/>
      <c r="BN142" s="226"/>
      <c r="BO142" s="226"/>
      <c r="BP142" s="226"/>
      <c r="BQ142" s="226"/>
      <c r="BR142" s="226"/>
      <c r="BS142" s="226"/>
      <c r="BT142" s="226"/>
      <c r="BU142" s="226"/>
      <c r="BV142" s="226"/>
      <c r="BW142" s="226"/>
      <c r="BX142" s="226"/>
      <c r="BY142" s="226"/>
      <c r="BZ142" s="226"/>
      <c r="CA142" s="226"/>
      <c r="CB142" s="226"/>
      <c r="CC142" s="226"/>
      <c r="CD142" s="226"/>
      <c r="CE142" s="226"/>
      <c r="CF142" s="226"/>
      <c r="CG142" s="226"/>
      <c r="CH142" s="226"/>
      <c r="CI142" s="226"/>
      <c r="CJ142" s="226"/>
      <c r="CK142" s="226"/>
      <c r="CL142" s="226"/>
      <c r="CM142" s="226"/>
      <c r="CN142" s="226"/>
      <c r="CO142" s="226"/>
      <c r="CP142" s="226"/>
      <c r="CQ142" s="226"/>
      <c r="CR142" s="226"/>
      <c r="CS142" s="226"/>
      <c r="CT142" s="226"/>
      <c r="CU142" s="226"/>
      <c r="CV142" s="226"/>
      <c r="CW142" s="226"/>
      <c r="CX142" s="226"/>
      <c r="CY142" s="226"/>
      <c r="CZ142" s="226"/>
      <c r="DA142" s="226"/>
      <c r="DB142" s="226"/>
      <c r="DC142" s="226"/>
      <c r="DD142" s="226"/>
      <c r="DE142" s="226"/>
      <c r="DF142" s="226"/>
      <c r="DG142" s="226"/>
      <c r="DH142" s="226"/>
      <c r="DI142" s="226"/>
      <c r="DJ142" s="226"/>
      <c r="DK142" s="226"/>
      <c r="DL142" s="226"/>
      <c r="DM142" s="226"/>
      <c r="DN142" s="226"/>
      <c r="DO142" s="226"/>
      <c r="DP142" s="226"/>
      <c r="DQ142" s="226"/>
      <c r="DR142" s="226"/>
      <c r="DS142" s="226"/>
      <c r="DT142" s="226"/>
      <c r="DU142" s="226"/>
      <c r="DV142" s="226"/>
      <c r="DW142" s="226"/>
      <c r="DX142" s="226"/>
      <c r="DY142" s="226"/>
      <c r="DZ142" s="226"/>
      <c r="EA142" s="226"/>
      <c r="EB142" s="226"/>
      <c r="EC142" s="226"/>
      <c r="ED142" s="226"/>
      <c r="EE142" s="226"/>
      <c r="EF142" s="226"/>
      <c r="EG142" s="226"/>
      <c r="EH142" s="226"/>
      <c r="EI142" s="226"/>
      <c r="EJ142" s="226"/>
      <c r="EK142" s="226"/>
      <c r="EL142" s="226"/>
      <c r="EM142" s="226"/>
      <c r="EN142" s="226"/>
      <c r="EO142" s="226"/>
      <c r="EP142" s="226"/>
      <c r="EQ142" s="226"/>
      <c r="ER142" s="226"/>
      <c r="ES142" s="226"/>
      <c r="ET142" s="226"/>
      <c r="EU142" s="226"/>
      <c r="EV142" s="226"/>
      <c r="EW142" s="226"/>
      <c r="EX142" s="226"/>
      <c r="EY142" s="226"/>
      <c r="EZ142" s="226"/>
      <c r="FA142" s="226"/>
      <c r="FB142" s="226"/>
      <c r="FC142" s="226"/>
      <c r="FD142" s="226"/>
      <c r="FE142" s="226"/>
      <c r="FF142" s="226"/>
      <c r="FG142" s="226"/>
      <c r="FH142" s="226"/>
      <c r="FI142" s="226"/>
      <c r="FJ142" s="226"/>
      <c r="FK142" s="226"/>
      <c r="FL142" s="226"/>
      <c r="FM142" s="226"/>
      <c r="FN142" s="226"/>
      <c r="FO142" s="226"/>
      <c r="FP142" s="226"/>
      <c r="FQ142" s="226"/>
      <c r="FR142" s="226"/>
      <c r="FS142" s="226"/>
      <c r="FT142" s="226"/>
      <c r="FU142" s="226"/>
      <c r="FV142" s="226"/>
      <c r="FW142" s="226"/>
      <c r="FX142" s="226"/>
      <c r="FY142" s="226"/>
      <c r="FZ142" s="226"/>
      <c r="GA142" s="226"/>
      <c r="GB142" s="226"/>
      <c r="GC142" s="226"/>
      <c r="GD142" s="226"/>
      <c r="GE142" s="226"/>
      <c r="GF142" s="226"/>
      <c r="GG142" s="226"/>
      <c r="GH142" s="226"/>
    </row>
    <row r="143" spans="1:190" s="225" customFormat="1" ht="18" customHeight="1">
      <c r="A143" s="17"/>
      <c r="B143" s="229"/>
      <c r="C143" s="230"/>
      <c r="D143" s="228"/>
      <c r="E143" s="138"/>
      <c r="F143" s="108"/>
      <c r="G143" s="65"/>
      <c r="I143" s="259"/>
      <c r="J143" s="265"/>
      <c r="K143" s="259"/>
      <c r="L143" s="226"/>
      <c r="M143" s="226"/>
      <c r="N143" s="226"/>
      <c r="O143" s="226"/>
      <c r="P143" s="226"/>
      <c r="Q143" s="226"/>
      <c r="R143" s="226"/>
      <c r="S143" s="226"/>
      <c r="T143" s="226"/>
      <c r="U143" s="226"/>
      <c r="V143" s="226"/>
      <c r="W143" s="226"/>
      <c r="X143" s="226"/>
      <c r="Y143" s="226"/>
      <c r="Z143" s="226"/>
      <c r="AA143" s="226"/>
      <c r="AB143" s="226"/>
      <c r="AC143" s="226"/>
      <c r="AD143" s="226"/>
      <c r="AE143" s="226"/>
      <c r="AF143" s="226"/>
      <c r="AG143" s="226"/>
      <c r="AH143" s="226"/>
      <c r="AI143" s="226"/>
      <c r="AJ143" s="226"/>
      <c r="AK143" s="226"/>
      <c r="AL143" s="226"/>
      <c r="AM143" s="226"/>
      <c r="AN143" s="226"/>
      <c r="AO143" s="226"/>
      <c r="AP143" s="226"/>
      <c r="AQ143" s="226"/>
      <c r="AR143" s="226"/>
      <c r="AS143" s="226"/>
      <c r="AT143" s="226"/>
      <c r="AU143" s="226"/>
      <c r="AV143" s="226"/>
      <c r="AW143" s="226"/>
      <c r="AX143" s="226"/>
      <c r="AY143" s="226"/>
      <c r="AZ143" s="226"/>
      <c r="BA143" s="226"/>
      <c r="BB143" s="226"/>
      <c r="BC143" s="226"/>
      <c r="BD143" s="226"/>
      <c r="BE143" s="226"/>
      <c r="BF143" s="226"/>
      <c r="BG143" s="226"/>
      <c r="BH143" s="226"/>
      <c r="BI143" s="226"/>
      <c r="BJ143" s="226"/>
      <c r="BK143" s="226"/>
      <c r="BL143" s="226"/>
      <c r="BM143" s="226"/>
      <c r="BN143" s="226"/>
      <c r="BO143" s="226"/>
      <c r="BP143" s="226"/>
      <c r="BQ143" s="226"/>
      <c r="BR143" s="226"/>
      <c r="BS143" s="226"/>
      <c r="BT143" s="226"/>
      <c r="BU143" s="226"/>
      <c r="BV143" s="226"/>
      <c r="BW143" s="226"/>
      <c r="BX143" s="226"/>
      <c r="BY143" s="226"/>
      <c r="BZ143" s="226"/>
      <c r="CA143" s="226"/>
      <c r="CB143" s="226"/>
      <c r="CC143" s="226"/>
      <c r="CD143" s="226"/>
      <c r="CE143" s="226"/>
      <c r="CF143" s="226"/>
      <c r="CG143" s="226"/>
      <c r="CH143" s="226"/>
      <c r="CI143" s="226"/>
      <c r="CJ143" s="226"/>
      <c r="CK143" s="226"/>
      <c r="CL143" s="226"/>
      <c r="CM143" s="226"/>
      <c r="CN143" s="226"/>
      <c r="CO143" s="226"/>
      <c r="CP143" s="226"/>
      <c r="CQ143" s="226"/>
      <c r="CR143" s="226"/>
      <c r="CS143" s="226"/>
      <c r="CT143" s="226"/>
      <c r="CU143" s="226"/>
      <c r="CV143" s="226"/>
      <c r="CW143" s="226"/>
      <c r="CX143" s="226"/>
      <c r="CY143" s="226"/>
      <c r="CZ143" s="226"/>
      <c r="DA143" s="226"/>
      <c r="DB143" s="226"/>
      <c r="DC143" s="226"/>
      <c r="DD143" s="226"/>
      <c r="DE143" s="226"/>
      <c r="DF143" s="226"/>
      <c r="DG143" s="226"/>
      <c r="DH143" s="226"/>
      <c r="DI143" s="226"/>
      <c r="DJ143" s="226"/>
      <c r="DK143" s="226"/>
      <c r="DL143" s="226"/>
      <c r="DM143" s="226"/>
      <c r="DN143" s="226"/>
      <c r="DO143" s="226"/>
      <c r="DP143" s="226"/>
      <c r="DQ143" s="226"/>
      <c r="DR143" s="226"/>
      <c r="DS143" s="226"/>
      <c r="DT143" s="226"/>
      <c r="DU143" s="226"/>
      <c r="DV143" s="226"/>
      <c r="DW143" s="226"/>
      <c r="DX143" s="226"/>
      <c r="DY143" s="226"/>
      <c r="DZ143" s="226"/>
      <c r="EA143" s="226"/>
      <c r="EB143" s="226"/>
      <c r="EC143" s="226"/>
      <c r="ED143" s="226"/>
      <c r="EE143" s="226"/>
      <c r="EF143" s="226"/>
      <c r="EG143" s="226"/>
      <c r="EH143" s="226"/>
      <c r="EI143" s="226"/>
      <c r="EJ143" s="226"/>
      <c r="EK143" s="226"/>
      <c r="EL143" s="226"/>
      <c r="EM143" s="226"/>
      <c r="EN143" s="226"/>
      <c r="EO143" s="226"/>
      <c r="EP143" s="226"/>
      <c r="EQ143" s="226"/>
      <c r="ER143" s="226"/>
      <c r="ES143" s="226"/>
      <c r="ET143" s="226"/>
      <c r="EU143" s="226"/>
      <c r="EV143" s="226"/>
      <c r="EW143" s="226"/>
      <c r="EX143" s="226"/>
      <c r="EY143" s="226"/>
      <c r="EZ143" s="226"/>
      <c r="FA143" s="226"/>
      <c r="FB143" s="226"/>
      <c r="FC143" s="226"/>
      <c r="FD143" s="226"/>
      <c r="FE143" s="226"/>
      <c r="FF143" s="226"/>
      <c r="FG143" s="226"/>
      <c r="FH143" s="226"/>
      <c r="FI143" s="226"/>
      <c r="FJ143" s="226"/>
      <c r="FK143" s="226"/>
      <c r="FL143" s="226"/>
      <c r="FM143" s="226"/>
      <c r="FN143" s="226"/>
      <c r="FO143" s="226"/>
      <c r="FP143" s="226"/>
      <c r="FQ143" s="226"/>
      <c r="FR143" s="226"/>
      <c r="FS143" s="226"/>
      <c r="FT143" s="226"/>
      <c r="FU143" s="226"/>
      <c r="FV143" s="226"/>
      <c r="FW143" s="226"/>
      <c r="FX143" s="226"/>
      <c r="FY143" s="226"/>
      <c r="FZ143" s="226"/>
      <c r="GA143" s="226"/>
      <c r="GB143" s="226"/>
      <c r="GC143" s="226"/>
      <c r="GD143" s="226"/>
      <c r="GE143" s="226"/>
      <c r="GF143" s="226"/>
      <c r="GG143" s="226"/>
      <c r="GH143" s="226"/>
    </row>
    <row r="144" spans="1:190" s="225" customFormat="1" ht="16.5" customHeight="1">
      <c r="A144" s="141">
        <v>515</v>
      </c>
      <c r="B144" s="222"/>
      <c r="C144" s="43" t="s">
        <v>148</v>
      </c>
      <c r="D144" s="248"/>
      <c r="E144" s="249"/>
      <c r="F144" s="109"/>
      <c r="G144" s="63"/>
      <c r="I144" s="259"/>
      <c r="J144" s="265"/>
      <c r="K144" s="259"/>
      <c r="L144" s="226"/>
      <c r="M144" s="226"/>
      <c r="N144" s="226"/>
      <c r="O144" s="226"/>
      <c r="P144" s="226"/>
      <c r="Q144" s="226"/>
      <c r="R144" s="226"/>
      <c r="S144" s="226"/>
      <c r="T144" s="226"/>
      <c r="U144" s="226"/>
      <c r="V144" s="226"/>
      <c r="W144" s="226"/>
      <c r="X144" s="226"/>
      <c r="Y144" s="226"/>
      <c r="Z144" s="226"/>
      <c r="AA144" s="226"/>
      <c r="AB144" s="226"/>
      <c r="AC144" s="226"/>
      <c r="AD144" s="226"/>
      <c r="AE144" s="226"/>
      <c r="AF144" s="226"/>
      <c r="AG144" s="226"/>
      <c r="AH144" s="226"/>
      <c r="AI144" s="226"/>
      <c r="AJ144" s="226"/>
      <c r="AK144" s="226"/>
      <c r="AL144" s="226"/>
      <c r="AM144" s="226"/>
      <c r="AN144" s="226"/>
      <c r="AO144" s="226"/>
      <c r="AP144" s="226"/>
      <c r="AQ144" s="226"/>
      <c r="AR144" s="226"/>
      <c r="AS144" s="226"/>
      <c r="AT144" s="226"/>
      <c r="AU144" s="226"/>
      <c r="AV144" s="226"/>
      <c r="AW144" s="226"/>
      <c r="AX144" s="226"/>
      <c r="AY144" s="226"/>
      <c r="AZ144" s="226"/>
      <c r="BA144" s="226"/>
      <c r="BB144" s="226"/>
      <c r="BC144" s="226"/>
      <c r="BD144" s="226"/>
      <c r="BE144" s="226"/>
      <c r="BF144" s="226"/>
      <c r="BG144" s="226"/>
      <c r="BH144" s="226"/>
      <c r="BI144" s="226"/>
      <c r="BJ144" s="226"/>
      <c r="BK144" s="226"/>
      <c r="BL144" s="226"/>
      <c r="BM144" s="226"/>
      <c r="BN144" s="226"/>
      <c r="BO144" s="226"/>
      <c r="BP144" s="226"/>
      <c r="BQ144" s="226"/>
      <c r="BR144" s="226"/>
      <c r="BS144" s="226"/>
      <c r="BT144" s="226"/>
      <c r="BU144" s="226"/>
      <c r="BV144" s="226"/>
      <c r="BW144" s="226"/>
      <c r="BX144" s="226"/>
      <c r="BY144" s="226"/>
      <c r="BZ144" s="226"/>
      <c r="CA144" s="226"/>
      <c r="CB144" s="226"/>
      <c r="CC144" s="226"/>
      <c r="CD144" s="226"/>
      <c r="CE144" s="226"/>
      <c r="CF144" s="226"/>
      <c r="CG144" s="226"/>
      <c r="CH144" s="226"/>
      <c r="CI144" s="226"/>
      <c r="CJ144" s="226"/>
      <c r="CK144" s="226"/>
      <c r="CL144" s="226"/>
      <c r="CM144" s="226"/>
      <c r="CN144" s="226"/>
      <c r="CO144" s="226"/>
      <c r="CP144" s="226"/>
      <c r="CQ144" s="226"/>
      <c r="CR144" s="226"/>
      <c r="CS144" s="226"/>
      <c r="CT144" s="226"/>
      <c r="CU144" s="226"/>
      <c r="CV144" s="226"/>
      <c r="CW144" s="226"/>
      <c r="CX144" s="226"/>
      <c r="CY144" s="226"/>
      <c r="CZ144" s="226"/>
      <c r="DA144" s="226"/>
      <c r="DB144" s="226"/>
      <c r="DC144" s="226"/>
      <c r="DD144" s="226"/>
      <c r="DE144" s="226"/>
      <c r="DF144" s="226"/>
      <c r="DG144" s="226"/>
      <c r="DH144" s="226"/>
      <c r="DI144" s="226"/>
      <c r="DJ144" s="226"/>
      <c r="DK144" s="226"/>
      <c r="DL144" s="226"/>
      <c r="DM144" s="226"/>
      <c r="DN144" s="226"/>
      <c r="DO144" s="226"/>
      <c r="DP144" s="226"/>
      <c r="DQ144" s="226"/>
      <c r="DR144" s="226"/>
      <c r="DS144" s="226"/>
      <c r="DT144" s="226"/>
      <c r="DU144" s="226"/>
      <c r="DV144" s="226"/>
      <c r="DW144" s="226"/>
      <c r="DX144" s="226"/>
      <c r="DY144" s="226"/>
      <c r="DZ144" s="226"/>
      <c r="EA144" s="226"/>
      <c r="EB144" s="226"/>
      <c r="EC144" s="226"/>
      <c r="ED144" s="226"/>
      <c r="EE144" s="226"/>
      <c r="EF144" s="226"/>
      <c r="EG144" s="226"/>
      <c r="EH144" s="226"/>
      <c r="EI144" s="226"/>
      <c r="EJ144" s="226"/>
      <c r="EK144" s="226"/>
      <c r="EL144" s="226"/>
      <c r="EM144" s="226"/>
      <c r="EN144" s="226"/>
      <c r="EO144" s="226"/>
      <c r="EP144" s="226"/>
      <c r="EQ144" s="226"/>
      <c r="ER144" s="226"/>
      <c r="ES144" s="226"/>
      <c r="ET144" s="226"/>
      <c r="EU144" s="226"/>
      <c r="EV144" s="226"/>
      <c r="EW144" s="226"/>
      <c r="EX144" s="226"/>
      <c r="EY144" s="226"/>
      <c r="EZ144" s="226"/>
      <c r="FA144" s="226"/>
      <c r="FB144" s="226"/>
      <c r="FC144" s="226"/>
      <c r="FD144" s="226"/>
      <c r="FE144" s="226"/>
      <c r="FF144" s="226"/>
      <c r="FG144" s="226"/>
      <c r="FH144" s="226"/>
      <c r="FI144" s="226"/>
      <c r="FJ144" s="226"/>
      <c r="FK144" s="226"/>
      <c r="FL144" s="226"/>
      <c r="FM144" s="226"/>
      <c r="FN144" s="226"/>
      <c r="FO144" s="226"/>
      <c r="FP144" s="226"/>
      <c r="FQ144" s="226"/>
      <c r="FR144" s="226"/>
      <c r="FS144" s="226"/>
      <c r="FT144" s="226"/>
      <c r="FU144" s="226"/>
      <c r="FV144" s="226"/>
      <c r="FW144" s="226"/>
      <c r="FX144" s="226"/>
      <c r="FY144" s="226"/>
      <c r="FZ144" s="226"/>
      <c r="GA144" s="226"/>
      <c r="GB144" s="226"/>
      <c r="GC144" s="226"/>
      <c r="GD144" s="226"/>
      <c r="GE144" s="226"/>
      <c r="GF144" s="226"/>
      <c r="GG144" s="226"/>
      <c r="GH144" s="226"/>
    </row>
    <row r="145" spans="1:190" s="225" customFormat="1" ht="15.95" customHeight="1">
      <c r="A145" s="143" t="s">
        <v>150</v>
      </c>
      <c r="B145" s="250"/>
      <c r="C145" s="242" t="s">
        <v>221</v>
      </c>
      <c r="D145" s="251" t="s">
        <v>27</v>
      </c>
      <c r="E145" s="82">
        <f>K145</f>
        <v>2</v>
      </c>
      <c r="F145" s="107" t="e">
        <f>#REF!</f>
        <v>#REF!</v>
      </c>
      <c r="G145" s="64" t="e">
        <f>+E145*F145</f>
        <v>#REF!</v>
      </c>
      <c r="I145" s="259">
        <v>2</v>
      </c>
      <c r="J145" s="265">
        <v>1</v>
      </c>
      <c r="K145" s="259">
        <f>I145*J145</f>
        <v>2</v>
      </c>
      <c r="L145" s="226"/>
      <c r="M145" s="226"/>
      <c r="N145" s="226"/>
      <c r="O145" s="226"/>
      <c r="P145" s="226"/>
      <c r="Q145" s="226"/>
      <c r="R145" s="226"/>
      <c r="S145" s="226"/>
      <c r="T145" s="226"/>
      <c r="U145" s="226"/>
      <c r="V145" s="226"/>
      <c r="W145" s="226"/>
      <c r="X145" s="226"/>
      <c r="Y145" s="226"/>
      <c r="Z145" s="226"/>
      <c r="AA145" s="226"/>
      <c r="AB145" s="226"/>
      <c r="AC145" s="226"/>
      <c r="AD145" s="226"/>
      <c r="AE145" s="226"/>
      <c r="AF145" s="226"/>
      <c r="AG145" s="226"/>
      <c r="AH145" s="226"/>
      <c r="AI145" s="226"/>
      <c r="AJ145" s="226"/>
      <c r="AK145" s="226"/>
      <c r="AL145" s="226"/>
      <c r="AM145" s="226"/>
      <c r="AN145" s="226"/>
      <c r="AO145" s="226"/>
      <c r="AP145" s="226"/>
      <c r="AQ145" s="226"/>
      <c r="AR145" s="226"/>
      <c r="AS145" s="226"/>
      <c r="AT145" s="226"/>
      <c r="AU145" s="226"/>
      <c r="AV145" s="226"/>
      <c r="AW145" s="226"/>
      <c r="AX145" s="226"/>
      <c r="AY145" s="226"/>
      <c r="AZ145" s="226"/>
      <c r="BA145" s="226"/>
      <c r="BB145" s="226"/>
      <c r="BC145" s="226"/>
      <c r="BD145" s="226"/>
      <c r="BE145" s="226"/>
      <c r="BF145" s="226"/>
      <c r="BG145" s="226"/>
      <c r="BH145" s="226"/>
      <c r="BI145" s="226"/>
      <c r="BJ145" s="226"/>
      <c r="BK145" s="226"/>
      <c r="BL145" s="226"/>
      <c r="BM145" s="226"/>
      <c r="BN145" s="226"/>
      <c r="BO145" s="226"/>
      <c r="BP145" s="226"/>
      <c r="BQ145" s="226"/>
      <c r="BR145" s="226"/>
      <c r="BS145" s="226"/>
      <c r="BT145" s="226"/>
      <c r="BU145" s="226"/>
      <c r="BV145" s="226"/>
      <c r="BW145" s="226"/>
      <c r="BX145" s="226"/>
      <c r="BY145" s="226"/>
      <c r="BZ145" s="226"/>
      <c r="CA145" s="226"/>
      <c r="CB145" s="226"/>
      <c r="CC145" s="226"/>
      <c r="CD145" s="226"/>
      <c r="CE145" s="226"/>
      <c r="CF145" s="226"/>
      <c r="CG145" s="226"/>
      <c r="CH145" s="226"/>
      <c r="CI145" s="226"/>
      <c r="CJ145" s="226"/>
      <c r="CK145" s="226"/>
      <c r="CL145" s="226"/>
      <c r="CM145" s="226"/>
      <c r="CN145" s="226"/>
      <c r="CO145" s="226"/>
      <c r="CP145" s="226"/>
      <c r="CQ145" s="226"/>
      <c r="CR145" s="226"/>
      <c r="CS145" s="226"/>
      <c r="CT145" s="226"/>
      <c r="CU145" s="226"/>
      <c r="CV145" s="226"/>
      <c r="CW145" s="226"/>
      <c r="CX145" s="226"/>
      <c r="CY145" s="226"/>
      <c r="CZ145" s="226"/>
      <c r="DA145" s="226"/>
      <c r="DB145" s="226"/>
      <c r="DC145" s="226"/>
      <c r="DD145" s="226"/>
      <c r="DE145" s="226"/>
      <c r="DF145" s="226"/>
      <c r="DG145" s="226"/>
      <c r="DH145" s="226"/>
      <c r="DI145" s="226"/>
      <c r="DJ145" s="226"/>
      <c r="DK145" s="226"/>
      <c r="DL145" s="226"/>
      <c r="DM145" s="226"/>
      <c r="DN145" s="226"/>
      <c r="DO145" s="226"/>
      <c r="DP145" s="226"/>
      <c r="DQ145" s="226"/>
      <c r="DR145" s="226"/>
      <c r="DS145" s="226"/>
      <c r="DT145" s="226"/>
      <c r="DU145" s="226"/>
      <c r="DV145" s="226"/>
      <c r="DW145" s="226"/>
      <c r="DX145" s="226"/>
      <c r="DY145" s="226"/>
      <c r="DZ145" s="226"/>
      <c r="EA145" s="226"/>
      <c r="EB145" s="226"/>
      <c r="EC145" s="226"/>
      <c r="ED145" s="226"/>
      <c r="EE145" s="226"/>
      <c r="EF145" s="226"/>
      <c r="EG145" s="226"/>
      <c r="EH145" s="226"/>
      <c r="EI145" s="226"/>
      <c r="EJ145" s="226"/>
      <c r="EK145" s="226"/>
      <c r="EL145" s="226"/>
      <c r="EM145" s="226"/>
      <c r="EN145" s="226"/>
      <c r="EO145" s="226"/>
      <c r="EP145" s="226"/>
      <c r="EQ145" s="226"/>
      <c r="ER145" s="226"/>
      <c r="ES145" s="226"/>
      <c r="ET145" s="226"/>
      <c r="EU145" s="226"/>
      <c r="EV145" s="226"/>
      <c r="EW145" s="226"/>
      <c r="EX145" s="226"/>
      <c r="EY145" s="226"/>
      <c r="EZ145" s="226"/>
      <c r="FA145" s="226"/>
      <c r="FB145" s="226"/>
      <c r="FC145" s="226"/>
      <c r="FD145" s="226"/>
      <c r="FE145" s="226"/>
      <c r="FF145" s="226"/>
      <c r="FG145" s="226"/>
      <c r="FH145" s="226"/>
      <c r="FI145" s="226"/>
      <c r="FJ145" s="226"/>
      <c r="FK145" s="226"/>
      <c r="FL145" s="226"/>
      <c r="FM145" s="226"/>
      <c r="FN145" s="226"/>
      <c r="FO145" s="226"/>
      <c r="FP145" s="226"/>
      <c r="FQ145" s="226"/>
      <c r="FR145" s="226"/>
      <c r="FS145" s="226"/>
      <c r="FT145" s="226"/>
      <c r="FU145" s="226"/>
      <c r="FV145" s="226"/>
      <c r="FW145" s="226"/>
      <c r="FX145" s="226"/>
      <c r="FY145" s="226"/>
      <c r="FZ145" s="226"/>
      <c r="GA145" s="226"/>
      <c r="GB145" s="226"/>
      <c r="GC145" s="226"/>
      <c r="GD145" s="226"/>
      <c r="GE145" s="226"/>
      <c r="GF145" s="226"/>
      <c r="GG145" s="226"/>
      <c r="GH145" s="226"/>
    </row>
    <row r="146" spans="1:190" s="225" customFormat="1" ht="16.5" customHeight="1">
      <c r="A146" s="141">
        <v>516</v>
      </c>
      <c r="B146" s="222"/>
      <c r="C146" s="43" t="s">
        <v>151</v>
      </c>
      <c r="D146" s="248"/>
      <c r="E146" s="249"/>
      <c r="F146" s="109"/>
      <c r="G146" s="63"/>
      <c r="I146" s="259"/>
      <c r="J146" s="265"/>
      <c r="K146" s="259"/>
      <c r="L146" s="226"/>
      <c r="M146" s="226"/>
      <c r="N146" s="226"/>
      <c r="O146" s="226"/>
      <c r="P146" s="226"/>
      <c r="Q146" s="226"/>
      <c r="R146" s="226"/>
      <c r="S146" s="226"/>
      <c r="T146" s="226"/>
      <c r="U146" s="226"/>
      <c r="V146" s="226"/>
      <c r="W146" s="226"/>
      <c r="X146" s="226"/>
      <c r="Y146" s="226"/>
      <c r="Z146" s="226"/>
      <c r="AA146" s="226"/>
      <c r="AB146" s="226"/>
      <c r="AC146" s="226"/>
      <c r="AD146" s="226"/>
      <c r="AE146" s="226"/>
      <c r="AF146" s="226"/>
      <c r="AG146" s="226"/>
      <c r="AH146" s="226"/>
      <c r="AI146" s="226"/>
      <c r="AJ146" s="226"/>
      <c r="AK146" s="226"/>
      <c r="AL146" s="226"/>
      <c r="AM146" s="226"/>
      <c r="AN146" s="226"/>
      <c r="AO146" s="226"/>
      <c r="AP146" s="226"/>
      <c r="AQ146" s="226"/>
      <c r="AR146" s="226"/>
      <c r="AS146" s="226"/>
      <c r="AT146" s="226"/>
      <c r="AU146" s="226"/>
      <c r="AV146" s="226"/>
      <c r="AW146" s="226"/>
      <c r="AX146" s="226"/>
      <c r="AY146" s="226"/>
      <c r="AZ146" s="226"/>
      <c r="BA146" s="226"/>
      <c r="BB146" s="226"/>
      <c r="BC146" s="226"/>
      <c r="BD146" s="226"/>
      <c r="BE146" s="226"/>
      <c r="BF146" s="226"/>
      <c r="BG146" s="226"/>
      <c r="BH146" s="226"/>
      <c r="BI146" s="226"/>
      <c r="BJ146" s="226"/>
      <c r="BK146" s="226"/>
      <c r="BL146" s="226"/>
      <c r="BM146" s="226"/>
      <c r="BN146" s="226"/>
      <c r="BO146" s="226"/>
      <c r="BP146" s="226"/>
      <c r="BQ146" s="226"/>
      <c r="BR146" s="226"/>
      <c r="BS146" s="226"/>
      <c r="BT146" s="226"/>
      <c r="BU146" s="226"/>
      <c r="BV146" s="226"/>
      <c r="BW146" s="226"/>
      <c r="BX146" s="226"/>
      <c r="BY146" s="226"/>
      <c r="BZ146" s="226"/>
      <c r="CA146" s="226"/>
      <c r="CB146" s="226"/>
      <c r="CC146" s="226"/>
      <c r="CD146" s="226"/>
      <c r="CE146" s="226"/>
      <c r="CF146" s="226"/>
      <c r="CG146" s="226"/>
      <c r="CH146" s="226"/>
      <c r="CI146" s="226"/>
      <c r="CJ146" s="226"/>
      <c r="CK146" s="226"/>
      <c r="CL146" s="226"/>
      <c r="CM146" s="226"/>
      <c r="CN146" s="226"/>
      <c r="CO146" s="226"/>
      <c r="CP146" s="226"/>
      <c r="CQ146" s="226"/>
      <c r="CR146" s="226"/>
      <c r="CS146" s="226"/>
      <c r="CT146" s="226"/>
      <c r="CU146" s="226"/>
      <c r="CV146" s="226"/>
      <c r="CW146" s="226"/>
      <c r="CX146" s="226"/>
      <c r="CY146" s="226"/>
      <c r="CZ146" s="226"/>
      <c r="DA146" s="226"/>
      <c r="DB146" s="226"/>
      <c r="DC146" s="226"/>
      <c r="DD146" s="226"/>
      <c r="DE146" s="226"/>
      <c r="DF146" s="226"/>
      <c r="DG146" s="226"/>
      <c r="DH146" s="226"/>
      <c r="DI146" s="226"/>
      <c r="DJ146" s="226"/>
      <c r="DK146" s="226"/>
      <c r="DL146" s="226"/>
      <c r="DM146" s="226"/>
      <c r="DN146" s="226"/>
      <c r="DO146" s="226"/>
      <c r="DP146" s="226"/>
      <c r="DQ146" s="226"/>
      <c r="DR146" s="226"/>
      <c r="DS146" s="226"/>
      <c r="DT146" s="226"/>
      <c r="DU146" s="226"/>
      <c r="DV146" s="226"/>
      <c r="DW146" s="226"/>
      <c r="DX146" s="226"/>
      <c r="DY146" s="226"/>
      <c r="DZ146" s="226"/>
      <c r="EA146" s="226"/>
      <c r="EB146" s="226"/>
      <c r="EC146" s="226"/>
      <c r="ED146" s="226"/>
      <c r="EE146" s="226"/>
      <c r="EF146" s="226"/>
      <c r="EG146" s="226"/>
      <c r="EH146" s="226"/>
      <c r="EI146" s="226"/>
      <c r="EJ146" s="226"/>
      <c r="EK146" s="226"/>
      <c r="EL146" s="226"/>
      <c r="EM146" s="226"/>
      <c r="EN146" s="226"/>
      <c r="EO146" s="226"/>
      <c r="EP146" s="226"/>
      <c r="EQ146" s="226"/>
      <c r="ER146" s="226"/>
      <c r="ES146" s="226"/>
      <c r="ET146" s="226"/>
      <c r="EU146" s="226"/>
      <c r="EV146" s="226"/>
      <c r="EW146" s="226"/>
      <c r="EX146" s="226"/>
      <c r="EY146" s="226"/>
      <c r="EZ146" s="226"/>
      <c r="FA146" s="226"/>
      <c r="FB146" s="226"/>
      <c r="FC146" s="226"/>
      <c r="FD146" s="226"/>
      <c r="FE146" s="226"/>
      <c r="FF146" s="226"/>
      <c r="FG146" s="226"/>
      <c r="FH146" s="226"/>
      <c r="FI146" s="226"/>
      <c r="FJ146" s="226"/>
      <c r="FK146" s="226"/>
      <c r="FL146" s="226"/>
      <c r="FM146" s="226"/>
      <c r="FN146" s="226"/>
      <c r="FO146" s="226"/>
      <c r="FP146" s="226"/>
      <c r="FQ146" s="226"/>
      <c r="FR146" s="226"/>
      <c r="FS146" s="226"/>
      <c r="FT146" s="226"/>
      <c r="FU146" s="226"/>
      <c r="FV146" s="226"/>
      <c r="FW146" s="226"/>
      <c r="FX146" s="226"/>
      <c r="FY146" s="226"/>
      <c r="FZ146" s="226"/>
      <c r="GA146" s="226"/>
      <c r="GB146" s="226"/>
      <c r="GC146" s="226"/>
      <c r="GD146" s="226"/>
      <c r="GE146" s="226"/>
      <c r="GF146" s="226"/>
      <c r="GG146" s="226"/>
      <c r="GH146" s="226"/>
    </row>
    <row r="147" spans="1:190" s="225" customFormat="1" ht="15.95" customHeight="1">
      <c r="A147" s="143"/>
      <c r="B147" s="250"/>
      <c r="C147" s="196"/>
      <c r="D147" s="251" t="s">
        <v>1</v>
      </c>
      <c r="E147" s="82">
        <f>K147</f>
        <v>1854.3000000000002</v>
      </c>
      <c r="F147" s="107" t="e">
        <f>#REF!</f>
        <v>#REF!</v>
      </c>
      <c r="G147" s="64" t="e">
        <f>+E147*F147</f>
        <v>#REF!</v>
      </c>
      <c r="I147" s="259">
        <f>G5+2*G6</f>
        <v>1766</v>
      </c>
      <c r="J147" s="265">
        <v>1.05</v>
      </c>
      <c r="K147" s="259">
        <f>I147*J147</f>
        <v>1854.3000000000002</v>
      </c>
      <c r="L147" s="226"/>
      <c r="M147" s="226"/>
      <c r="N147" s="226"/>
      <c r="O147" s="226"/>
      <c r="P147" s="226"/>
      <c r="Q147" s="226"/>
      <c r="R147" s="226"/>
      <c r="S147" s="226"/>
      <c r="T147" s="226"/>
      <c r="U147" s="226"/>
      <c r="V147" s="226"/>
      <c r="W147" s="226"/>
      <c r="X147" s="226"/>
      <c r="Y147" s="226"/>
      <c r="Z147" s="226"/>
      <c r="AA147" s="226"/>
      <c r="AB147" s="226"/>
      <c r="AC147" s="226"/>
      <c r="AD147" s="226"/>
      <c r="AE147" s="226"/>
      <c r="AF147" s="226"/>
      <c r="AG147" s="226"/>
      <c r="AH147" s="226"/>
      <c r="AI147" s="226"/>
      <c r="AJ147" s="226"/>
      <c r="AK147" s="226"/>
      <c r="AL147" s="226"/>
      <c r="AM147" s="226"/>
      <c r="AN147" s="226"/>
      <c r="AO147" s="226"/>
      <c r="AP147" s="226"/>
      <c r="AQ147" s="226"/>
      <c r="AR147" s="226"/>
      <c r="AS147" s="226"/>
      <c r="AT147" s="226"/>
      <c r="AU147" s="226"/>
      <c r="AV147" s="226"/>
      <c r="AW147" s="226"/>
      <c r="AX147" s="226"/>
      <c r="AY147" s="226"/>
      <c r="AZ147" s="226"/>
      <c r="BA147" s="226"/>
      <c r="BB147" s="226"/>
      <c r="BC147" s="226"/>
      <c r="BD147" s="226"/>
      <c r="BE147" s="226"/>
      <c r="BF147" s="226"/>
      <c r="BG147" s="226"/>
      <c r="BH147" s="226"/>
      <c r="BI147" s="226"/>
      <c r="BJ147" s="226"/>
      <c r="BK147" s="226"/>
      <c r="BL147" s="226"/>
      <c r="BM147" s="226"/>
      <c r="BN147" s="226"/>
      <c r="BO147" s="226"/>
      <c r="BP147" s="226"/>
      <c r="BQ147" s="226"/>
      <c r="BR147" s="226"/>
      <c r="BS147" s="226"/>
      <c r="BT147" s="226"/>
      <c r="BU147" s="226"/>
      <c r="BV147" s="226"/>
      <c r="BW147" s="226"/>
      <c r="BX147" s="226"/>
      <c r="BY147" s="226"/>
      <c r="BZ147" s="226"/>
      <c r="CA147" s="226"/>
      <c r="CB147" s="226"/>
      <c r="CC147" s="226"/>
      <c r="CD147" s="226"/>
      <c r="CE147" s="226"/>
      <c r="CF147" s="226"/>
      <c r="CG147" s="226"/>
      <c r="CH147" s="226"/>
      <c r="CI147" s="226"/>
      <c r="CJ147" s="226"/>
      <c r="CK147" s="226"/>
      <c r="CL147" s="226"/>
      <c r="CM147" s="226"/>
      <c r="CN147" s="226"/>
      <c r="CO147" s="226"/>
      <c r="CP147" s="226"/>
      <c r="CQ147" s="226"/>
      <c r="CR147" s="226"/>
      <c r="CS147" s="226"/>
      <c r="CT147" s="226"/>
      <c r="CU147" s="226"/>
      <c r="CV147" s="226"/>
      <c r="CW147" s="226"/>
      <c r="CX147" s="226"/>
      <c r="CY147" s="226"/>
      <c r="CZ147" s="226"/>
      <c r="DA147" s="226"/>
      <c r="DB147" s="226"/>
      <c r="DC147" s="226"/>
      <c r="DD147" s="226"/>
      <c r="DE147" s="226"/>
      <c r="DF147" s="226"/>
      <c r="DG147" s="226"/>
      <c r="DH147" s="226"/>
      <c r="DI147" s="226"/>
      <c r="DJ147" s="226"/>
      <c r="DK147" s="226"/>
      <c r="DL147" s="226"/>
      <c r="DM147" s="226"/>
      <c r="DN147" s="226"/>
      <c r="DO147" s="226"/>
      <c r="DP147" s="226"/>
      <c r="DQ147" s="226"/>
      <c r="DR147" s="226"/>
      <c r="DS147" s="226"/>
      <c r="DT147" s="226"/>
      <c r="DU147" s="226"/>
      <c r="DV147" s="226"/>
      <c r="DW147" s="226"/>
      <c r="DX147" s="226"/>
      <c r="DY147" s="226"/>
      <c r="DZ147" s="226"/>
      <c r="EA147" s="226"/>
      <c r="EB147" s="226"/>
      <c r="EC147" s="226"/>
      <c r="ED147" s="226"/>
      <c r="EE147" s="226"/>
      <c r="EF147" s="226"/>
      <c r="EG147" s="226"/>
      <c r="EH147" s="226"/>
      <c r="EI147" s="226"/>
      <c r="EJ147" s="226"/>
      <c r="EK147" s="226"/>
      <c r="EL147" s="226"/>
      <c r="EM147" s="226"/>
      <c r="EN147" s="226"/>
      <c r="EO147" s="226"/>
      <c r="EP147" s="226"/>
      <c r="EQ147" s="226"/>
      <c r="ER147" s="226"/>
      <c r="ES147" s="226"/>
      <c r="ET147" s="226"/>
      <c r="EU147" s="226"/>
      <c r="EV147" s="226"/>
      <c r="EW147" s="226"/>
      <c r="EX147" s="226"/>
      <c r="EY147" s="226"/>
      <c r="EZ147" s="226"/>
      <c r="FA147" s="226"/>
      <c r="FB147" s="226"/>
      <c r="FC147" s="226"/>
      <c r="FD147" s="226"/>
      <c r="FE147" s="226"/>
      <c r="FF147" s="226"/>
      <c r="FG147" s="226"/>
      <c r="FH147" s="226"/>
      <c r="FI147" s="226"/>
      <c r="FJ147" s="226"/>
      <c r="FK147" s="226"/>
      <c r="FL147" s="226"/>
      <c r="FM147" s="226"/>
      <c r="FN147" s="226"/>
      <c r="FO147" s="226"/>
      <c r="FP147" s="226"/>
      <c r="FQ147" s="226"/>
      <c r="FR147" s="226"/>
      <c r="FS147" s="226"/>
      <c r="FT147" s="226"/>
      <c r="FU147" s="226"/>
      <c r="FV147" s="226"/>
      <c r="FW147" s="226"/>
      <c r="FX147" s="226"/>
      <c r="FY147" s="226"/>
      <c r="FZ147" s="226"/>
      <c r="GA147" s="226"/>
      <c r="GB147" s="226"/>
      <c r="GC147" s="226"/>
      <c r="GD147" s="226"/>
      <c r="GE147" s="226"/>
      <c r="GF147" s="226"/>
      <c r="GG147" s="226"/>
      <c r="GH147" s="226"/>
    </row>
    <row r="148" spans="1:190" s="225" customFormat="1" ht="15.95" customHeight="1">
      <c r="A148" s="139">
        <v>517</v>
      </c>
      <c r="B148" s="202"/>
      <c r="C148" s="197" t="s">
        <v>152</v>
      </c>
      <c r="D148" s="252"/>
      <c r="E148" s="78"/>
      <c r="F148" s="108"/>
      <c r="G148" s="65"/>
      <c r="I148" s="259"/>
      <c r="J148" s="265"/>
      <c r="K148" s="259"/>
      <c r="L148" s="226"/>
      <c r="M148" s="226"/>
      <c r="N148" s="226"/>
      <c r="O148" s="226"/>
      <c r="P148" s="226"/>
      <c r="Q148" s="226"/>
      <c r="R148" s="226"/>
      <c r="S148" s="226"/>
      <c r="T148" s="226"/>
      <c r="U148" s="226"/>
      <c r="V148" s="226"/>
      <c r="W148" s="226"/>
      <c r="X148" s="226"/>
      <c r="Y148" s="226"/>
      <c r="Z148" s="226"/>
      <c r="AA148" s="226"/>
      <c r="AB148" s="226"/>
      <c r="AC148" s="226"/>
      <c r="AD148" s="226"/>
      <c r="AE148" s="226"/>
      <c r="AF148" s="226"/>
      <c r="AG148" s="226"/>
      <c r="AH148" s="226"/>
      <c r="AI148" s="226"/>
      <c r="AJ148" s="226"/>
      <c r="AK148" s="226"/>
      <c r="AL148" s="226"/>
      <c r="AM148" s="226"/>
      <c r="AN148" s="226"/>
      <c r="AO148" s="226"/>
      <c r="AP148" s="226"/>
      <c r="AQ148" s="226"/>
      <c r="AR148" s="226"/>
      <c r="AS148" s="226"/>
      <c r="AT148" s="226"/>
      <c r="AU148" s="226"/>
      <c r="AV148" s="226"/>
      <c r="AW148" s="226"/>
      <c r="AX148" s="226"/>
      <c r="AY148" s="226"/>
      <c r="AZ148" s="226"/>
      <c r="BA148" s="226"/>
      <c r="BB148" s="226"/>
      <c r="BC148" s="226"/>
      <c r="BD148" s="226"/>
      <c r="BE148" s="226"/>
      <c r="BF148" s="226"/>
      <c r="BG148" s="226"/>
      <c r="BH148" s="226"/>
      <c r="BI148" s="226"/>
      <c r="BJ148" s="226"/>
      <c r="BK148" s="226"/>
      <c r="BL148" s="226"/>
      <c r="BM148" s="226"/>
      <c r="BN148" s="226"/>
      <c r="BO148" s="226"/>
      <c r="BP148" s="226"/>
      <c r="BQ148" s="226"/>
      <c r="BR148" s="226"/>
      <c r="BS148" s="226"/>
      <c r="BT148" s="226"/>
      <c r="BU148" s="226"/>
      <c r="BV148" s="226"/>
      <c r="BW148" s="226"/>
      <c r="BX148" s="226"/>
      <c r="BY148" s="226"/>
      <c r="BZ148" s="226"/>
      <c r="CA148" s="226"/>
      <c r="CB148" s="226"/>
      <c r="CC148" s="226"/>
      <c r="CD148" s="226"/>
      <c r="CE148" s="226"/>
      <c r="CF148" s="226"/>
      <c r="CG148" s="226"/>
      <c r="CH148" s="226"/>
      <c r="CI148" s="226"/>
      <c r="CJ148" s="226"/>
      <c r="CK148" s="226"/>
      <c r="CL148" s="226"/>
      <c r="CM148" s="226"/>
      <c r="CN148" s="226"/>
      <c r="CO148" s="226"/>
      <c r="CP148" s="226"/>
      <c r="CQ148" s="226"/>
      <c r="CR148" s="226"/>
      <c r="CS148" s="226"/>
      <c r="CT148" s="226"/>
      <c r="CU148" s="226"/>
      <c r="CV148" s="226"/>
      <c r="CW148" s="226"/>
      <c r="CX148" s="226"/>
      <c r="CY148" s="226"/>
      <c r="CZ148" s="226"/>
      <c r="DA148" s="226"/>
      <c r="DB148" s="226"/>
      <c r="DC148" s="226"/>
      <c r="DD148" s="226"/>
      <c r="DE148" s="226"/>
      <c r="DF148" s="226"/>
      <c r="DG148" s="226"/>
      <c r="DH148" s="226"/>
      <c r="DI148" s="226"/>
      <c r="DJ148" s="226"/>
      <c r="DK148" s="226"/>
      <c r="DL148" s="226"/>
      <c r="DM148" s="226"/>
      <c r="DN148" s="226"/>
      <c r="DO148" s="226"/>
      <c r="DP148" s="226"/>
      <c r="DQ148" s="226"/>
      <c r="DR148" s="226"/>
      <c r="DS148" s="226"/>
      <c r="DT148" s="226"/>
      <c r="DU148" s="226"/>
      <c r="DV148" s="226"/>
      <c r="DW148" s="226"/>
      <c r="DX148" s="226"/>
      <c r="DY148" s="226"/>
      <c r="DZ148" s="226"/>
      <c r="EA148" s="226"/>
      <c r="EB148" s="226"/>
      <c r="EC148" s="226"/>
      <c r="ED148" s="226"/>
      <c r="EE148" s="226"/>
      <c r="EF148" s="226"/>
      <c r="EG148" s="226"/>
      <c r="EH148" s="226"/>
      <c r="EI148" s="226"/>
      <c r="EJ148" s="226"/>
      <c r="EK148" s="226"/>
      <c r="EL148" s="226"/>
      <c r="EM148" s="226"/>
      <c r="EN148" s="226"/>
      <c r="EO148" s="226"/>
      <c r="EP148" s="226"/>
      <c r="EQ148" s="226"/>
      <c r="ER148" s="226"/>
      <c r="ES148" s="226"/>
      <c r="ET148" s="226"/>
      <c r="EU148" s="226"/>
      <c r="EV148" s="226"/>
      <c r="EW148" s="226"/>
      <c r="EX148" s="226"/>
      <c r="EY148" s="226"/>
      <c r="EZ148" s="226"/>
      <c r="FA148" s="226"/>
      <c r="FB148" s="226"/>
      <c r="FC148" s="226"/>
      <c r="FD148" s="226"/>
      <c r="FE148" s="226"/>
      <c r="FF148" s="226"/>
      <c r="FG148" s="226"/>
      <c r="FH148" s="226"/>
      <c r="FI148" s="226"/>
      <c r="FJ148" s="226"/>
      <c r="FK148" s="226"/>
      <c r="FL148" s="226"/>
      <c r="FM148" s="226"/>
      <c r="FN148" s="226"/>
      <c r="FO148" s="226"/>
      <c r="FP148" s="226"/>
      <c r="FQ148" s="226"/>
      <c r="FR148" s="226"/>
      <c r="FS148" s="226"/>
      <c r="FT148" s="226"/>
      <c r="FU148" s="226"/>
      <c r="FV148" s="226"/>
      <c r="FW148" s="226"/>
      <c r="FX148" s="226"/>
      <c r="FY148" s="226"/>
      <c r="FZ148" s="226"/>
      <c r="GA148" s="226"/>
      <c r="GB148" s="226"/>
      <c r="GC148" s="226"/>
      <c r="GD148" s="226"/>
      <c r="GE148" s="226"/>
      <c r="GF148" s="226"/>
      <c r="GG148" s="226"/>
      <c r="GH148" s="226"/>
    </row>
    <row r="149" spans="1:190" s="225" customFormat="1" ht="15.95" customHeight="1">
      <c r="A149" s="143" t="s">
        <v>153</v>
      </c>
      <c r="B149" s="250"/>
      <c r="C149" s="196" t="s">
        <v>276</v>
      </c>
      <c r="D149" s="251" t="s">
        <v>1</v>
      </c>
      <c r="E149" s="82">
        <f>K149</f>
        <v>0</v>
      </c>
      <c r="F149" s="107" t="e">
        <f>#REF!</f>
        <v>#REF!</v>
      </c>
      <c r="G149" s="64" t="e">
        <f>+E149*F149</f>
        <v>#REF!</v>
      </c>
      <c r="I149" s="259">
        <v>0</v>
      </c>
      <c r="J149" s="265">
        <v>1.05</v>
      </c>
      <c r="K149" s="259">
        <f>I149*J149</f>
        <v>0</v>
      </c>
      <c r="L149" s="226"/>
      <c r="M149" s="226"/>
      <c r="N149" s="226"/>
      <c r="O149" s="226"/>
      <c r="P149" s="226"/>
      <c r="Q149" s="226"/>
      <c r="R149" s="226"/>
      <c r="S149" s="226"/>
      <c r="T149" s="226"/>
      <c r="U149" s="226"/>
      <c r="V149" s="226"/>
      <c r="W149" s="226"/>
      <c r="X149" s="226"/>
      <c r="Y149" s="226"/>
      <c r="Z149" s="226"/>
      <c r="AA149" s="226"/>
      <c r="AB149" s="226"/>
      <c r="AC149" s="226"/>
      <c r="AD149" s="226"/>
      <c r="AE149" s="226"/>
      <c r="AF149" s="226"/>
      <c r="AG149" s="226"/>
      <c r="AH149" s="226"/>
      <c r="AI149" s="226"/>
      <c r="AJ149" s="226"/>
      <c r="AK149" s="226"/>
      <c r="AL149" s="226"/>
      <c r="AM149" s="226"/>
      <c r="AN149" s="226"/>
      <c r="AO149" s="226"/>
      <c r="AP149" s="226"/>
      <c r="AQ149" s="226"/>
      <c r="AR149" s="226"/>
      <c r="AS149" s="226"/>
      <c r="AT149" s="226"/>
      <c r="AU149" s="226"/>
      <c r="AV149" s="226"/>
      <c r="AW149" s="226"/>
      <c r="AX149" s="226"/>
      <c r="AY149" s="226"/>
      <c r="AZ149" s="226"/>
      <c r="BA149" s="226"/>
      <c r="BB149" s="226"/>
      <c r="BC149" s="226"/>
      <c r="BD149" s="226"/>
      <c r="BE149" s="226"/>
      <c r="BF149" s="226"/>
      <c r="BG149" s="226"/>
      <c r="BH149" s="226"/>
      <c r="BI149" s="226"/>
      <c r="BJ149" s="226"/>
      <c r="BK149" s="226"/>
      <c r="BL149" s="226"/>
      <c r="BM149" s="226"/>
      <c r="BN149" s="226"/>
      <c r="BO149" s="226"/>
      <c r="BP149" s="226"/>
      <c r="BQ149" s="226"/>
      <c r="BR149" s="226"/>
      <c r="BS149" s="226"/>
      <c r="BT149" s="226"/>
      <c r="BU149" s="226"/>
      <c r="BV149" s="226"/>
      <c r="BW149" s="226"/>
      <c r="BX149" s="226"/>
      <c r="BY149" s="226"/>
      <c r="BZ149" s="226"/>
      <c r="CA149" s="226"/>
      <c r="CB149" s="226"/>
      <c r="CC149" s="226"/>
      <c r="CD149" s="226"/>
      <c r="CE149" s="226"/>
      <c r="CF149" s="226"/>
      <c r="CG149" s="226"/>
      <c r="CH149" s="226"/>
      <c r="CI149" s="226"/>
      <c r="CJ149" s="226"/>
      <c r="CK149" s="226"/>
      <c r="CL149" s="226"/>
      <c r="CM149" s="226"/>
      <c r="CN149" s="226"/>
      <c r="CO149" s="226"/>
      <c r="CP149" s="226"/>
      <c r="CQ149" s="226"/>
      <c r="CR149" s="226"/>
      <c r="CS149" s="226"/>
      <c r="CT149" s="226"/>
      <c r="CU149" s="226"/>
      <c r="CV149" s="226"/>
      <c r="CW149" s="226"/>
      <c r="CX149" s="226"/>
      <c r="CY149" s="226"/>
      <c r="CZ149" s="226"/>
      <c r="DA149" s="226"/>
      <c r="DB149" s="226"/>
      <c r="DC149" s="226"/>
      <c r="DD149" s="226"/>
      <c r="DE149" s="226"/>
      <c r="DF149" s="226"/>
      <c r="DG149" s="226"/>
      <c r="DH149" s="226"/>
      <c r="DI149" s="226"/>
      <c r="DJ149" s="226"/>
      <c r="DK149" s="226"/>
      <c r="DL149" s="226"/>
      <c r="DM149" s="226"/>
      <c r="DN149" s="226"/>
      <c r="DO149" s="226"/>
      <c r="DP149" s="226"/>
      <c r="DQ149" s="226"/>
      <c r="DR149" s="226"/>
      <c r="DS149" s="226"/>
      <c r="DT149" s="226"/>
      <c r="DU149" s="226"/>
      <c r="DV149" s="226"/>
      <c r="DW149" s="226"/>
      <c r="DX149" s="226"/>
      <c r="DY149" s="226"/>
      <c r="DZ149" s="226"/>
      <c r="EA149" s="226"/>
      <c r="EB149" s="226"/>
      <c r="EC149" s="226"/>
      <c r="ED149" s="226"/>
      <c r="EE149" s="226"/>
      <c r="EF149" s="226"/>
      <c r="EG149" s="226"/>
      <c r="EH149" s="226"/>
      <c r="EI149" s="226"/>
      <c r="EJ149" s="226"/>
      <c r="EK149" s="226"/>
      <c r="EL149" s="226"/>
      <c r="EM149" s="226"/>
      <c r="EN149" s="226"/>
      <c r="EO149" s="226"/>
      <c r="EP149" s="226"/>
      <c r="EQ149" s="226"/>
      <c r="ER149" s="226"/>
      <c r="ES149" s="226"/>
      <c r="ET149" s="226"/>
      <c r="EU149" s="226"/>
      <c r="EV149" s="226"/>
      <c r="EW149" s="226"/>
      <c r="EX149" s="226"/>
      <c r="EY149" s="226"/>
      <c r="EZ149" s="226"/>
      <c r="FA149" s="226"/>
      <c r="FB149" s="226"/>
      <c r="FC149" s="226"/>
      <c r="FD149" s="226"/>
      <c r="FE149" s="226"/>
      <c r="FF149" s="226"/>
      <c r="FG149" s="226"/>
      <c r="FH149" s="226"/>
      <c r="FI149" s="226"/>
      <c r="FJ149" s="226"/>
      <c r="FK149" s="226"/>
      <c r="FL149" s="226"/>
      <c r="FM149" s="226"/>
      <c r="FN149" s="226"/>
      <c r="FO149" s="226"/>
      <c r="FP149" s="226"/>
      <c r="FQ149" s="226"/>
      <c r="FR149" s="226"/>
      <c r="FS149" s="226"/>
      <c r="FT149" s="226"/>
      <c r="FU149" s="226"/>
      <c r="FV149" s="226"/>
      <c r="FW149" s="226"/>
      <c r="FX149" s="226"/>
      <c r="FY149" s="226"/>
      <c r="FZ149" s="226"/>
      <c r="GA149" s="226"/>
      <c r="GB149" s="226"/>
      <c r="GC149" s="226"/>
      <c r="GD149" s="226"/>
      <c r="GE149" s="226"/>
      <c r="GF149" s="226"/>
      <c r="GG149" s="226"/>
      <c r="GH149" s="226"/>
    </row>
    <row r="150" spans="1:190" s="225" customFormat="1" ht="15.95" customHeight="1">
      <c r="A150" s="139">
        <v>518</v>
      </c>
      <c r="B150" s="202"/>
      <c r="C150" s="43" t="s">
        <v>180</v>
      </c>
      <c r="D150" s="252"/>
      <c r="E150" s="78"/>
      <c r="F150" s="108"/>
      <c r="G150" s="65"/>
      <c r="I150" s="259"/>
      <c r="J150" s="265"/>
      <c r="K150" s="259"/>
      <c r="L150" s="226"/>
      <c r="M150" s="226"/>
      <c r="N150" s="226"/>
      <c r="O150" s="226"/>
      <c r="P150" s="226"/>
      <c r="Q150" s="226"/>
      <c r="R150" s="226"/>
      <c r="S150" s="226"/>
      <c r="T150" s="226"/>
      <c r="U150" s="226"/>
      <c r="V150" s="226"/>
      <c r="W150" s="226"/>
      <c r="X150" s="226"/>
      <c r="Y150" s="226"/>
      <c r="Z150" s="226"/>
      <c r="AA150" s="226"/>
      <c r="AB150" s="226"/>
      <c r="AC150" s="226"/>
      <c r="AD150" s="226"/>
      <c r="AE150" s="226"/>
      <c r="AF150" s="226"/>
      <c r="AG150" s="226"/>
      <c r="AH150" s="226"/>
      <c r="AI150" s="226"/>
      <c r="AJ150" s="226"/>
      <c r="AK150" s="226"/>
      <c r="AL150" s="226"/>
      <c r="AM150" s="226"/>
      <c r="AN150" s="226"/>
      <c r="AO150" s="226"/>
      <c r="AP150" s="226"/>
      <c r="AQ150" s="226"/>
      <c r="AR150" s="226"/>
      <c r="AS150" s="226"/>
      <c r="AT150" s="226"/>
      <c r="AU150" s="226"/>
      <c r="AV150" s="226"/>
      <c r="AW150" s="226"/>
      <c r="AX150" s="226"/>
      <c r="AY150" s="226"/>
      <c r="AZ150" s="226"/>
      <c r="BA150" s="226"/>
      <c r="BB150" s="226"/>
      <c r="BC150" s="226"/>
      <c r="BD150" s="226"/>
      <c r="BE150" s="226"/>
      <c r="BF150" s="226"/>
      <c r="BG150" s="226"/>
      <c r="BH150" s="226"/>
      <c r="BI150" s="226"/>
      <c r="BJ150" s="226"/>
      <c r="BK150" s="226"/>
      <c r="BL150" s="226"/>
      <c r="BM150" s="226"/>
      <c r="BN150" s="226"/>
      <c r="BO150" s="226"/>
      <c r="BP150" s="226"/>
      <c r="BQ150" s="226"/>
      <c r="BR150" s="226"/>
      <c r="BS150" s="226"/>
      <c r="BT150" s="226"/>
      <c r="BU150" s="226"/>
      <c r="BV150" s="226"/>
      <c r="BW150" s="226"/>
      <c r="BX150" s="226"/>
      <c r="BY150" s="226"/>
      <c r="BZ150" s="226"/>
      <c r="CA150" s="226"/>
      <c r="CB150" s="226"/>
      <c r="CC150" s="226"/>
      <c r="CD150" s="226"/>
      <c r="CE150" s="226"/>
      <c r="CF150" s="226"/>
      <c r="CG150" s="226"/>
      <c r="CH150" s="226"/>
      <c r="CI150" s="226"/>
      <c r="CJ150" s="226"/>
      <c r="CK150" s="226"/>
      <c r="CL150" s="226"/>
      <c r="CM150" s="226"/>
      <c r="CN150" s="226"/>
      <c r="CO150" s="226"/>
      <c r="CP150" s="226"/>
      <c r="CQ150" s="226"/>
      <c r="CR150" s="226"/>
      <c r="CS150" s="226"/>
      <c r="CT150" s="226"/>
      <c r="CU150" s="226"/>
      <c r="CV150" s="226"/>
      <c r="CW150" s="226"/>
      <c r="CX150" s="226"/>
      <c r="CY150" s="226"/>
      <c r="CZ150" s="226"/>
      <c r="DA150" s="226"/>
      <c r="DB150" s="226"/>
      <c r="DC150" s="226"/>
      <c r="DD150" s="226"/>
      <c r="DE150" s="226"/>
      <c r="DF150" s="226"/>
      <c r="DG150" s="226"/>
      <c r="DH150" s="226"/>
      <c r="DI150" s="226"/>
      <c r="DJ150" s="226"/>
      <c r="DK150" s="226"/>
      <c r="DL150" s="226"/>
      <c r="DM150" s="226"/>
      <c r="DN150" s="226"/>
      <c r="DO150" s="226"/>
      <c r="DP150" s="226"/>
      <c r="DQ150" s="226"/>
      <c r="DR150" s="226"/>
      <c r="DS150" s="226"/>
      <c r="DT150" s="226"/>
      <c r="DU150" s="226"/>
      <c r="DV150" s="226"/>
      <c r="DW150" s="226"/>
      <c r="DX150" s="226"/>
      <c r="DY150" s="226"/>
      <c r="DZ150" s="226"/>
      <c r="EA150" s="226"/>
      <c r="EB150" s="226"/>
      <c r="EC150" s="226"/>
      <c r="ED150" s="226"/>
      <c r="EE150" s="226"/>
      <c r="EF150" s="226"/>
      <c r="EG150" s="226"/>
      <c r="EH150" s="226"/>
      <c r="EI150" s="226"/>
      <c r="EJ150" s="226"/>
      <c r="EK150" s="226"/>
      <c r="EL150" s="226"/>
      <c r="EM150" s="226"/>
      <c r="EN150" s="226"/>
      <c r="EO150" s="226"/>
      <c r="EP150" s="226"/>
      <c r="EQ150" s="226"/>
      <c r="ER150" s="226"/>
      <c r="ES150" s="226"/>
      <c r="ET150" s="226"/>
      <c r="EU150" s="226"/>
      <c r="EV150" s="226"/>
      <c r="EW150" s="226"/>
      <c r="EX150" s="226"/>
      <c r="EY150" s="226"/>
      <c r="EZ150" s="226"/>
      <c r="FA150" s="226"/>
      <c r="FB150" s="226"/>
      <c r="FC150" s="226"/>
      <c r="FD150" s="226"/>
      <c r="FE150" s="226"/>
      <c r="FF150" s="226"/>
      <c r="FG150" s="226"/>
      <c r="FH150" s="226"/>
      <c r="FI150" s="226"/>
      <c r="FJ150" s="226"/>
      <c r="FK150" s="226"/>
      <c r="FL150" s="226"/>
      <c r="FM150" s="226"/>
      <c r="FN150" s="226"/>
      <c r="FO150" s="226"/>
      <c r="FP150" s="226"/>
      <c r="FQ150" s="226"/>
      <c r="FR150" s="226"/>
      <c r="FS150" s="226"/>
      <c r="FT150" s="226"/>
      <c r="FU150" s="226"/>
      <c r="FV150" s="226"/>
      <c r="FW150" s="226"/>
      <c r="FX150" s="226"/>
      <c r="FY150" s="226"/>
      <c r="FZ150" s="226"/>
      <c r="GA150" s="226"/>
      <c r="GB150" s="226"/>
      <c r="GC150" s="226"/>
      <c r="GD150" s="226"/>
      <c r="GE150" s="226"/>
      <c r="GF150" s="226"/>
      <c r="GG150" s="226"/>
      <c r="GH150" s="226"/>
    </row>
    <row r="151" spans="1:190" s="225" customFormat="1" ht="15.95" customHeight="1">
      <c r="A151" s="139" t="s">
        <v>179</v>
      </c>
      <c r="B151" s="202"/>
      <c r="C151" s="230" t="s">
        <v>181</v>
      </c>
      <c r="D151" s="252" t="s">
        <v>1</v>
      </c>
      <c r="E151" s="138">
        <f>K151</f>
        <v>0</v>
      </c>
      <c r="F151" s="108" t="e">
        <f>#REF!</f>
        <v>#REF!</v>
      </c>
      <c r="G151" s="65" t="e">
        <f>+E151*F151</f>
        <v>#REF!</v>
      </c>
      <c r="I151" s="259">
        <v>0</v>
      </c>
      <c r="J151" s="265">
        <v>1.05</v>
      </c>
      <c r="K151" s="259">
        <f>I151*J151</f>
        <v>0</v>
      </c>
      <c r="L151" s="226"/>
      <c r="M151" s="226"/>
      <c r="N151" s="226"/>
      <c r="O151" s="226"/>
      <c r="P151" s="226"/>
      <c r="Q151" s="226"/>
      <c r="R151" s="226"/>
      <c r="S151" s="226"/>
      <c r="T151" s="226"/>
      <c r="U151" s="226"/>
      <c r="V151" s="226"/>
      <c r="W151" s="226"/>
      <c r="X151" s="226"/>
      <c r="Y151" s="226"/>
      <c r="Z151" s="226"/>
      <c r="AA151" s="226"/>
      <c r="AB151" s="226"/>
      <c r="AC151" s="226"/>
      <c r="AD151" s="226"/>
      <c r="AE151" s="226"/>
      <c r="AF151" s="226"/>
      <c r="AG151" s="226"/>
      <c r="AH151" s="226"/>
      <c r="AI151" s="226"/>
      <c r="AJ151" s="226"/>
      <c r="AK151" s="226"/>
      <c r="AL151" s="226"/>
      <c r="AM151" s="226"/>
      <c r="AN151" s="226"/>
      <c r="AO151" s="226"/>
      <c r="AP151" s="226"/>
      <c r="AQ151" s="226"/>
      <c r="AR151" s="226"/>
      <c r="AS151" s="226"/>
      <c r="AT151" s="226"/>
      <c r="AU151" s="226"/>
      <c r="AV151" s="226"/>
      <c r="AW151" s="226"/>
      <c r="AX151" s="226"/>
      <c r="AY151" s="226"/>
      <c r="AZ151" s="226"/>
      <c r="BA151" s="226"/>
      <c r="BB151" s="226"/>
      <c r="BC151" s="226"/>
      <c r="BD151" s="226"/>
      <c r="BE151" s="226"/>
      <c r="BF151" s="226"/>
      <c r="BG151" s="226"/>
      <c r="BH151" s="226"/>
      <c r="BI151" s="226"/>
      <c r="BJ151" s="226"/>
      <c r="BK151" s="226"/>
      <c r="BL151" s="226"/>
      <c r="BM151" s="226"/>
      <c r="BN151" s="226"/>
      <c r="BO151" s="226"/>
      <c r="BP151" s="226"/>
      <c r="BQ151" s="226"/>
      <c r="BR151" s="226"/>
      <c r="BS151" s="226"/>
      <c r="BT151" s="226"/>
      <c r="BU151" s="226"/>
      <c r="BV151" s="226"/>
      <c r="BW151" s="226"/>
      <c r="BX151" s="226"/>
      <c r="BY151" s="226"/>
      <c r="BZ151" s="226"/>
      <c r="CA151" s="226"/>
      <c r="CB151" s="226"/>
      <c r="CC151" s="226"/>
      <c r="CD151" s="226"/>
      <c r="CE151" s="226"/>
      <c r="CF151" s="226"/>
      <c r="CG151" s="226"/>
      <c r="CH151" s="226"/>
      <c r="CI151" s="226"/>
      <c r="CJ151" s="226"/>
      <c r="CK151" s="226"/>
      <c r="CL151" s="226"/>
      <c r="CM151" s="226"/>
      <c r="CN151" s="226"/>
      <c r="CO151" s="226"/>
      <c r="CP151" s="226"/>
      <c r="CQ151" s="226"/>
      <c r="CR151" s="226"/>
      <c r="CS151" s="226"/>
      <c r="CT151" s="226"/>
      <c r="CU151" s="226"/>
      <c r="CV151" s="226"/>
      <c r="CW151" s="226"/>
      <c r="CX151" s="226"/>
      <c r="CY151" s="226"/>
      <c r="CZ151" s="226"/>
      <c r="DA151" s="226"/>
      <c r="DB151" s="226"/>
      <c r="DC151" s="226"/>
      <c r="DD151" s="226"/>
      <c r="DE151" s="226"/>
      <c r="DF151" s="226"/>
      <c r="DG151" s="226"/>
      <c r="DH151" s="226"/>
      <c r="DI151" s="226"/>
      <c r="DJ151" s="226"/>
      <c r="DK151" s="226"/>
      <c r="DL151" s="226"/>
      <c r="DM151" s="226"/>
      <c r="DN151" s="226"/>
      <c r="DO151" s="226"/>
      <c r="DP151" s="226"/>
      <c r="DQ151" s="226"/>
      <c r="DR151" s="226"/>
      <c r="DS151" s="226"/>
      <c r="DT151" s="226"/>
      <c r="DU151" s="226"/>
      <c r="DV151" s="226"/>
      <c r="DW151" s="226"/>
      <c r="DX151" s="226"/>
      <c r="DY151" s="226"/>
      <c r="DZ151" s="226"/>
      <c r="EA151" s="226"/>
      <c r="EB151" s="226"/>
      <c r="EC151" s="226"/>
      <c r="ED151" s="226"/>
      <c r="EE151" s="226"/>
      <c r="EF151" s="226"/>
      <c r="EG151" s="226"/>
      <c r="EH151" s="226"/>
      <c r="EI151" s="226"/>
      <c r="EJ151" s="226"/>
      <c r="EK151" s="226"/>
      <c r="EL151" s="226"/>
      <c r="EM151" s="226"/>
      <c r="EN151" s="226"/>
      <c r="EO151" s="226"/>
      <c r="EP151" s="226"/>
      <c r="EQ151" s="226"/>
      <c r="ER151" s="226"/>
      <c r="ES151" s="226"/>
      <c r="ET151" s="226"/>
      <c r="EU151" s="226"/>
      <c r="EV151" s="226"/>
      <c r="EW151" s="226"/>
      <c r="EX151" s="226"/>
      <c r="EY151" s="226"/>
      <c r="EZ151" s="226"/>
      <c r="FA151" s="226"/>
      <c r="FB151" s="226"/>
      <c r="FC151" s="226"/>
      <c r="FD151" s="226"/>
      <c r="FE151" s="226"/>
      <c r="FF151" s="226"/>
      <c r="FG151" s="226"/>
      <c r="FH151" s="226"/>
      <c r="FI151" s="226"/>
      <c r="FJ151" s="226"/>
      <c r="FK151" s="226"/>
      <c r="FL151" s="226"/>
      <c r="FM151" s="226"/>
      <c r="FN151" s="226"/>
      <c r="FO151" s="226"/>
      <c r="FP151" s="226"/>
      <c r="FQ151" s="226"/>
      <c r="FR151" s="226"/>
      <c r="FS151" s="226"/>
      <c r="FT151" s="226"/>
      <c r="FU151" s="226"/>
      <c r="FV151" s="226"/>
      <c r="FW151" s="226"/>
      <c r="FX151" s="226"/>
      <c r="FY151" s="226"/>
      <c r="FZ151" s="226"/>
      <c r="GA151" s="226"/>
      <c r="GB151" s="226"/>
      <c r="GC151" s="226"/>
      <c r="GD151" s="226"/>
      <c r="GE151" s="226"/>
      <c r="GF151" s="226"/>
      <c r="GG151" s="226"/>
      <c r="GH151" s="226"/>
    </row>
    <row r="152" spans="1:190" s="225" customFormat="1" ht="15.95" customHeight="1">
      <c r="A152" s="36" t="s">
        <v>183</v>
      </c>
      <c r="B152" s="253"/>
      <c r="C152" s="196" t="s">
        <v>182</v>
      </c>
      <c r="D152" s="254" t="s">
        <v>1</v>
      </c>
      <c r="E152" s="82">
        <f>K152</f>
        <v>0</v>
      </c>
      <c r="F152" s="107" t="e">
        <f>#REF!</f>
        <v>#REF!</v>
      </c>
      <c r="G152" s="64" t="e">
        <f>+E152*F152</f>
        <v>#REF!</v>
      </c>
      <c r="I152" s="259">
        <v>0</v>
      </c>
      <c r="J152" s="265">
        <v>1.05</v>
      </c>
      <c r="K152" s="259">
        <f>I152*J152</f>
        <v>0</v>
      </c>
      <c r="L152" s="226"/>
      <c r="M152" s="226">
        <f>17500*657</f>
        <v>11497500</v>
      </c>
      <c r="N152" s="226"/>
      <c r="O152" s="226"/>
      <c r="P152" s="226"/>
      <c r="Q152" s="226"/>
      <c r="R152" s="226"/>
      <c r="S152" s="226"/>
      <c r="T152" s="226"/>
      <c r="U152" s="226"/>
      <c r="V152" s="226"/>
      <c r="W152" s="226"/>
      <c r="X152" s="226"/>
      <c r="Y152" s="226"/>
      <c r="Z152" s="226"/>
      <c r="AA152" s="226"/>
      <c r="AB152" s="226"/>
      <c r="AC152" s="226"/>
      <c r="AD152" s="226"/>
      <c r="AE152" s="226"/>
      <c r="AF152" s="226"/>
      <c r="AG152" s="226"/>
      <c r="AH152" s="226"/>
      <c r="AI152" s="226"/>
      <c r="AJ152" s="226"/>
      <c r="AK152" s="226"/>
      <c r="AL152" s="226"/>
      <c r="AM152" s="226"/>
      <c r="AN152" s="226"/>
      <c r="AO152" s="226"/>
      <c r="AP152" s="226"/>
      <c r="AQ152" s="226"/>
      <c r="AR152" s="226"/>
      <c r="AS152" s="226"/>
      <c r="AT152" s="226"/>
      <c r="AU152" s="226"/>
      <c r="AV152" s="226"/>
      <c r="AW152" s="226"/>
      <c r="AX152" s="226"/>
      <c r="AY152" s="226"/>
      <c r="AZ152" s="226"/>
      <c r="BA152" s="226"/>
      <c r="BB152" s="226"/>
      <c r="BC152" s="226"/>
      <c r="BD152" s="226"/>
      <c r="BE152" s="226"/>
      <c r="BF152" s="226"/>
      <c r="BG152" s="226"/>
      <c r="BH152" s="226"/>
      <c r="BI152" s="226"/>
      <c r="BJ152" s="226"/>
      <c r="BK152" s="226"/>
      <c r="BL152" s="226"/>
      <c r="BM152" s="226"/>
      <c r="BN152" s="226"/>
      <c r="BO152" s="226"/>
      <c r="BP152" s="226"/>
      <c r="BQ152" s="226"/>
      <c r="BR152" s="226"/>
      <c r="BS152" s="226"/>
      <c r="BT152" s="226"/>
      <c r="BU152" s="226"/>
      <c r="BV152" s="226"/>
      <c r="BW152" s="226"/>
      <c r="BX152" s="226"/>
      <c r="BY152" s="226"/>
      <c r="BZ152" s="226"/>
      <c r="CA152" s="226"/>
      <c r="CB152" s="226"/>
      <c r="CC152" s="226"/>
      <c r="CD152" s="226"/>
      <c r="CE152" s="226"/>
      <c r="CF152" s="226"/>
      <c r="CG152" s="226"/>
      <c r="CH152" s="226"/>
      <c r="CI152" s="226"/>
      <c r="CJ152" s="226"/>
      <c r="CK152" s="226"/>
      <c r="CL152" s="226"/>
      <c r="CM152" s="226"/>
      <c r="CN152" s="226"/>
      <c r="CO152" s="226"/>
      <c r="CP152" s="226"/>
      <c r="CQ152" s="226"/>
      <c r="CR152" s="226"/>
      <c r="CS152" s="226"/>
      <c r="CT152" s="226"/>
      <c r="CU152" s="226"/>
      <c r="CV152" s="226"/>
      <c r="CW152" s="226"/>
      <c r="CX152" s="226"/>
      <c r="CY152" s="226"/>
      <c r="CZ152" s="226"/>
      <c r="DA152" s="226"/>
      <c r="DB152" s="226"/>
      <c r="DC152" s="226"/>
      <c r="DD152" s="226"/>
      <c r="DE152" s="226"/>
      <c r="DF152" s="226"/>
      <c r="DG152" s="226"/>
      <c r="DH152" s="226"/>
      <c r="DI152" s="226"/>
      <c r="DJ152" s="226"/>
      <c r="DK152" s="226"/>
      <c r="DL152" s="226"/>
      <c r="DM152" s="226"/>
      <c r="DN152" s="226"/>
      <c r="DO152" s="226"/>
      <c r="DP152" s="226"/>
      <c r="DQ152" s="226"/>
      <c r="DR152" s="226"/>
      <c r="DS152" s="226"/>
      <c r="DT152" s="226"/>
      <c r="DU152" s="226"/>
      <c r="DV152" s="226"/>
      <c r="DW152" s="226"/>
      <c r="DX152" s="226"/>
      <c r="DY152" s="226"/>
      <c r="DZ152" s="226"/>
      <c r="EA152" s="226"/>
      <c r="EB152" s="226"/>
      <c r="EC152" s="226"/>
      <c r="ED152" s="226"/>
      <c r="EE152" s="226"/>
      <c r="EF152" s="226"/>
      <c r="EG152" s="226"/>
      <c r="EH152" s="226"/>
      <c r="EI152" s="226"/>
      <c r="EJ152" s="226"/>
      <c r="EK152" s="226"/>
      <c r="EL152" s="226"/>
      <c r="EM152" s="226"/>
      <c r="EN152" s="226"/>
      <c r="EO152" s="226"/>
      <c r="EP152" s="226"/>
      <c r="EQ152" s="226"/>
      <c r="ER152" s="226"/>
      <c r="ES152" s="226"/>
      <c r="ET152" s="226"/>
      <c r="EU152" s="226"/>
      <c r="EV152" s="226"/>
      <c r="EW152" s="226"/>
      <c r="EX152" s="226"/>
      <c r="EY152" s="226"/>
      <c r="EZ152" s="226"/>
      <c r="FA152" s="226"/>
      <c r="FB152" s="226"/>
      <c r="FC152" s="226"/>
      <c r="FD152" s="226"/>
      <c r="FE152" s="226"/>
      <c r="FF152" s="226"/>
      <c r="FG152" s="226"/>
      <c r="FH152" s="226"/>
      <c r="FI152" s="226"/>
      <c r="FJ152" s="226"/>
      <c r="FK152" s="226"/>
      <c r="FL152" s="226"/>
      <c r="FM152" s="226"/>
      <c r="FN152" s="226"/>
      <c r="FO152" s="226"/>
      <c r="FP152" s="226"/>
      <c r="FQ152" s="226"/>
      <c r="FR152" s="226"/>
      <c r="FS152" s="226"/>
      <c r="FT152" s="226"/>
      <c r="FU152" s="226"/>
      <c r="FV152" s="226"/>
      <c r="FW152" s="226"/>
      <c r="FX152" s="226"/>
      <c r="FY152" s="226"/>
      <c r="FZ152" s="226"/>
      <c r="GA152" s="226"/>
      <c r="GB152" s="226"/>
      <c r="GC152" s="226"/>
      <c r="GD152" s="226"/>
      <c r="GE152" s="226"/>
      <c r="GF152" s="226"/>
      <c r="GG152" s="226"/>
      <c r="GH152" s="226"/>
    </row>
    <row r="153" spans="1:190" ht="24.75" customHeight="1">
      <c r="A153" s="194"/>
      <c r="B153" s="195"/>
      <c r="C153" s="239"/>
      <c r="D153" s="95"/>
      <c r="E153" s="92"/>
      <c r="F153" s="93" t="s">
        <v>113</v>
      </c>
      <c r="G153" s="94" t="e">
        <f>SUM(G101:G152)</f>
        <v>#REF!</v>
      </c>
    </row>
    <row r="154" spans="1:190" ht="15.95" customHeight="1">
      <c r="A154" s="10"/>
      <c r="B154" s="21"/>
      <c r="C154" s="12"/>
      <c r="D154" s="13"/>
      <c r="E154" s="76"/>
      <c r="G154" s="66"/>
      <c r="M154" s="129">
        <f>17500/22</f>
        <v>795.4545454545455</v>
      </c>
    </row>
    <row r="155" spans="1:190" ht="24" customHeight="1">
      <c r="A155" s="1" t="s">
        <v>17</v>
      </c>
      <c r="B155" s="2"/>
      <c r="C155" s="3"/>
      <c r="D155" s="52" t="s">
        <v>98</v>
      </c>
      <c r="E155" s="86" t="s">
        <v>99</v>
      </c>
      <c r="F155" s="241" t="s">
        <v>100</v>
      </c>
      <c r="G155" s="241" t="s">
        <v>114</v>
      </c>
    </row>
    <row r="156" spans="1:190" ht="15.95" customHeight="1">
      <c r="A156" s="152" t="s">
        <v>18</v>
      </c>
      <c r="B156" s="42"/>
      <c r="C156" s="125" t="s">
        <v>96</v>
      </c>
      <c r="D156" s="233"/>
      <c r="E156" s="234"/>
      <c r="F156" s="109"/>
      <c r="G156" s="63"/>
    </row>
    <row r="157" spans="1:190" ht="15.95" customHeight="1">
      <c r="A157" s="4" t="s">
        <v>192</v>
      </c>
      <c r="B157" s="5"/>
      <c r="C157" s="39" t="s">
        <v>193</v>
      </c>
      <c r="D157" s="235" t="s">
        <v>27</v>
      </c>
      <c r="E157" s="235">
        <f>K157</f>
        <v>51</v>
      </c>
      <c r="F157" s="108" t="e">
        <f>#REF!</f>
        <v>#REF!</v>
      </c>
      <c r="G157" s="65" t="e">
        <f>+E157*F157</f>
        <v>#REF!</v>
      </c>
      <c r="I157" s="255">
        <f>G5/25+100*2/25</f>
        <v>48.64</v>
      </c>
      <c r="J157" s="262">
        <v>1.05</v>
      </c>
      <c r="K157" s="255">
        <f>ROUND(I157*J157,0)</f>
        <v>51</v>
      </c>
    </row>
    <row r="158" spans="1:190" s="129" customFormat="1" ht="15.95" customHeight="1">
      <c r="A158" s="4" t="s">
        <v>194</v>
      </c>
      <c r="B158" s="5"/>
      <c r="C158" s="39" t="s">
        <v>196</v>
      </c>
      <c r="D158" s="153" t="s">
        <v>27</v>
      </c>
      <c r="E158" s="108">
        <f>E157</f>
        <v>51</v>
      </c>
      <c r="F158" s="108" t="e">
        <f>#REF!</f>
        <v>#REF!</v>
      </c>
      <c r="G158" s="65" t="e">
        <f>+E158*F158</f>
        <v>#REF!</v>
      </c>
      <c r="H158" s="142"/>
      <c r="I158" s="255"/>
      <c r="J158" s="262"/>
      <c r="K158" s="255"/>
    </row>
    <row r="159" spans="1:190" s="129" customFormat="1" ht="15.95" customHeight="1">
      <c r="A159" s="22" t="s">
        <v>236</v>
      </c>
      <c r="B159" s="30"/>
      <c r="C159" s="49" t="s">
        <v>239</v>
      </c>
      <c r="D159" s="113" t="s">
        <v>266</v>
      </c>
      <c r="E159" s="107">
        <v>1</v>
      </c>
      <c r="F159" s="107" t="e">
        <f>40%*#REF!</f>
        <v>#REF!</v>
      </c>
      <c r="G159" s="64" t="e">
        <f>+E159*F159</f>
        <v>#REF!</v>
      </c>
      <c r="H159" s="142"/>
      <c r="I159" s="255"/>
      <c r="J159" s="262"/>
      <c r="K159" s="255"/>
    </row>
    <row r="160" spans="1:190" s="129" customFormat="1" ht="15.95" customHeight="1">
      <c r="A160" s="152" t="s">
        <v>208</v>
      </c>
      <c r="B160" s="42"/>
      <c r="C160" s="125" t="s">
        <v>154</v>
      </c>
      <c r="D160" s="233"/>
      <c r="E160" s="234"/>
      <c r="F160" s="109"/>
      <c r="G160" s="63"/>
      <c r="H160" s="142"/>
      <c r="I160" s="255"/>
      <c r="J160" s="262"/>
      <c r="K160" s="255"/>
    </row>
    <row r="161" spans="1:11" s="129" customFormat="1" ht="15" customHeight="1">
      <c r="A161" s="4"/>
      <c r="B161" s="5"/>
      <c r="C161" s="39"/>
      <c r="D161" s="235" t="s">
        <v>1</v>
      </c>
      <c r="E161" s="235">
        <f>K161</f>
        <v>0</v>
      </c>
      <c r="F161" s="108" t="e">
        <f>#REF!</f>
        <v>#REF!</v>
      </c>
      <c r="G161" s="65" t="e">
        <f>+E161*F161</f>
        <v>#REF!</v>
      </c>
      <c r="H161" s="142"/>
      <c r="I161" s="255">
        <v>0</v>
      </c>
      <c r="J161" s="262">
        <v>1.05</v>
      </c>
      <c r="K161" s="255">
        <f>ROUND(I161*J161,0)</f>
        <v>0</v>
      </c>
    </row>
    <row r="162" spans="1:11" s="129" customFormat="1" ht="15.95" customHeight="1">
      <c r="A162" s="152" t="s">
        <v>209</v>
      </c>
      <c r="B162" s="42"/>
      <c r="C162" s="125" t="s">
        <v>155</v>
      </c>
      <c r="D162" s="233"/>
      <c r="E162" s="234"/>
      <c r="F162" s="109"/>
      <c r="G162" s="63"/>
      <c r="H162" s="142"/>
      <c r="I162" s="255"/>
      <c r="J162" s="262"/>
      <c r="K162" s="255"/>
    </row>
    <row r="163" spans="1:11" s="129" customFormat="1" ht="15" customHeight="1">
      <c r="A163" s="4"/>
      <c r="B163" s="5"/>
      <c r="C163" s="39"/>
      <c r="D163" s="235" t="s">
        <v>1</v>
      </c>
      <c r="E163" s="235">
        <f>E161</f>
        <v>0</v>
      </c>
      <c r="F163" s="108" t="e">
        <f>#REF!</f>
        <v>#REF!</v>
      </c>
      <c r="G163" s="65" t="e">
        <f>+E163*F163</f>
        <v>#REF!</v>
      </c>
      <c r="H163" s="142"/>
      <c r="I163" s="255">
        <f>K155*2+10*4</f>
        <v>40</v>
      </c>
      <c r="J163" s="262">
        <v>1.05</v>
      </c>
      <c r="K163" s="255">
        <f>ROUND(I163*J163,0)</f>
        <v>42</v>
      </c>
    </row>
    <row r="164" spans="1:11" s="129" customFormat="1" ht="15.95" customHeight="1">
      <c r="A164" s="232">
        <v>604</v>
      </c>
      <c r="B164" s="42"/>
      <c r="C164" s="43" t="s">
        <v>164</v>
      </c>
      <c r="D164" s="133"/>
      <c r="E164" s="133"/>
      <c r="F164" s="133"/>
      <c r="G164" s="109"/>
      <c r="H164" s="142"/>
      <c r="I164" s="255"/>
      <c r="J164" s="262"/>
      <c r="K164" s="255"/>
    </row>
    <row r="165" spans="1:11" s="129" customFormat="1" ht="15.95" customHeight="1">
      <c r="A165" s="47" t="s">
        <v>224</v>
      </c>
      <c r="B165" s="21"/>
      <c r="C165" s="123" t="s">
        <v>223</v>
      </c>
      <c r="D165" s="261" t="s">
        <v>27</v>
      </c>
      <c r="E165" s="151">
        <v>20</v>
      </c>
      <c r="F165" s="151" t="e">
        <f>#REF!</f>
        <v>#REF!</v>
      </c>
      <c r="G165" s="108" t="e">
        <f>+E165*F165</f>
        <v>#REF!</v>
      </c>
      <c r="H165" s="142"/>
      <c r="I165" s="255"/>
      <c r="J165" s="262"/>
      <c r="K165" s="255"/>
    </row>
    <row r="166" spans="1:11" s="129" customFormat="1" ht="15.95" customHeight="1">
      <c r="A166" s="260" t="s">
        <v>225</v>
      </c>
      <c r="B166" s="15"/>
      <c r="C166" s="24" t="s">
        <v>226</v>
      </c>
      <c r="D166" s="154" t="s">
        <v>27</v>
      </c>
      <c r="E166" s="134">
        <v>4</v>
      </c>
      <c r="F166" s="134" t="e">
        <f>#REF!</f>
        <v>#REF!</v>
      </c>
      <c r="G166" s="107" t="e">
        <f>+E166*F166</f>
        <v>#REF!</v>
      </c>
      <c r="H166" s="142"/>
      <c r="I166" s="255"/>
      <c r="J166" s="262"/>
      <c r="K166" s="255"/>
    </row>
    <row r="167" spans="1:11" s="129" customFormat="1" ht="15.95" customHeight="1">
      <c r="A167" s="47">
        <v>605</v>
      </c>
      <c r="B167" s="5"/>
      <c r="C167" s="26" t="s">
        <v>156</v>
      </c>
      <c r="D167" s="151"/>
      <c r="E167" s="151"/>
      <c r="F167" s="151"/>
      <c r="G167" s="109"/>
      <c r="H167" s="142"/>
      <c r="I167" s="255"/>
      <c r="J167" s="262"/>
      <c r="K167" s="255"/>
    </row>
    <row r="168" spans="1:11" s="129" customFormat="1" ht="15.95" customHeight="1">
      <c r="A168" s="61"/>
      <c r="B168" s="15"/>
      <c r="C168" s="24"/>
      <c r="D168" s="191" t="s">
        <v>95</v>
      </c>
      <c r="E168" s="134">
        <f>K168</f>
        <v>168</v>
      </c>
      <c r="F168" s="134" t="e">
        <f>#REF!</f>
        <v>#REF!</v>
      </c>
      <c r="G168" s="107" t="e">
        <f>+E168*F168</f>
        <v>#REF!</v>
      </c>
      <c r="H168" s="142"/>
      <c r="I168" s="255">
        <f>4*2*20</f>
        <v>160</v>
      </c>
      <c r="J168" s="262">
        <v>1.05</v>
      </c>
      <c r="K168" s="255">
        <f>I168*J168</f>
        <v>168</v>
      </c>
    </row>
    <row r="169" spans="1:11" s="129" customFormat="1" ht="24.75" customHeight="1">
      <c r="A169" s="142"/>
      <c r="B169" s="142"/>
      <c r="C169" s="142"/>
      <c r="D169" s="95"/>
      <c r="E169" s="92"/>
      <c r="F169" s="93" t="s">
        <v>112</v>
      </c>
      <c r="G169" s="94" t="e">
        <f>SUM(G156:G168)</f>
        <v>#REF!</v>
      </c>
      <c r="H169" s="142"/>
      <c r="I169" s="255"/>
      <c r="J169" s="262"/>
      <c r="K169" s="255"/>
    </row>
    <row r="170" spans="1:11" s="129" customFormat="1" ht="12" customHeight="1">
      <c r="A170" s="142"/>
      <c r="B170" s="142"/>
      <c r="C170" s="142"/>
      <c r="D170" s="142"/>
      <c r="E170" s="75"/>
      <c r="F170" s="62"/>
      <c r="G170" s="62"/>
      <c r="H170" s="142"/>
      <c r="I170" s="255"/>
      <c r="J170" s="262"/>
      <c r="K170" s="255"/>
    </row>
    <row r="171" spans="1:11" s="129" customFormat="1" ht="25.5" customHeight="1">
      <c r="A171" s="142"/>
      <c r="B171" s="142"/>
      <c r="C171" s="142"/>
      <c r="D171" s="95"/>
      <c r="E171" s="92"/>
      <c r="F171" s="93" t="s">
        <v>275</v>
      </c>
      <c r="G171" s="96" t="e">
        <f>+G69+G80+G98+G153+G169</f>
        <v>#REF!</v>
      </c>
      <c r="H171" s="142"/>
      <c r="I171" s="255"/>
      <c r="J171" s="262"/>
      <c r="K171" s="255"/>
    </row>
    <row r="173" spans="1:11" s="129" customFormat="1" ht="24.75" customHeight="1">
      <c r="A173" s="1" t="s">
        <v>115</v>
      </c>
      <c r="B173" s="2"/>
      <c r="C173" s="33"/>
      <c r="D173" s="52" t="s">
        <v>98</v>
      </c>
      <c r="E173" s="70" t="s">
        <v>99</v>
      </c>
      <c r="F173" s="241" t="s">
        <v>100</v>
      </c>
      <c r="G173" s="241" t="s">
        <v>116</v>
      </c>
      <c r="H173" s="142"/>
      <c r="I173" s="255"/>
      <c r="J173" s="262"/>
      <c r="K173" s="255"/>
    </row>
    <row r="174" spans="1:11" ht="15.95" customHeight="1">
      <c r="A174" s="29" t="s">
        <v>117</v>
      </c>
      <c r="B174" s="5"/>
      <c r="C174" s="27" t="s">
        <v>118</v>
      </c>
      <c r="D174" s="34"/>
      <c r="E174" s="72"/>
      <c r="F174" s="109"/>
      <c r="G174" s="63"/>
    </row>
    <row r="175" spans="1:11" ht="15.95" customHeight="1">
      <c r="A175" s="22"/>
      <c r="B175" s="30"/>
      <c r="C175" s="31"/>
      <c r="D175" s="32" t="s">
        <v>119</v>
      </c>
      <c r="E175" s="73">
        <v>0</v>
      </c>
      <c r="F175" s="113">
        <v>100000000</v>
      </c>
      <c r="G175" s="64">
        <f>+E175*F175</f>
        <v>0</v>
      </c>
    </row>
    <row r="176" spans="1:11" ht="15.95" customHeight="1">
      <c r="A176" s="29" t="s">
        <v>120</v>
      </c>
      <c r="B176" s="5"/>
      <c r="C176" s="6" t="s">
        <v>121</v>
      </c>
      <c r="D176" s="7"/>
      <c r="E176" s="74"/>
      <c r="F176" s="108"/>
      <c r="G176" s="65"/>
    </row>
    <row r="177" spans="1:7" ht="15.95" customHeight="1">
      <c r="A177" s="22"/>
      <c r="B177" s="30"/>
      <c r="C177" s="31"/>
      <c r="D177" s="32" t="s">
        <v>119</v>
      </c>
      <c r="E177" s="73">
        <v>0</v>
      </c>
      <c r="F177" s="113">
        <v>150000000</v>
      </c>
      <c r="G177" s="64">
        <f>+E177*F177</f>
        <v>0</v>
      </c>
    </row>
    <row r="178" spans="1:7" ht="23.25" customHeight="1">
      <c r="A178" s="110"/>
      <c r="B178" s="5"/>
      <c r="C178" s="27"/>
      <c r="D178" s="95"/>
      <c r="E178" s="92"/>
      <c r="F178" s="93" t="s">
        <v>122</v>
      </c>
      <c r="G178" s="94">
        <f>SUM(G175:G177)</f>
        <v>0</v>
      </c>
    </row>
    <row r="180" spans="1:7" ht="25.5" customHeight="1">
      <c r="D180" s="95"/>
      <c r="E180" s="92"/>
      <c r="F180" s="93" t="s">
        <v>323</v>
      </c>
      <c r="G180" s="96" t="e">
        <f>G178+G171+G41</f>
        <v>#REF!</v>
      </c>
    </row>
    <row r="191" spans="1:7" ht="19.5">
      <c r="A191" s="90"/>
      <c r="E191" s="62"/>
      <c r="F191" s="62"/>
      <c r="G191" s="99"/>
    </row>
    <row r="192" spans="1:7" ht="26.25">
      <c r="B192" s="97"/>
      <c r="C192" s="1859"/>
      <c r="D192" s="1859"/>
      <c r="E192" s="1859"/>
      <c r="F192" s="1859"/>
      <c r="G192" s="1859"/>
    </row>
  </sheetData>
  <mergeCells count="3">
    <mergeCell ref="A2:G2"/>
    <mergeCell ref="C192:G192"/>
    <mergeCell ref="A1:G1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  <rowBreaks count="2" manualBreakCount="2">
    <brk id="41" max="6" man="1"/>
    <brk id="80" max="6" man="1"/>
  </rowBreaks>
  <colBreaks count="1" manualBreakCount="1">
    <brk id="7" max="1048575" man="1"/>
  </colBreaks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rgb="FFFF0000"/>
  </sheetPr>
  <dimension ref="A1:I40"/>
  <sheetViews>
    <sheetView workbookViewId="0"/>
  </sheetViews>
  <sheetFormatPr baseColWidth="10" defaultColWidth="9.140625" defaultRowHeight="15"/>
  <cols>
    <col min="1" max="1" width="8.42578125" style="142" customWidth="1"/>
    <col min="2" max="2" width="4.42578125" style="142" customWidth="1"/>
    <col min="3" max="3" width="43.28515625" style="142" customWidth="1"/>
    <col min="4" max="4" width="10.85546875" style="142" customWidth="1"/>
    <col min="5" max="5" width="15.42578125" style="142" customWidth="1"/>
    <col min="6" max="6" width="17.140625" style="142" customWidth="1"/>
    <col min="7" max="7" width="26.140625" style="142" customWidth="1"/>
    <col min="8" max="8" width="17.28515625" style="142" customWidth="1"/>
    <col min="9" max="9" width="25.7109375" style="142" customWidth="1"/>
    <col min="10" max="16384" width="9.140625" style="142"/>
  </cols>
  <sheetData>
    <row r="1" spans="1:9" ht="20.25" thickBot="1">
      <c r="A1" s="90" t="s">
        <v>105</v>
      </c>
      <c r="G1" s="62"/>
      <c r="H1" s="62"/>
      <c r="I1" s="99"/>
    </row>
    <row r="2" spans="1:9" ht="25.5" thickBot="1">
      <c r="A2" s="1860" t="s">
        <v>426</v>
      </c>
      <c r="B2" s="1861"/>
      <c r="C2" s="1861"/>
      <c r="D2" s="1861"/>
      <c r="E2" s="1861"/>
      <c r="F2" s="1861"/>
      <c r="G2" s="1862"/>
      <c r="H2" s="135"/>
      <c r="I2" s="135"/>
    </row>
    <row r="4" spans="1:9">
      <c r="F4" s="99" t="s">
        <v>177</v>
      </c>
      <c r="G4" s="136">
        <f>Wa!E92</f>
        <v>77260.415999999983</v>
      </c>
    </row>
    <row r="5" spans="1:9">
      <c r="F5" s="99" t="s">
        <v>176</v>
      </c>
      <c r="G5" s="136">
        <f>Wa!E93</f>
        <v>16384.852000000003</v>
      </c>
    </row>
    <row r="6" spans="1:9">
      <c r="F6" s="99" t="s">
        <v>198</v>
      </c>
      <c r="G6" s="136">
        <f>Wa!E96</f>
        <v>550</v>
      </c>
    </row>
    <row r="7" spans="1:9">
      <c r="F7" s="99" t="s">
        <v>197</v>
      </c>
      <c r="G7" s="136">
        <f>Wa!E95</f>
        <v>11299.2</v>
      </c>
    </row>
    <row r="8" spans="1:9">
      <c r="F8" s="99" t="s">
        <v>277</v>
      </c>
      <c r="G8" s="136">
        <f>Wa!E97</f>
        <v>11299.2</v>
      </c>
    </row>
    <row r="9" spans="1:9" ht="22.5" customHeight="1">
      <c r="A9" s="1" t="s">
        <v>166</v>
      </c>
      <c r="B9" s="2"/>
      <c r="C9" s="3"/>
      <c r="D9" s="52" t="s">
        <v>98</v>
      </c>
      <c r="E9" s="70" t="s">
        <v>99</v>
      </c>
      <c r="F9" s="71" t="s">
        <v>100</v>
      </c>
      <c r="G9" s="71" t="s">
        <v>114</v>
      </c>
    </row>
    <row r="10" spans="1:9" ht="15.75">
      <c r="A10" s="4" t="s">
        <v>0</v>
      </c>
      <c r="B10" s="5"/>
      <c r="C10" s="6" t="s">
        <v>168</v>
      </c>
      <c r="D10" s="158"/>
      <c r="E10" s="159"/>
      <c r="F10" s="160"/>
      <c r="G10" s="161"/>
    </row>
    <row r="11" spans="1:9" ht="15.75">
      <c r="A11" s="4" t="s">
        <v>167</v>
      </c>
      <c r="B11" s="5"/>
      <c r="C11" s="12" t="s">
        <v>171</v>
      </c>
      <c r="D11" s="162" t="s">
        <v>94</v>
      </c>
      <c r="E11" s="163">
        <f>G4</f>
        <v>77260.415999999983</v>
      </c>
      <c r="F11" s="164">
        <f>'[3]BPU préf'!E8</f>
        <v>11000</v>
      </c>
      <c r="G11" s="164">
        <f>E11*F11</f>
        <v>849864575.99999976</v>
      </c>
    </row>
    <row r="12" spans="1:9" ht="15.75">
      <c r="A12" s="22" t="s">
        <v>169</v>
      </c>
      <c r="B12" s="30"/>
      <c r="C12" s="24" t="s">
        <v>170</v>
      </c>
      <c r="D12" s="165" t="s">
        <v>94</v>
      </c>
      <c r="E12" s="166">
        <f>G5</f>
        <v>16384.852000000003</v>
      </c>
      <c r="F12" s="167">
        <f>'[3]BPU préf'!E9</f>
        <v>9300</v>
      </c>
      <c r="G12" s="167">
        <f>E12*F12</f>
        <v>152379123.60000002</v>
      </c>
    </row>
    <row r="13" spans="1:9" ht="18.75">
      <c r="A13" s="110"/>
      <c r="B13" s="5"/>
      <c r="C13" s="12"/>
      <c r="D13" s="95"/>
      <c r="E13" s="92"/>
      <c r="F13" s="93" t="s">
        <v>106</v>
      </c>
      <c r="G13" s="94">
        <f>SUM(G11:G12)</f>
        <v>1002243699.5999998</v>
      </c>
    </row>
    <row r="14" spans="1:9" ht="15.75">
      <c r="A14" s="10"/>
      <c r="B14" s="11"/>
      <c r="C14" s="12"/>
      <c r="D14" s="51"/>
      <c r="E14" s="12"/>
      <c r="F14" s="51"/>
      <c r="G14" s="121"/>
    </row>
    <row r="15" spans="1:9" ht="22.5" customHeight="1">
      <c r="A15" s="1" t="s">
        <v>175</v>
      </c>
      <c r="B15" s="2"/>
      <c r="C15" s="3"/>
      <c r="D15" s="52" t="s">
        <v>98</v>
      </c>
      <c r="E15" s="70" t="s">
        <v>99</v>
      </c>
      <c r="F15" s="71" t="s">
        <v>100</v>
      </c>
      <c r="G15" s="71" t="s">
        <v>114</v>
      </c>
    </row>
    <row r="16" spans="1:9" ht="15.75">
      <c r="A16" s="41">
        <v>201</v>
      </c>
      <c r="B16" s="42"/>
      <c r="C16" s="43" t="s">
        <v>199</v>
      </c>
      <c r="D16" s="170" t="s">
        <v>1</v>
      </c>
      <c r="E16" s="171">
        <f>G7</f>
        <v>11299.2</v>
      </c>
      <c r="F16" s="172">
        <f>'[3]BPU préf'!E12</f>
        <v>7514</v>
      </c>
      <c r="G16" s="173">
        <f>E16*F16</f>
        <v>84902188.800000012</v>
      </c>
    </row>
    <row r="17" spans="1:7" ht="15.75">
      <c r="A17" s="17">
        <v>202</v>
      </c>
      <c r="B17" s="5"/>
      <c r="C17" s="26" t="s">
        <v>200</v>
      </c>
      <c r="D17" s="272" t="s">
        <v>1</v>
      </c>
      <c r="E17" s="273">
        <f>+G6</f>
        <v>550</v>
      </c>
      <c r="F17" s="274">
        <f>'[3]BPU préf'!E13</f>
        <v>5700</v>
      </c>
      <c r="G17" s="164">
        <f>E17*F17</f>
        <v>3135000</v>
      </c>
    </row>
    <row r="18" spans="1:7" ht="15.75">
      <c r="A18" s="36">
        <v>203</v>
      </c>
      <c r="B18" s="30"/>
      <c r="C18" s="169" t="s">
        <v>246</v>
      </c>
      <c r="D18" s="168" t="s">
        <v>1</v>
      </c>
      <c r="E18" s="174">
        <f>G8</f>
        <v>11299.2</v>
      </c>
      <c r="F18" s="147">
        <f>'BPU préf'!E16</f>
        <v>6315</v>
      </c>
      <c r="G18" s="167">
        <f>E18*F18</f>
        <v>71354448</v>
      </c>
    </row>
    <row r="19" spans="1:7" ht="18.75">
      <c r="A19" s="10"/>
      <c r="B19" s="21"/>
      <c r="C19" s="12"/>
      <c r="D19" s="157"/>
      <c r="E19" s="130"/>
      <c r="F19" s="131" t="s">
        <v>111</v>
      </c>
      <c r="G19" s="132">
        <f>SUM(G16:G18)</f>
        <v>159391636.80000001</v>
      </c>
    </row>
    <row r="21" spans="1:7" ht="25.5" customHeight="1">
      <c r="D21" s="95"/>
      <c r="E21" s="92"/>
      <c r="F21" s="93" t="s">
        <v>172</v>
      </c>
      <c r="G21" s="94">
        <f>+G13+G19</f>
        <v>1161635336.3999999</v>
      </c>
    </row>
    <row r="40" spans="3:3">
      <c r="C40" s="149"/>
    </row>
  </sheetData>
  <mergeCells count="1">
    <mergeCell ref="A2:G2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tabColor rgb="FFFF0000"/>
  </sheetPr>
  <dimension ref="B1:F7"/>
  <sheetViews>
    <sheetView workbookViewId="0"/>
  </sheetViews>
  <sheetFormatPr baseColWidth="10" defaultColWidth="9.140625" defaultRowHeight="15"/>
  <cols>
    <col min="1" max="1" width="9.140625" style="142"/>
    <col min="2" max="2" width="5.42578125" style="142" customWidth="1"/>
    <col min="3" max="3" width="20.28515625" style="142" customWidth="1"/>
    <col min="4" max="4" width="30.7109375" style="142" customWidth="1"/>
    <col min="5" max="5" width="21.42578125" style="142" customWidth="1"/>
    <col min="6" max="10" width="9.140625" style="142"/>
    <col min="11" max="11" width="20.5703125" style="142" customWidth="1"/>
    <col min="12" max="16384" width="9.140625" style="142"/>
  </cols>
  <sheetData>
    <row r="1" spans="2:6" ht="19.5">
      <c r="B1" s="90" t="s">
        <v>326</v>
      </c>
    </row>
    <row r="3" spans="2:6" ht="18.75">
      <c r="C3" s="1874" t="s">
        <v>217</v>
      </c>
      <c r="D3" s="376" t="s">
        <v>291</v>
      </c>
      <c r="E3" s="376" t="s">
        <v>232</v>
      </c>
      <c r="F3" s="100"/>
    </row>
    <row r="4" spans="2:6" ht="18.75">
      <c r="C4" s="1875"/>
      <c r="D4" s="376" t="s">
        <v>607</v>
      </c>
      <c r="E4" s="376" t="s">
        <v>231</v>
      </c>
    </row>
    <row r="5" spans="2:6">
      <c r="C5" s="379" t="s">
        <v>215</v>
      </c>
      <c r="D5" s="101" t="e">
        <f>ROUND(Wa!G180,0)</f>
        <v>#REF!</v>
      </c>
      <c r="E5" s="101" t="e">
        <f>D5/656</f>
        <v>#REF!</v>
      </c>
    </row>
    <row r="6" spans="2:6">
      <c r="C6" s="379" t="s">
        <v>216</v>
      </c>
      <c r="D6" s="101">
        <f>'Préf Wa'!G21</f>
        <v>1161635336.3999999</v>
      </c>
      <c r="E6" s="101">
        <f>D6/656</f>
        <v>1770785.5737804875</v>
      </c>
    </row>
    <row r="7" spans="2:6" ht="18.75">
      <c r="C7" s="380" t="s">
        <v>218</v>
      </c>
      <c r="D7" s="518" t="e">
        <f>SUM(D5:D6)</f>
        <v>#REF!</v>
      </c>
      <c r="E7" s="378" t="e">
        <f>D7/656</f>
        <v>#REF!</v>
      </c>
    </row>
  </sheetData>
  <mergeCells count="1">
    <mergeCell ref="C3:C4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theme="7" tint="-0.249977111117893"/>
  </sheetPr>
  <dimension ref="A1:I40"/>
  <sheetViews>
    <sheetView topLeftCell="A10" workbookViewId="0"/>
  </sheetViews>
  <sheetFormatPr baseColWidth="10" defaultColWidth="9.140625" defaultRowHeight="15"/>
  <cols>
    <col min="1" max="1" width="8.42578125" style="142" customWidth="1"/>
    <col min="2" max="2" width="4.42578125" style="142" customWidth="1"/>
    <col min="3" max="3" width="58.28515625" style="142" customWidth="1"/>
    <col min="4" max="4" width="10.85546875" style="142" customWidth="1"/>
    <col min="5" max="5" width="15.42578125" style="142" customWidth="1"/>
    <col min="6" max="6" width="17.140625" style="142" customWidth="1"/>
    <col min="7" max="7" width="26.140625" style="142" customWidth="1"/>
    <col min="8" max="8" width="17.28515625" style="142" customWidth="1"/>
    <col min="9" max="9" width="25.7109375" style="142" customWidth="1"/>
    <col min="10" max="16384" width="9.140625" style="142"/>
  </cols>
  <sheetData>
    <row r="1" spans="1:9" ht="20.25" thickBot="1">
      <c r="A1" s="90" t="s">
        <v>105</v>
      </c>
      <c r="G1" s="62"/>
      <c r="H1" s="62"/>
      <c r="I1" s="99"/>
    </row>
    <row r="2" spans="1:9" ht="25.5" thickBot="1">
      <c r="A2" s="1860" t="s">
        <v>529</v>
      </c>
      <c r="B2" s="1861"/>
      <c r="C2" s="1861"/>
      <c r="D2" s="1861"/>
      <c r="E2" s="1861"/>
      <c r="F2" s="1861"/>
      <c r="G2" s="1862"/>
      <c r="H2" s="135"/>
      <c r="I2" s="135"/>
    </row>
    <row r="4" spans="1:9">
      <c r="F4" s="99" t="s">
        <v>177</v>
      </c>
      <c r="G4" s="136">
        <f>'Rc '!D82</f>
        <v>13565.966400000001</v>
      </c>
    </row>
    <row r="5" spans="1:9">
      <c r="F5" s="99" t="s">
        <v>176</v>
      </c>
      <c r="G5" s="136">
        <f>'Rc '!D83</f>
        <v>6284.8048200000003</v>
      </c>
    </row>
    <row r="6" spans="1:9">
      <c r="F6" s="99" t="s">
        <v>198</v>
      </c>
      <c r="G6" s="136">
        <f>'Rc '!D91</f>
        <v>3261.3</v>
      </c>
    </row>
    <row r="7" spans="1:9">
      <c r="F7" s="99" t="s">
        <v>197</v>
      </c>
      <c r="G7" s="136">
        <f>'Rc '!D90</f>
        <v>480</v>
      </c>
    </row>
    <row r="8" spans="1:9">
      <c r="F8" s="99" t="s">
        <v>277</v>
      </c>
      <c r="G8" s="136">
        <f>'Rc '!D92</f>
        <v>3261.3</v>
      </c>
    </row>
    <row r="9" spans="1:9" ht="22.5" customHeight="1">
      <c r="A9" s="1" t="s">
        <v>166</v>
      </c>
      <c r="B9" s="2"/>
      <c r="C9" s="3"/>
      <c r="D9" s="52" t="s">
        <v>98</v>
      </c>
      <c r="E9" s="70" t="s">
        <v>99</v>
      </c>
      <c r="F9" s="71" t="s">
        <v>100</v>
      </c>
      <c r="G9" s="71" t="s">
        <v>114</v>
      </c>
    </row>
    <row r="10" spans="1:9" ht="15.75">
      <c r="A10" s="4" t="s">
        <v>0</v>
      </c>
      <c r="B10" s="5"/>
      <c r="C10" s="6" t="s">
        <v>168</v>
      </c>
      <c r="D10" s="158"/>
      <c r="E10" s="159"/>
      <c r="F10" s="160"/>
      <c r="G10" s="161"/>
    </row>
    <row r="11" spans="1:9" ht="15.75">
      <c r="A11" s="4" t="s">
        <v>167</v>
      </c>
      <c r="B11" s="5"/>
      <c r="C11" s="12" t="s">
        <v>171</v>
      </c>
      <c r="D11" s="162" t="s">
        <v>94</v>
      </c>
      <c r="E11" s="163">
        <f>G4</f>
        <v>13565.966400000001</v>
      </c>
      <c r="F11" s="164">
        <f>'[3]BPU préf'!E8</f>
        <v>11000</v>
      </c>
      <c r="G11" s="164">
        <f>E11*F11</f>
        <v>149225630.40000001</v>
      </c>
    </row>
    <row r="12" spans="1:9" ht="15.75">
      <c r="A12" s="22" t="s">
        <v>169</v>
      </c>
      <c r="B12" s="30"/>
      <c r="C12" s="24" t="s">
        <v>170</v>
      </c>
      <c r="D12" s="165" t="s">
        <v>94</v>
      </c>
      <c r="E12" s="166">
        <f>G5</f>
        <v>6284.8048200000003</v>
      </c>
      <c r="F12" s="167">
        <f>'[3]BPU préf'!E9</f>
        <v>9300</v>
      </c>
      <c r="G12" s="167">
        <f>E12*F12</f>
        <v>58448684.826000005</v>
      </c>
    </row>
    <row r="13" spans="1:9" ht="18.75">
      <c r="A13" s="110"/>
      <c r="B13" s="5"/>
      <c r="C13" s="12"/>
      <c r="D13" s="95"/>
      <c r="E13" s="92"/>
      <c r="F13" s="93" t="s">
        <v>106</v>
      </c>
      <c r="G13" s="94">
        <f>SUM(G11:G12)</f>
        <v>207674315.22600001</v>
      </c>
    </row>
    <row r="14" spans="1:9" ht="15.75">
      <c r="A14" s="10"/>
      <c r="B14" s="11"/>
      <c r="C14" s="12"/>
      <c r="D14" s="51"/>
      <c r="E14" s="12"/>
      <c r="F14" s="51"/>
      <c r="G14" s="121"/>
    </row>
    <row r="15" spans="1:9" ht="22.5" customHeight="1">
      <c r="A15" s="1" t="s">
        <v>175</v>
      </c>
      <c r="B15" s="2"/>
      <c r="C15" s="3"/>
      <c r="D15" s="52" t="s">
        <v>98</v>
      </c>
      <c r="E15" s="70" t="s">
        <v>99</v>
      </c>
      <c r="F15" s="71" t="s">
        <v>100</v>
      </c>
      <c r="G15" s="71" t="s">
        <v>114</v>
      </c>
    </row>
    <row r="16" spans="1:9" ht="15.75">
      <c r="A16" s="41">
        <v>201</v>
      </c>
      <c r="B16" s="42"/>
      <c r="C16" s="43" t="s">
        <v>199</v>
      </c>
      <c r="D16" s="170" t="s">
        <v>1</v>
      </c>
      <c r="E16" s="171">
        <f>G7</f>
        <v>480</v>
      </c>
      <c r="F16" s="172">
        <f>'[3]BPU préf'!E12</f>
        <v>7514</v>
      </c>
      <c r="G16" s="173">
        <f>E16*F16</f>
        <v>3606720</v>
      </c>
    </row>
    <row r="17" spans="1:7" ht="15.75">
      <c r="A17" s="17">
        <v>202</v>
      </c>
      <c r="B17" s="5"/>
      <c r="C17" s="26" t="s">
        <v>200</v>
      </c>
      <c r="D17" s="272" t="s">
        <v>1</v>
      </c>
      <c r="E17" s="273">
        <f>+G6</f>
        <v>3261.3</v>
      </c>
      <c r="F17" s="274">
        <f>'[3]BPU préf'!E13</f>
        <v>5700</v>
      </c>
      <c r="G17" s="164">
        <f>E17*F17</f>
        <v>18589410</v>
      </c>
    </row>
    <row r="18" spans="1:7" ht="15.75">
      <c r="A18" s="36">
        <v>203</v>
      </c>
      <c r="B18" s="30"/>
      <c r="C18" s="169" t="s">
        <v>246</v>
      </c>
      <c r="D18" s="168" t="s">
        <v>1</v>
      </c>
      <c r="E18" s="174">
        <f>G8</f>
        <v>3261.3</v>
      </c>
      <c r="F18" s="147">
        <f>'BPU préf'!E16</f>
        <v>6315</v>
      </c>
      <c r="G18" s="167">
        <f>E18*F18</f>
        <v>20595109.5</v>
      </c>
    </row>
    <row r="19" spans="1:7" ht="18.75">
      <c r="A19" s="10"/>
      <c r="B19" s="21"/>
      <c r="C19" s="12"/>
      <c r="D19" s="157"/>
      <c r="E19" s="130"/>
      <c r="F19" s="131" t="s">
        <v>111</v>
      </c>
      <c r="G19" s="132">
        <f>SUM(G16:G18)</f>
        <v>42791239.5</v>
      </c>
    </row>
    <row r="21" spans="1:7" ht="25.5" customHeight="1">
      <c r="D21" s="95"/>
      <c r="E21" s="92"/>
      <c r="F21" s="93" t="s">
        <v>172</v>
      </c>
      <c r="G21" s="94">
        <f>+G13+G19</f>
        <v>250465554.72600001</v>
      </c>
    </row>
    <row r="40" spans="3:3">
      <c r="C40" s="149"/>
    </row>
  </sheetData>
  <mergeCells count="1">
    <mergeCell ref="A2:G2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tabColor theme="7" tint="-0.249977111117893"/>
  </sheetPr>
  <dimension ref="B1:F7"/>
  <sheetViews>
    <sheetView workbookViewId="0"/>
  </sheetViews>
  <sheetFormatPr baseColWidth="10" defaultColWidth="9.140625" defaultRowHeight="15"/>
  <cols>
    <col min="1" max="1" width="9.140625" style="142"/>
    <col min="2" max="2" width="5.42578125" style="142" customWidth="1"/>
    <col min="3" max="3" width="20.28515625" style="142" customWidth="1"/>
    <col min="4" max="4" width="30.7109375" style="142" customWidth="1"/>
    <col min="5" max="5" width="16.7109375" style="142" customWidth="1"/>
    <col min="6" max="10" width="9.140625" style="142"/>
    <col min="11" max="11" width="20.5703125" style="142" customWidth="1"/>
    <col min="12" max="16384" width="9.140625" style="142"/>
  </cols>
  <sheetData>
    <row r="1" spans="2:6" ht="19.5">
      <c r="B1" s="90" t="s">
        <v>530</v>
      </c>
    </row>
    <row r="2" spans="2:6" ht="15.75" thickBot="1"/>
    <row r="3" spans="2:6" ht="19.5" thickBot="1">
      <c r="C3" s="243" t="s">
        <v>217</v>
      </c>
      <c r="D3" s="326" t="s">
        <v>104</v>
      </c>
      <c r="E3" s="302" t="s">
        <v>232</v>
      </c>
      <c r="F3" s="100"/>
    </row>
    <row r="4" spans="2:6" ht="19.5" thickBot="1">
      <c r="C4" s="245"/>
      <c r="D4" s="327" t="s">
        <v>103</v>
      </c>
      <c r="E4" s="303" t="s">
        <v>231</v>
      </c>
    </row>
    <row r="5" spans="2:6">
      <c r="C5" s="246" t="s">
        <v>215</v>
      </c>
      <c r="D5" s="101" t="e">
        <f>ROUND('Rc '!F153,0)</f>
        <v>#REF!</v>
      </c>
      <c r="E5" s="266" t="e">
        <f>D5/656</f>
        <v>#REF!</v>
      </c>
    </row>
    <row r="6" spans="2:6" ht="15.75" thickBot="1">
      <c r="C6" s="246" t="s">
        <v>216</v>
      </c>
      <c r="D6" s="101">
        <f>ROUND('Préf Rc'!G21,0)</f>
        <v>250465555</v>
      </c>
      <c r="E6" s="266">
        <f>D6/656</f>
        <v>381807.24847560975</v>
      </c>
    </row>
    <row r="7" spans="2:6" ht="19.5" thickBot="1">
      <c r="C7" s="104" t="s">
        <v>218</v>
      </c>
      <c r="D7" s="105" t="e">
        <f>SUM(D5:D6)</f>
        <v>#REF!</v>
      </c>
      <c r="E7" s="267" t="e">
        <f>D7/656</f>
        <v>#REF!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tabColor rgb="FFFFC000"/>
  </sheetPr>
  <dimension ref="A1:I39"/>
  <sheetViews>
    <sheetView workbookViewId="0"/>
  </sheetViews>
  <sheetFormatPr baseColWidth="10" defaultColWidth="9.140625" defaultRowHeight="15"/>
  <cols>
    <col min="1" max="1" width="8.42578125" customWidth="1"/>
    <col min="2" max="2" width="4.42578125" customWidth="1"/>
    <col min="3" max="3" width="68.42578125" customWidth="1"/>
    <col min="4" max="4" width="10.85546875" customWidth="1"/>
    <col min="5" max="5" width="15.42578125" customWidth="1"/>
    <col min="6" max="6" width="17.140625" customWidth="1"/>
    <col min="7" max="7" width="26.140625" customWidth="1"/>
    <col min="8" max="8" width="17.28515625" customWidth="1"/>
    <col min="9" max="9" width="25.7109375" customWidth="1"/>
  </cols>
  <sheetData>
    <row r="1" spans="1:9" ht="20.25" thickBot="1">
      <c r="A1" s="90" t="s">
        <v>105</v>
      </c>
      <c r="G1" s="62"/>
      <c r="H1" s="62"/>
      <c r="I1" s="99"/>
    </row>
    <row r="2" spans="1:9" ht="25.5" thickBot="1">
      <c r="A2" s="1860" t="s">
        <v>247</v>
      </c>
      <c r="B2" s="1861"/>
      <c r="C2" s="1861"/>
      <c r="D2" s="1861"/>
      <c r="E2" s="1861"/>
      <c r="F2" s="1861"/>
      <c r="G2" s="1862"/>
      <c r="H2" s="135"/>
      <c r="I2" s="135"/>
    </row>
    <row r="4" spans="1:9">
      <c r="F4" s="99" t="s">
        <v>177</v>
      </c>
      <c r="G4" s="136" t="e">
        <f>#REF!</f>
        <v>#REF!</v>
      </c>
    </row>
    <row r="5" spans="1:9">
      <c r="F5" s="99" t="s">
        <v>176</v>
      </c>
      <c r="G5" s="136" t="e">
        <f>#REF!</f>
        <v>#REF!</v>
      </c>
    </row>
    <row r="6" spans="1:9" s="142" customFormat="1">
      <c r="F6" s="99" t="s">
        <v>198</v>
      </c>
      <c r="G6" s="136" t="e">
        <f>#REF!</f>
        <v>#REF!</v>
      </c>
    </row>
    <row r="7" spans="1:9">
      <c r="F7" s="99" t="s">
        <v>197</v>
      </c>
      <c r="G7" s="136" t="e">
        <f>#REF!</f>
        <v>#REF!</v>
      </c>
    </row>
    <row r="8" spans="1:9" ht="22.5" customHeight="1">
      <c r="A8" s="1" t="s">
        <v>166</v>
      </c>
      <c r="B8" s="2"/>
      <c r="C8" s="3"/>
      <c r="D8" s="52" t="s">
        <v>98</v>
      </c>
      <c r="E8" s="70" t="s">
        <v>99</v>
      </c>
      <c r="F8" s="71" t="s">
        <v>100</v>
      </c>
      <c r="G8" s="71" t="s">
        <v>114</v>
      </c>
    </row>
    <row r="9" spans="1:9" ht="15.75">
      <c r="A9" s="4" t="s">
        <v>0</v>
      </c>
      <c r="B9" s="5"/>
      <c r="C9" s="6" t="s">
        <v>168</v>
      </c>
      <c r="D9" s="158"/>
      <c r="E9" s="159"/>
      <c r="F9" s="160"/>
      <c r="G9" s="161"/>
    </row>
    <row r="10" spans="1:9" ht="15.75">
      <c r="A10" s="4" t="s">
        <v>167</v>
      </c>
      <c r="B10" s="5"/>
      <c r="C10" s="12" t="s">
        <v>171</v>
      </c>
      <c r="D10" s="162" t="s">
        <v>94</v>
      </c>
      <c r="E10" s="163" t="e">
        <f>#REF!</f>
        <v>#REF!</v>
      </c>
      <c r="F10" s="164">
        <f>'BPU préf'!E9</f>
        <v>11000</v>
      </c>
      <c r="G10" s="164" t="e">
        <f>E10*F10</f>
        <v>#REF!</v>
      </c>
    </row>
    <row r="11" spans="1:9" ht="15.75">
      <c r="A11" s="22" t="s">
        <v>169</v>
      </c>
      <c r="B11" s="30"/>
      <c r="C11" s="24" t="s">
        <v>170</v>
      </c>
      <c r="D11" s="165" t="s">
        <v>94</v>
      </c>
      <c r="E11" s="166" t="e">
        <f>#REF!</f>
        <v>#REF!</v>
      </c>
      <c r="F11" s="167">
        <f>'BPU préf'!E10</f>
        <v>9300</v>
      </c>
      <c r="G11" s="167" t="e">
        <f>E11*F11</f>
        <v>#REF!</v>
      </c>
    </row>
    <row r="12" spans="1:9" ht="18.75">
      <c r="A12" s="110"/>
      <c r="B12" s="5"/>
      <c r="C12" s="12"/>
      <c r="D12" s="95"/>
      <c r="E12" s="92"/>
      <c r="F12" s="93" t="s">
        <v>106</v>
      </c>
      <c r="G12" s="94" t="e">
        <f>SUM(G10:G11)</f>
        <v>#REF!</v>
      </c>
    </row>
    <row r="13" spans="1:9" ht="15.75">
      <c r="A13" s="10"/>
      <c r="B13" s="11"/>
      <c r="C13" s="12"/>
      <c r="D13" s="51"/>
      <c r="E13" s="12"/>
      <c r="F13" s="51"/>
      <c r="G13" s="121"/>
    </row>
    <row r="14" spans="1:9" ht="22.5" customHeight="1">
      <c r="A14" s="1" t="s">
        <v>175</v>
      </c>
      <c r="B14" s="2"/>
      <c r="C14" s="3"/>
      <c r="D14" s="52" t="s">
        <v>98</v>
      </c>
      <c r="E14" s="70" t="s">
        <v>99</v>
      </c>
      <c r="F14" s="71" t="s">
        <v>100</v>
      </c>
      <c r="G14" s="71" t="s">
        <v>114</v>
      </c>
    </row>
    <row r="15" spans="1:9" ht="15.75">
      <c r="A15" s="4">
        <v>201</v>
      </c>
      <c r="B15" s="42"/>
      <c r="C15" s="43" t="s">
        <v>199</v>
      </c>
      <c r="D15" s="170" t="s">
        <v>1</v>
      </c>
      <c r="E15" s="171" t="e">
        <f>#REF!</f>
        <v>#REF!</v>
      </c>
      <c r="F15" s="171">
        <f>'BPU préf'!E14</f>
        <v>7514</v>
      </c>
      <c r="G15" s="173" t="e">
        <f>E15*F15</f>
        <v>#REF!</v>
      </c>
    </row>
    <row r="16" spans="1:9" s="142" customFormat="1" ht="15.75">
      <c r="A16" s="4">
        <v>202</v>
      </c>
      <c r="B16" s="5"/>
      <c r="C16" s="26" t="s">
        <v>200</v>
      </c>
      <c r="D16" s="272" t="s">
        <v>1</v>
      </c>
      <c r="E16" s="273" t="e">
        <f>#REF!</f>
        <v>#REF!</v>
      </c>
      <c r="F16" s="273">
        <f>'BPU préf'!E15</f>
        <v>5700</v>
      </c>
      <c r="G16" s="164" t="e">
        <f>E16*F16</f>
        <v>#REF!</v>
      </c>
    </row>
    <row r="17" spans="1:7" s="142" customFormat="1" ht="15.75">
      <c r="A17" s="22">
        <v>203</v>
      </c>
      <c r="B17" s="30"/>
      <c r="C17" s="169" t="s">
        <v>246</v>
      </c>
      <c r="D17" s="168" t="s">
        <v>1</v>
      </c>
      <c r="E17" s="174" t="e">
        <f>#REF!</f>
        <v>#REF!</v>
      </c>
      <c r="F17" s="174">
        <f>'BPU préf'!E16</f>
        <v>6315</v>
      </c>
      <c r="G17" s="167" t="e">
        <f>E17*F17</f>
        <v>#REF!</v>
      </c>
    </row>
    <row r="18" spans="1:7" ht="18.75">
      <c r="A18" s="10"/>
      <c r="B18" s="21"/>
      <c r="C18" s="12"/>
      <c r="D18" s="157"/>
      <c r="E18" s="130"/>
      <c r="F18" s="131" t="s">
        <v>111</v>
      </c>
      <c r="G18" s="132" t="e">
        <f>SUM(G15:G17)</f>
        <v>#REF!</v>
      </c>
    </row>
    <row r="20" spans="1:7" ht="25.5" customHeight="1">
      <c r="D20" s="95"/>
      <c r="E20" s="92"/>
      <c r="F20" s="93" t="s">
        <v>172</v>
      </c>
      <c r="G20" s="94" t="e">
        <f>+G12+G18</f>
        <v>#REF!</v>
      </c>
    </row>
    <row r="39" spans="3:3">
      <c r="C39" s="149"/>
    </row>
  </sheetData>
  <mergeCells count="1">
    <mergeCell ref="A2:G2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tabColor rgb="FFFFC000"/>
  </sheetPr>
  <dimension ref="B1:F10"/>
  <sheetViews>
    <sheetView workbookViewId="0"/>
  </sheetViews>
  <sheetFormatPr baseColWidth="10" defaultColWidth="9.140625" defaultRowHeight="15"/>
  <cols>
    <col min="1" max="1" width="9.140625" style="142"/>
    <col min="2" max="2" width="5.42578125" style="142" customWidth="1"/>
    <col min="3" max="3" width="20.28515625" style="142" customWidth="1"/>
    <col min="4" max="4" width="30.7109375" style="142" customWidth="1"/>
    <col min="5" max="5" width="16.7109375" style="142" customWidth="1"/>
    <col min="6" max="16384" width="9.140625" style="142"/>
  </cols>
  <sheetData>
    <row r="1" spans="2:6" ht="19.5">
      <c r="B1" s="90" t="s">
        <v>493</v>
      </c>
    </row>
    <row r="3" spans="2:6" ht="18.75">
      <c r="C3" s="376" t="s">
        <v>217</v>
      </c>
      <c r="D3" s="376" t="s">
        <v>291</v>
      </c>
      <c r="E3" s="376" t="s">
        <v>232</v>
      </c>
      <c r="F3" s="100"/>
    </row>
    <row r="4" spans="2:6" ht="18.75">
      <c r="C4" s="383"/>
      <c r="D4" s="376" t="s">
        <v>606</v>
      </c>
      <c r="E4" s="376" t="s">
        <v>231</v>
      </c>
    </row>
    <row r="5" spans="2:6" ht="21.95" customHeight="1">
      <c r="C5" s="379" t="s">
        <v>215</v>
      </c>
      <c r="D5" s="101" t="e">
        <f>#REF!</f>
        <v>#REF!</v>
      </c>
      <c r="E5" s="101" t="e">
        <f>D5/656</f>
        <v>#REF!</v>
      </c>
    </row>
    <row r="6" spans="2:6" ht="21.95" customHeight="1">
      <c r="C6" s="379" t="s">
        <v>216</v>
      </c>
      <c r="D6" s="101" t="e">
        <f>'Pref Qb'!G20</f>
        <v>#REF!</v>
      </c>
      <c r="E6" s="101" t="e">
        <f>D6/656</f>
        <v>#REF!</v>
      </c>
    </row>
    <row r="7" spans="2:6" ht="30" customHeight="1">
      <c r="C7" s="380" t="s">
        <v>218</v>
      </c>
      <c r="D7" s="377" t="e">
        <f>SUM(D5:D6)</f>
        <v>#REF!</v>
      </c>
      <c r="E7" s="378" t="e">
        <f>D7/656</f>
        <v>#REF!</v>
      </c>
    </row>
    <row r="8" spans="2:6" ht="21.95" customHeight="1"/>
    <row r="9" spans="2:6" ht="21.95" customHeight="1">
      <c r="D9" s="334"/>
    </row>
    <row r="10" spans="2:6" ht="21.95" customHeight="1"/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tabColor rgb="FFFFC000"/>
  </sheetPr>
  <dimension ref="A1:F10"/>
  <sheetViews>
    <sheetView workbookViewId="0"/>
  </sheetViews>
  <sheetFormatPr baseColWidth="10" defaultColWidth="9.140625" defaultRowHeight="15"/>
  <cols>
    <col min="1" max="1" width="9.140625" style="142"/>
    <col min="2" max="2" width="5.42578125" customWidth="1"/>
    <col min="3" max="3" width="20.28515625" customWidth="1"/>
    <col min="4" max="4" width="30.7109375" customWidth="1"/>
    <col min="5" max="5" width="16.7109375" customWidth="1"/>
  </cols>
  <sheetData>
    <row r="1" spans="2:6" ht="19.5">
      <c r="B1" s="90" t="s">
        <v>271</v>
      </c>
    </row>
    <row r="2" spans="2:6" ht="15.75" thickBot="1"/>
    <row r="3" spans="2:6" ht="19.5" thickBot="1">
      <c r="C3" s="243" t="s">
        <v>217</v>
      </c>
      <c r="D3" s="102" t="s">
        <v>104</v>
      </c>
      <c r="E3" s="244" t="s">
        <v>232</v>
      </c>
      <c r="F3" s="100"/>
    </row>
    <row r="4" spans="2:6" ht="19.5" thickBot="1">
      <c r="C4" s="245"/>
      <c r="D4" s="103" t="s">
        <v>103</v>
      </c>
      <c r="E4" s="244" t="s">
        <v>231</v>
      </c>
    </row>
    <row r="5" spans="2:6" ht="21.95" customHeight="1">
      <c r="C5" s="246" t="s">
        <v>215</v>
      </c>
      <c r="D5" s="101" t="e">
        <f>ROUND(#REF!+#REF!,0)</f>
        <v>#REF!</v>
      </c>
      <c r="E5" s="266" t="e">
        <f>D5/656</f>
        <v>#REF!</v>
      </c>
    </row>
    <row r="6" spans="2:6" ht="21.95" customHeight="1" thickBot="1">
      <c r="C6" s="246" t="s">
        <v>216</v>
      </c>
      <c r="D6" s="101" t="e">
        <f>ROUND('Pref Qb'!G20+'Pref Qa et Qc'!G20,0)</f>
        <v>#REF!</v>
      </c>
      <c r="E6" s="266" t="e">
        <f>D6/656</f>
        <v>#REF!</v>
      </c>
    </row>
    <row r="7" spans="2:6" ht="30" customHeight="1" thickBot="1">
      <c r="C7" s="104" t="s">
        <v>218</v>
      </c>
      <c r="D7" s="105" t="e">
        <f>SUM(D5:D6)</f>
        <v>#REF!</v>
      </c>
      <c r="E7" s="267" t="e">
        <f>D7/656</f>
        <v>#REF!</v>
      </c>
    </row>
    <row r="8" spans="2:6" ht="21.95" customHeight="1"/>
    <row r="9" spans="2:6" ht="21.95" customHeight="1"/>
    <row r="10" spans="2:6" ht="21.95" customHeight="1"/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tabColor rgb="FF7030A0"/>
  </sheetPr>
  <dimension ref="A1:GG176"/>
  <sheetViews>
    <sheetView view="pageBreakPreview" zoomScale="75" zoomScaleNormal="80" zoomScaleSheetLayoutView="75" workbookViewId="0">
      <selection activeCell="C140" sqref="C140"/>
    </sheetView>
  </sheetViews>
  <sheetFormatPr baseColWidth="10" defaultColWidth="9.140625" defaultRowHeight="15"/>
  <cols>
    <col min="1" max="1" width="14.7109375" style="421" customWidth="1"/>
    <col min="2" max="2" width="90.140625" style="142" customWidth="1"/>
    <col min="3" max="3" width="11" style="142" customWidth="1"/>
    <col min="4" max="4" width="14.85546875" style="142" customWidth="1"/>
    <col min="5" max="5" width="20" style="142" customWidth="1"/>
    <col min="6" max="6" width="23.28515625" style="142" customWidth="1"/>
    <col min="7" max="7" width="13.85546875" style="142" bestFit="1" customWidth="1"/>
    <col min="8" max="8" width="21.28515625" style="255" customWidth="1"/>
    <col min="9" max="9" width="23.140625" style="262" bestFit="1" customWidth="1"/>
    <col min="10" max="10" width="16" style="255" bestFit="1" customWidth="1"/>
    <col min="11" max="11" width="9.140625" style="129"/>
    <col min="12" max="12" width="9.28515625" style="129" bestFit="1" customWidth="1"/>
    <col min="13" max="189" width="9.140625" style="129"/>
    <col min="190" max="16384" width="9.140625" style="142"/>
  </cols>
  <sheetData>
    <row r="1" spans="1:10" ht="20.25" thickBot="1">
      <c r="A1" s="1971" t="e">
        <f>+#REF!</f>
        <v>#REF!</v>
      </c>
      <c r="B1" s="1971"/>
      <c r="C1" s="1971"/>
      <c r="D1" s="1971"/>
      <c r="E1" s="1971"/>
      <c r="F1" s="1971"/>
    </row>
    <row r="2" spans="1:10" ht="25.5" thickBot="1">
      <c r="A2" s="1856" t="s">
        <v>298</v>
      </c>
      <c r="B2" s="1857"/>
      <c r="C2" s="1857"/>
      <c r="D2" s="1857"/>
      <c r="E2" s="1857"/>
      <c r="F2" s="1858"/>
      <c r="G2" s="119"/>
    </row>
    <row r="3" spans="1:10" ht="19.5">
      <c r="A3" s="434"/>
      <c r="D3" s="62"/>
      <c r="E3" s="99" t="s">
        <v>427</v>
      </c>
      <c r="F3" s="62">
        <v>700</v>
      </c>
      <c r="G3" s="142" t="s">
        <v>428</v>
      </c>
      <c r="H3" s="255" t="s">
        <v>429</v>
      </c>
    </row>
    <row r="4" spans="1:10" s="129" customFormat="1" ht="19.5">
      <c r="A4" s="434"/>
      <c r="B4" s="142"/>
      <c r="C4" s="142"/>
      <c r="D4" s="62"/>
      <c r="E4" s="99" t="s">
        <v>432</v>
      </c>
      <c r="F4" s="62">
        <f>1150-F3</f>
        <v>450</v>
      </c>
      <c r="G4" s="142" t="s">
        <v>430</v>
      </c>
      <c r="H4" s="255" t="s">
        <v>431</v>
      </c>
      <c r="I4" s="262"/>
      <c r="J4" s="255"/>
    </row>
    <row r="5" spans="1:10" s="129" customFormat="1" ht="19.5">
      <c r="A5" s="434"/>
      <c r="B5" s="142"/>
      <c r="C5" s="142"/>
      <c r="D5" s="62"/>
      <c r="E5" s="99" t="s">
        <v>745</v>
      </c>
      <c r="F5" s="370">
        <f>1835-F3-F4</f>
        <v>685</v>
      </c>
      <c r="G5" s="142" t="s">
        <v>434</v>
      </c>
      <c r="H5" s="255" t="s">
        <v>433</v>
      </c>
      <c r="I5" s="262"/>
      <c r="J5" s="255"/>
    </row>
    <row r="6" spans="1:10" s="129" customFormat="1" ht="19.5">
      <c r="A6" s="434"/>
      <c r="B6" s="1683"/>
      <c r="C6" s="142"/>
      <c r="D6" s="62"/>
      <c r="E6" s="99" t="s">
        <v>435</v>
      </c>
      <c r="F6" s="370">
        <f>40*0</f>
        <v>0</v>
      </c>
      <c r="G6" s="142"/>
      <c r="H6" s="255"/>
      <c r="I6" s="262">
        <v>285</v>
      </c>
      <c r="J6" s="255"/>
    </row>
    <row r="7" spans="1:10" s="129" customFormat="1" ht="19.5">
      <c r="A7" s="434"/>
      <c r="B7" s="1683"/>
      <c r="C7" s="142"/>
      <c r="D7" s="62"/>
      <c r="E7" s="99" t="s">
        <v>751</v>
      </c>
      <c r="F7" s="62">
        <f>2125-F3-F4-F5</f>
        <v>290</v>
      </c>
      <c r="G7" s="142"/>
      <c r="H7" s="255"/>
      <c r="I7" s="262"/>
      <c r="J7" s="255"/>
    </row>
    <row r="8" spans="1:10" s="129" customFormat="1" ht="19.5">
      <c r="A8" s="434"/>
      <c r="B8" s="62"/>
      <c r="C8" s="142"/>
      <c r="D8" s="62"/>
      <c r="E8" s="99" t="s">
        <v>438</v>
      </c>
      <c r="F8" s="142">
        <f>20*20*2</f>
        <v>800</v>
      </c>
      <c r="G8" s="142"/>
      <c r="H8" s="255"/>
      <c r="I8" s="262"/>
      <c r="J8" s="255"/>
    </row>
    <row r="9" spans="1:10" s="129" customFormat="1" ht="15" customHeight="1">
      <c r="A9" s="106"/>
      <c r="B9" s="142"/>
      <c r="C9" s="142"/>
      <c r="D9" s="62"/>
      <c r="E9" s="99" t="s">
        <v>743</v>
      </c>
      <c r="F9" s="144">
        <f>SUM(F3:F8)</f>
        <v>2925</v>
      </c>
      <c r="G9" s="89"/>
      <c r="H9" s="129" t="s">
        <v>436</v>
      </c>
      <c r="I9" s="129">
        <f>(13.45+1.15+1.75)*0 +5</f>
        <v>5</v>
      </c>
    </row>
    <row r="10" spans="1:10" s="129" customFormat="1" ht="15" customHeight="1">
      <c r="A10" s="106"/>
      <c r="B10" s="142"/>
      <c r="C10" s="142"/>
      <c r="D10" s="62"/>
      <c r="E10" s="525" t="s">
        <v>744</v>
      </c>
      <c r="F10" s="1469">
        <v>2125</v>
      </c>
      <c r="G10" s="89">
        <v>5</v>
      </c>
    </row>
    <row r="11" spans="1:10" s="129" customFormat="1" ht="24.95" customHeight="1">
      <c r="A11" s="1410" t="s">
        <v>661</v>
      </c>
      <c r="B11" s="1411" t="s">
        <v>584</v>
      </c>
      <c r="C11" s="1409" t="s">
        <v>98</v>
      </c>
      <c r="D11" s="1402" t="s">
        <v>99</v>
      </c>
      <c r="E11" s="1403" t="s">
        <v>100</v>
      </c>
      <c r="F11" s="1403" t="s">
        <v>114</v>
      </c>
      <c r="G11" s="89"/>
      <c r="H11" s="255"/>
      <c r="I11" s="262"/>
      <c r="J11" s="255"/>
    </row>
    <row r="12" spans="1:10" s="129" customFormat="1" ht="24.95" customHeight="1">
      <c r="A12" s="1863" t="e">
        <f>#REF!</f>
        <v>#REF!</v>
      </c>
      <c r="B12" s="1864"/>
      <c r="C12" s="1864"/>
      <c r="D12" s="1864"/>
      <c r="E12" s="1864"/>
      <c r="F12" s="1865"/>
      <c r="G12" s="142"/>
      <c r="H12" s="255" t="s">
        <v>186</v>
      </c>
      <c r="I12" s="262" t="s">
        <v>187</v>
      </c>
      <c r="J12" s="255" t="s">
        <v>188</v>
      </c>
    </row>
    <row r="13" spans="1:10" s="129" customFormat="1" ht="30" customHeight="1">
      <c r="A13" s="682" t="e">
        <f>#REF!</f>
        <v>#REF!</v>
      </c>
      <c r="B13" s="687" t="e">
        <f>#REF!</f>
        <v>#REF!</v>
      </c>
      <c r="C13" s="1475"/>
      <c r="D13" s="210"/>
      <c r="E13" s="942"/>
      <c r="F13" s="204"/>
      <c r="G13" s="142"/>
      <c r="H13" s="255"/>
      <c r="I13" s="262"/>
      <c r="J13" s="255"/>
    </row>
    <row r="14" spans="1:10" s="129" customFormat="1">
      <c r="A14" s="690"/>
      <c r="B14" s="690"/>
      <c r="C14" s="1476" t="e">
        <f>#REF!</f>
        <v>#REF!</v>
      </c>
      <c r="D14" s="237">
        <v>1</v>
      </c>
      <c r="E14" s="208">
        <f>J14</f>
        <v>330000000</v>
      </c>
      <c r="F14" s="208">
        <f>+D14*E14</f>
        <v>330000000</v>
      </c>
      <c r="G14" s="142"/>
      <c r="H14" s="256">
        <f>330000000</f>
        <v>330000000</v>
      </c>
      <c r="I14" s="262">
        <v>1</v>
      </c>
      <c r="J14" s="255">
        <f>H14*I14</f>
        <v>330000000</v>
      </c>
    </row>
    <row r="15" spans="1:10" s="129" customFormat="1">
      <c r="A15" s="684" t="e">
        <f>#REF!</f>
        <v>#REF!</v>
      </c>
      <c r="B15" s="684" t="e">
        <f>#REF!</f>
        <v>#REF!</v>
      </c>
      <c r="C15" s="1477"/>
      <c r="D15" s="213"/>
      <c r="E15" s="65"/>
      <c r="F15" s="65"/>
      <c r="G15" s="142"/>
      <c r="H15" s="255"/>
      <c r="I15" s="262"/>
      <c r="J15" s="255"/>
    </row>
    <row r="16" spans="1:10" s="129" customFormat="1">
      <c r="A16" s="690"/>
      <c r="B16" s="690"/>
      <c r="C16" s="1476" t="e">
        <f>#REF!</f>
        <v>#REF!</v>
      </c>
      <c r="D16" s="237">
        <v>1</v>
      </c>
      <c r="E16" s="64">
        <f>+G16</f>
        <v>66000000</v>
      </c>
      <c r="F16" s="64">
        <f>+D16*E16</f>
        <v>66000000</v>
      </c>
      <c r="G16" s="255">
        <f>+H14*0.2</f>
        <v>66000000</v>
      </c>
      <c r="H16" s="255">
        <f>SUM(F3:F8)</f>
        <v>2925</v>
      </c>
      <c r="I16" s="262">
        <v>1.1000000000000001</v>
      </c>
      <c r="J16" s="255">
        <f>H16*I16</f>
        <v>3217.5000000000005</v>
      </c>
    </row>
    <row r="17" spans="1:189" s="129" customFormat="1" ht="18.75">
      <c r="A17" s="407"/>
      <c r="B17" s="27"/>
      <c r="C17" s="1474"/>
      <c r="D17" s="92"/>
      <c r="E17" s="93" t="s">
        <v>108</v>
      </c>
      <c r="F17" s="94">
        <f>SUM(F13:F16)</f>
        <v>396000000</v>
      </c>
      <c r="G17" s="142"/>
      <c r="H17" s="255"/>
      <c r="I17" s="262"/>
      <c r="J17" s="255"/>
    </row>
    <row r="18" spans="1:189" s="129" customFormat="1">
      <c r="A18" s="421"/>
      <c r="B18" s="142"/>
      <c r="C18" s="142"/>
      <c r="D18" s="75"/>
      <c r="E18" s="62"/>
      <c r="F18" s="62"/>
      <c r="G18" s="142"/>
      <c r="H18" s="255"/>
      <c r="I18" s="262"/>
      <c r="J18" s="255"/>
    </row>
    <row r="19" spans="1:189" s="129" customFormat="1" ht="24.95" customHeight="1">
      <c r="A19" s="1972" t="e">
        <f>#REF!</f>
        <v>#REF!</v>
      </c>
      <c r="B19" s="1973"/>
      <c r="C19" s="1973"/>
      <c r="D19" s="1973"/>
      <c r="E19" s="1973"/>
      <c r="F19" s="1974"/>
      <c r="G19" s="142"/>
      <c r="H19" s="255"/>
      <c r="I19" s="262"/>
      <c r="J19" s="255"/>
    </row>
    <row r="20" spans="1:189" s="500" customFormat="1">
      <c r="A20" s="689" t="e">
        <f>#REF!</f>
        <v>#REF!</v>
      </c>
      <c r="B20" s="711" t="e">
        <f>#REF!</f>
        <v>#REF!</v>
      </c>
      <c r="C20" s="1478"/>
      <c r="D20" s="1692"/>
      <c r="E20" s="641"/>
      <c r="F20" s="740"/>
      <c r="H20" s="1254"/>
      <c r="I20" s="1256"/>
      <c r="J20" s="1254"/>
      <c r="K20" s="1257"/>
      <c r="L20" s="1257"/>
      <c r="M20" s="1257"/>
      <c r="N20" s="1257"/>
      <c r="O20" s="1257"/>
      <c r="P20" s="1257"/>
      <c r="Q20" s="1257"/>
      <c r="R20" s="1257"/>
      <c r="S20" s="1257"/>
      <c r="T20" s="1257"/>
      <c r="U20" s="1257"/>
      <c r="V20" s="1257"/>
      <c r="W20" s="1257"/>
      <c r="X20" s="1257"/>
      <c r="Y20" s="1257"/>
      <c r="Z20" s="1257"/>
      <c r="AA20" s="1257"/>
      <c r="AB20" s="1257"/>
      <c r="AC20" s="1257"/>
      <c r="AD20" s="1257"/>
      <c r="AE20" s="1257"/>
      <c r="AF20" s="1257"/>
      <c r="AG20" s="1257"/>
      <c r="AH20" s="1257"/>
      <c r="AI20" s="1257"/>
      <c r="AJ20" s="1257"/>
      <c r="AK20" s="1257"/>
      <c r="AL20" s="1257"/>
      <c r="AM20" s="1257"/>
      <c r="AN20" s="1257"/>
      <c r="AO20" s="1257"/>
      <c r="AP20" s="1257"/>
      <c r="AQ20" s="1257"/>
      <c r="AR20" s="1257"/>
      <c r="AS20" s="1257"/>
      <c r="AT20" s="1257"/>
      <c r="AU20" s="1257"/>
      <c r="AV20" s="1257"/>
      <c r="AW20" s="1257"/>
      <c r="AX20" s="1257"/>
      <c r="AY20" s="1257"/>
      <c r="AZ20" s="1257"/>
      <c r="BA20" s="1257"/>
      <c r="BB20" s="1257"/>
      <c r="BC20" s="1257"/>
      <c r="BD20" s="1257"/>
      <c r="BE20" s="1257"/>
      <c r="BF20" s="1257"/>
      <c r="BG20" s="1257"/>
      <c r="BH20" s="1257"/>
      <c r="BI20" s="1257"/>
      <c r="BJ20" s="1257"/>
      <c r="BK20" s="1257"/>
      <c r="BL20" s="1257"/>
      <c r="BM20" s="1257"/>
      <c r="BN20" s="1257"/>
      <c r="BO20" s="1257"/>
      <c r="BP20" s="1257"/>
      <c r="BQ20" s="1257"/>
      <c r="BR20" s="1257"/>
      <c r="BS20" s="1257"/>
      <c r="BT20" s="1257"/>
      <c r="BU20" s="1257"/>
      <c r="BV20" s="1257"/>
      <c r="BW20" s="1257"/>
      <c r="BX20" s="1257"/>
      <c r="BY20" s="1257"/>
      <c r="BZ20" s="1257"/>
      <c r="CA20" s="1257"/>
      <c r="CB20" s="1257"/>
      <c r="CC20" s="1257"/>
      <c r="CD20" s="1257"/>
      <c r="CE20" s="1257"/>
      <c r="CF20" s="1257"/>
      <c r="CG20" s="1257"/>
      <c r="CH20" s="1257"/>
      <c r="CI20" s="1257"/>
      <c r="CJ20" s="1257"/>
      <c r="CK20" s="1257"/>
      <c r="CL20" s="1257"/>
      <c r="CM20" s="1257"/>
      <c r="CN20" s="1257"/>
      <c r="CO20" s="1257"/>
      <c r="CP20" s="1257"/>
      <c r="CQ20" s="1257"/>
      <c r="CR20" s="1257"/>
      <c r="CS20" s="1257"/>
      <c r="CT20" s="1257"/>
      <c r="CU20" s="1257"/>
      <c r="CV20" s="1257"/>
      <c r="CW20" s="1257"/>
      <c r="CX20" s="1257"/>
      <c r="CY20" s="1257"/>
      <c r="CZ20" s="1257"/>
      <c r="DA20" s="1257"/>
      <c r="DB20" s="1257"/>
      <c r="DC20" s="1257"/>
      <c r="DD20" s="1257"/>
      <c r="DE20" s="1257"/>
      <c r="DF20" s="1257"/>
      <c r="DG20" s="1257"/>
      <c r="DH20" s="1257"/>
      <c r="DI20" s="1257"/>
      <c r="DJ20" s="1257"/>
      <c r="DK20" s="1257"/>
      <c r="DL20" s="1257"/>
      <c r="DM20" s="1257"/>
      <c r="DN20" s="1257"/>
      <c r="DO20" s="1257"/>
      <c r="DP20" s="1257"/>
      <c r="DQ20" s="1257"/>
      <c r="DR20" s="1257"/>
      <c r="DS20" s="1257"/>
      <c r="DT20" s="1257"/>
      <c r="DU20" s="1257"/>
      <c r="DV20" s="1257"/>
      <c r="DW20" s="1257"/>
      <c r="DX20" s="1257"/>
      <c r="DY20" s="1257"/>
      <c r="DZ20" s="1257"/>
      <c r="EA20" s="1257"/>
      <c r="EB20" s="1257"/>
      <c r="EC20" s="1257"/>
      <c r="ED20" s="1257"/>
      <c r="EE20" s="1257"/>
      <c r="EF20" s="1257"/>
      <c r="EG20" s="1257"/>
      <c r="EH20" s="1257"/>
      <c r="EI20" s="1257"/>
      <c r="EJ20" s="1257"/>
      <c r="EK20" s="1257"/>
      <c r="EL20" s="1257"/>
      <c r="EM20" s="1257"/>
      <c r="EN20" s="1257"/>
      <c r="EO20" s="1257"/>
      <c r="EP20" s="1257"/>
      <c r="EQ20" s="1257"/>
      <c r="ER20" s="1257"/>
      <c r="ES20" s="1257"/>
      <c r="ET20" s="1257"/>
      <c r="EU20" s="1257"/>
      <c r="EV20" s="1257"/>
      <c r="EW20" s="1257"/>
      <c r="EX20" s="1257"/>
      <c r="EY20" s="1257"/>
      <c r="EZ20" s="1257"/>
      <c r="FA20" s="1257"/>
      <c r="FB20" s="1257"/>
      <c r="FC20" s="1257"/>
      <c r="FD20" s="1257"/>
      <c r="FE20" s="1257"/>
      <c r="FF20" s="1257"/>
      <c r="FG20" s="1257"/>
      <c r="FH20" s="1257"/>
      <c r="FI20" s="1257"/>
      <c r="FJ20" s="1257"/>
      <c r="FK20" s="1257"/>
      <c r="FL20" s="1257"/>
      <c r="FM20" s="1257"/>
      <c r="FN20" s="1257"/>
      <c r="FO20" s="1257"/>
      <c r="FP20" s="1257"/>
      <c r="FQ20" s="1257"/>
      <c r="FR20" s="1257"/>
      <c r="FS20" s="1257"/>
      <c r="FT20" s="1257"/>
      <c r="FU20" s="1257"/>
      <c r="FV20" s="1257"/>
      <c r="FW20" s="1257"/>
      <c r="FX20" s="1257"/>
      <c r="FY20" s="1257"/>
      <c r="FZ20" s="1257"/>
      <c r="GA20" s="1257"/>
      <c r="GB20" s="1257"/>
      <c r="GC20" s="1257"/>
      <c r="GD20" s="1257"/>
      <c r="GE20" s="1257"/>
      <c r="GF20" s="1257"/>
      <c r="GG20" s="1257"/>
    </row>
    <row r="21" spans="1:189" s="500" customFormat="1">
      <c r="A21" s="1425"/>
      <c r="B21" s="691"/>
      <c r="C21" s="1480" t="e">
        <f>#REF!</f>
        <v>#REF!</v>
      </c>
      <c r="D21" s="1693">
        <v>1</v>
      </c>
      <c r="E21" s="527" t="e">
        <f>+#REF!*1.1</f>
        <v>#REF!</v>
      </c>
      <c r="F21" s="741" t="e">
        <f>+D21*E21</f>
        <v>#REF!</v>
      </c>
      <c r="H21" s="1254"/>
      <c r="I21" s="1256"/>
      <c r="J21" s="1254"/>
      <c r="K21" s="1257"/>
      <c r="L21" s="1257"/>
      <c r="M21" s="1257"/>
      <c r="N21" s="1257"/>
      <c r="O21" s="1257"/>
      <c r="P21" s="1257"/>
      <c r="Q21" s="1257"/>
      <c r="R21" s="1257"/>
      <c r="S21" s="1257"/>
      <c r="T21" s="1257"/>
      <c r="U21" s="1257"/>
      <c r="V21" s="1257"/>
      <c r="W21" s="1257"/>
      <c r="X21" s="1257"/>
      <c r="Y21" s="1257"/>
      <c r="Z21" s="1257"/>
      <c r="AA21" s="1257"/>
      <c r="AB21" s="1257"/>
      <c r="AC21" s="1257"/>
      <c r="AD21" s="1257"/>
      <c r="AE21" s="1257"/>
      <c r="AF21" s="1257"/>
      <c r="AG21" s="1257"/>
      <c r="AH21" s="1257"/>
      <c r="AI21" s="1257"/>
      <c r="AJ21" s="1257"/>
      <c r="AK21" s="1257"/>
      <c r="AL21" s="1257"/>
      <c r="AM21" s="1257"/>
      <c r="AN21" s="1257"/>
      <c r="AO21" s="1257"/>
      <c r="AP21" s="1257"/>
      <c r="AQ21" s="1257"/>
      <c r="AR21" s="1257"/>
      <c r="AS21" s="1257"/>
      <c r="AT21" s="1257"/>
      <c r="AU21" s="1257"/>
      <c r="AV21" s="1257"/>
      <c r="AW21" s="1257"/>
      <c r="AX21" s="1257"/>
      <c r="AY21" s="1257"/>
      <c r="AZ21" s="1257"/>
      <c r="BA21" s="1257"/>
      <c r="BB21" s="1257"/>
      <c r="BC21" s="1257"/>
      <c r="BD21" s="1257"/>
      <c r="BE21" s="1257"/>
      <c r="BF21" s="1257"/>
      <c r="BG21" s="1257"/>
      <c r="BH21" s="1257"/>
      <c r="BI21" s="1257"/>
      <c r="BJ21" s="1257"/>
      <c r="BK21" s="1257"/>
      <c r="BL21" s="1257"/>
      <c r="BM21" s="1257"/>
      <c r="BN21" s="1257"/>
      <c r="BO21" s="1257"/>
      <c r="BP21" s="1257"/>
      <c r="BQ21" s="1257"/>
      <c r="BR21" s="1257"/>
      <c r="BS21" s="1257"/>
      <c r="BT21" s="1257"/>
      <c r="BU21" s="1257"/>
      <c r="BV21" s="1257"/>
      <c r="BW21" s="1257"/>
      <c r="BX21" s="1257"/>
      <c r="BY21" s="1257"/>
      <c r="BZ21" s="1257"/>
      <c r="CA21" s="1257"/>
      <c r="CB21" s="1257"/>
      <c r="CC21" s="1257"/>
      <c r="CD21" s="1257"/>
      <c r="CE21" s="1257"/>
      <c r="CF21" s="1257"/>
      <c r="CG21" s="1257"/>
      <c r="CH21" s="1257"/>
      <c r="CI21" s="1257"/>
      <c r="CJ21" s="1257"/>
      <c r="CK21" s="1257"/>
      <c r="CL21" s="1257"/>
      <c r="CM21" s="1257"/>
      <c r="CN21" s="1257"/>
      <c r="CO21" s="1257"/>
      <c r="CP21" s="1257"/>
      <c r="CQ21" s="1257"/>
      <c r="CR21" s="1257"/>
      <c r="CS21" s="1257"/>
      <c r="CT21" s="1257"/>
      <c r="CU21" s="1257"/>
      <c r="CV21" s="1257"/>
      <c r="CW21" s="1257"/>
      <c r="CX21" s="1257"/>
      <c r="CY21" s="1257"/>
      <c r="CZ21" s="1257"/>
      <c r="DA21" s="1257"/>
      <c r="DB21" s="1257"/>
      <c r="DC21" s="1257"/>
      <c r="DD21" s="1257"/>
      <c r="DE21" s="1257"/>
      <c r="DF21" s="1257"/>
      <c r="DG21" s="1257"/>
      <c r="DH21" s="1257"/>
      <c r="DI21" s="1257"/>
      <c r="DJ21" s="1257"/>
      <c r="DK21" s="1257"/>
      <c r="DL21" s="1257"/>
      <c r="DM21" s="1257"/>
      <c r="DN21" s="1257"/>
      <c r="DO21" s="1257"/>
      <c r="DP21" s="1257"/>
      <c r="DQ21" s="1257"/>
      <c r="DR21" s="1257"/>
      <c r="DS21" s="1257"/>
      <c r="DT21" s="1257"/>
      <c r="DU21" s="1257"/>
      <c r="DV21" s="1257"/>
      <c r="DW21" s="1257"/>
      <c r="DX21" s="1257"/>
      <c r="DY21" s="1257"/>
      <c r="DZ21" s="1257"/>
      <c r="EA21" s="1257"/>
      <c r="EB21" s="1257"/>
      <c r="EC21" s="1257"/>
      <c r="ED21" s="1257"/>
      <c r="EE21" s="1257"/>
      <c r="EF21" s="1257"/>
      <c r="EG21" s="1257"/>
      <c r="EH21" s="1257"/>
      <c r="EI21" s="1257"/>
      <c r="EJ21" s="1257"/>
      <c r="EK21" s="1257"/>
      <c r="EL21" s="1257"/>
      <c r="EM21" s="1257"/>
      <c r="EN21" s="1257"/>
      <c r="EO21" s="1257"/>
      <c r="EP21" s="1257"/>
      <c r="EQ21" s="1257"/>
      <c r="ER21" s="1257"/>
      <c r="ES21" s="1257"/>
      <c r="ET21" s="1257"/>
      <c r="EU21" s="1257"/>
      <c r="EV21" s="1257"/>
      <c r="EW21" s="1257"/>
      <c r="EX21" s="1257"/>
      <c r="EY21" s="1257"/>
      <c r="EZ21" s="1257"/>
      <c r="FA21" s="1257"/>
      <c r="FB21" s="1257"/>
      <c r="FC21" s="1257"/>
      <c r="FD21" s="1257"/>
      <c r="FE21" s="1257"/>
      <c r="FF21" s="1257"/>
      <c r="FG21" s="1257"/>
      <c r="FH21" s="1257"/>
      <c r="FI21" s="1257"/>
      <c r="FJ21" s="1257"/>
      <c r="FK21" s="1257"/>
      <c r="FL21" s="1257"/>
      <c r="FM21" s="1257"/>
      <c r="FN21" s="1257"/>
      <c r="FO21" s="1257"/>
      <c r="FP21" s="1257"/>
      <c r="FQ21" s="1257"/>
      <c r="FR21" s="1257"/>
      <c r="FS21" s="1257"/>
      <c r="FT21" s="1257"/>
      <c r="FU21" s="1257"/>
      <c r="FV21" s="1257"/>
      <c r="FW21" s="1257"/>
      <c r="FX21" s="1257"/>
      <c r="FY21" s="1257"/>
      <c r="FZ21" s="1257"/>
      <c r="GA21" s="1257"/>
      <c r="GB21" s="1257"/>
      <c r="GC21" s="1257"/>
      <c r="GD21" s="1257"/>
      <c r="GE21" s="1257"/>
      <c r="GF21" s="1257"/>
      <c r="GG21" s="1257"/>
    </row>
    <row r="22" spans="1:189" s="944" customFormat="1">
      <c r="A22" s="745" t="e">
        <f>#REF!</f>
        <v>#REF!</v>
      </c>
      <c r="B22" s="830" t="e">
        <f>#REF!</f>
        <v>#REF!</v>
      </c>
      <c r="C22" s="1478"/>
      <c r="D22" s="1694"/>
      <c r="E22" s="544"/>
      <c r="F22" s="1136"/>
      <c r="H22" s="1446"/>
      <c r="I22" s="1447"/>
      <c r="J22" s="1446"/>
    </row>
    <row r="23" spans="1:189" s="944" customFormat="1">
      <c r="A23" s="1432"/>
      <c r="B23" s="680"/>
      <c r="C23" s="1480" t="e">
        <f>#REF!</f>
        <v>#REF!</v>
      </c>
      <c r="D23" s="1695">
        <v>1</v>
      </c>
      <c r="E23" s="547" t="e">
        <f>+G23</f>
        <v>#REF!</v>
      </c>
      <c r="F23" s="963" t="e">
        <f>+D23*E23</f>
        <v>#REF!</v>
      </c>
      <c r="G23" s="1446" t="e">
        <f>+ROUND(F162*0.02,0)</f>
        <v>#REF!</v>
      </c>
      <c r="H23" s="1446" t="e">
        <f>E23*1.1</f>
        <v>#REF!</v>
      </c>
      <c r="I23" s="1447">
        <v>1.05</v>
      </c>
      <c r="J23" s="1446" t="e">
        <f>H23*I23</f>
        <v>#REF!</v>
      </c>
    </row>
    <row r="24" spans="1:189" s="1451" customFormat="1">
      <c r="A24" s="689" t="e">
        <f>#REF!</f>
        <v>#REF!</v>
      </c>
      <c r="B24" s="711" t="e">
        <f>#REF!</f>
        <v>#REF!</v>
      </c>
      <c r="C24" s="1524"/>
      <c r="D24" s="1694"/>
      <c r="E24" s="641"/>
      <c r="F24" s="740"/>
      <c r="H24" s="1452"/>
      <c r="I24" s="1453"/>
      <c r="J24" s="1452"/>
      <c r="K24" s="1454"/>
      <c r="L24" s="1454"/>
      <c r="M24" s="1454"/>
      <c r="N24" s="1454"/>
      <c r="O24" s="1454"/>
      <c r="P24" s="1454"/>
      <c r="Q24" s="1454"/>
      <c r="R24" s="1454"/>
      <c r="S24" s="1454"/>
      <c r="T24" s="1454"/>
      <c r="U24" s="1454"/>
      <c r="V24" s="1454"/>
      <c r="W24" s="1454"/>
      <c r="X24" s="1454"/>
      <c r="Y24" s="1454"/>
      <c r="Z24" s="1454"/>
      <c r="AA24" s="1454"/>
      <c r="AB24" s="1454"/>
      <c r="AC24" s="1454"/>
      <c r="AD24" s="1454"/>
      <c r="AE24" s="1454"/>
      <c r="AF24" s="1454"/>
      <c r="AG24" s="1454"/>
      <c r="AH24" s="1454"/>
      <c r="AI24" s="1454"/>
      <c r="AJ24" s="1454"/>
      <c r="AK24" s="1454"/>
      <c r="AL24" s="1454"/>
      <c r="AM24" s="1454"/>
      <c r="AN24" s="1454"/>
      <c r="AO24" s="1454"/>
      <c r="AP24" s="1454"/>
      <c r="AQ24" s="1454"/>
      <c r="AR24" s="1454"/>
      <c r="AS24" s="1454"/>
      <c r="AT24" s="1454"/>
      <c r="AU24" s="1454"/>
      <c r="AV24" s="1454"/>
      <c r="AW24" s="1454"/>
      <c r="AX24" s="1454"/>
      <c r="AY24" s="1454"/>
      <c r="AZ24" s="1454"/>
      <c r="BA24" s="1454"/>
      <c r="BB24" s="1454"/>
      <c r="BC24" s="1454"/>
      <c r="BD24" s="1454"/>
      <c r="BE24" s="1454"/>
      <c r="BF24" s="1454"/>
      <c r="BG24" s="1454"/>
      <c r="BH24" s="1454"/>
      <c r="BI24" s="1454"/>
      <c r="BJ24" s="1454"/>
      <c r="BK24" s="1454"/>
      <c r="BL24" s="1454"/>
      <c r="BM24" s="1454"/>
      <c r="BN24" s="1454"/>
      <c r="BO24" s="1454"/>
      <c r="BP24" s="1454"/>
      <c r="BQ24" s="1454"/>
      <c r="BR24" s="1454"/>
      <c r="BS24" s="1454"/>
      <c r="BT24" s="1454"/>
      <c r="BU24" s="1454"/>
      <c r="BV24" s="1454"/>
      <c r="BW24" s="1454"/>
      <c r="BX24" s="1454"/>
      <c r="BY24" s="1454"/>
      <c r="BZ24" s="1454"/>
      <c r="CA24" s="1454"/>
      <c r="CB24" s="1454"/>
      <c r="CC24" s="1454"/>
      <c r="CD24" s="1454"/>
      <c r="CE24" s="1454"/>
      <c r="CF24" s="1454"/>
      <c r="CG24" s="1454"/>
      <c r="CH24" s="1454"/>
      <c r="CI24" s="1454"/>
      <c r="CJ24" s="1454"/>
      <c r="CK24" s="1454"/>
      <c r="CL24" s="1454"/>
      <c r="CM24" s="1454"/>
      <c r="CN24" s="1454"/>
      <c r="CO24" s="1454"/>
      <c r="CP24" s="1454"/>
      <c r="CQ24" s="1454"/>
      <c r="CR24" s="1454"/>
      <c r="CS24" s="1454"/>
      <c r="CT24" s="1454"/>
      <c r="CU24" s="1454"/>
      <c r="CV24" s="1454"/>
      <c r="CW24" s="1454"/>
      <c r="CX24" s="1454"/>
      <c r="CY24" s="1454"/>
      <c r="CZ24" s="1454"/>
      <c r="DA24" s="1454"/>
      <c r="DB24" s="1454"/>
      <c r="DC24" s="1454"/>
      <c r="DD24" s="1454"/>
      <c r="DE24" s="1454"/>
      <c r="DF24" s="1454"/>
      <c r="DG24" s="1454"/>
      <c r="DH24" s="1454"/>
      <c r="DI24" s="1454"/>
      <c r="DJ24" s="1454"/>
      <c r="DK24" s="1454"/>
      <c r="DL24" s="1454"/>
      <c r="DM24" s="1454"/>
      <c r="DN24" s="1454"/>
      <c r="DO24" s="1454"/>
      <c r="DP24" s="1454"/>
      <c r="DQ24" s="1454"/>
      <c r="DR24" s="1454"/>
      <c r="DS24" s="1454"/>
      <c r="DT24" s="1454"/>
      <c r="DU24" s="1454"/>
      <c r="DV24" s="1454"/>
      <c r="DW24" s="1454"/>
      <c r="DX24" s="1454"/>
      <c r="DY24" s="1454"/>
      <c r="DZ24" s="1454"/>
      <c r="EA24" s="1454"/>
      <c r="EB24" s="1454"/>
      <c r="EC24" s="1454"/>
      <c r="ED24" s="1454"/>
      <c r="EE24" s="1454"/>
      <c r="EF24" s="1454"/>
      <c r="EG24" s="1454"/>
      <c r="EH24" s="1454"/>
      <c r="EI24" s="1454"/>
      <c r="EJ24" s="1454"/>
      <c r="EK24" s="1454"/>
      <c r="EL24" s="1454"/>
      <c r="EM24" s="1454"/>
      <c r="EN24" s="1454"/>
      <c r="EO24" s="1454"/>
      <c r="EP24" s="1454"/>
      <c r="EQ24" s="1454"/>
      <c r="ER24" s="1454"/>
      <c r="ES24" s="1454"/>
      <c r="ET24" s="1454"/>
      <c r="EU24" s="1454"/>
      <c r="EV24" s="1454"/>
      <c r="EW24" s="1454"/>
      <c r="EX24" s="1454"/>
      <c r="EY24" s="1454"/>
      <c r="EZ24" s="1454"/>
      <c r="FA24" s="1454"/>
      <c r="FB24" s="1454"/>
      <c r="FC24" s="1454"/>
      <c r="FD24" s="1454"/>
      <c r="FE24" s="1454"/>
      <c r="FF24" s="1454"/>
      <c r="FG24" s="1454"/>
      <c r="FH24" s="1454"/>
      <c r="FI24" s="1454"/>
      <c r="FJ24" s="1454"/>
      <c r="FK24" s="1454"/>
      <c r="FL24" s="1454"/>
      <c r="FM24" s="1454"/>
      <c r="FN24" s="1454"/>
      <c r="FO24" s="1454"/>
      <c r="FP24" s="1454"/>
      <c r="FQ24" s="1454"/>
      <c r="FR24" s="1454"/>
      <c r="FS24" s="1454"/>
      <c r="FT24" s="1454"/>
      <c r="FU24" s="1454"/>
      <c r="FV24" s="1454"/>
      <c r="FW24" s="1454"/>
      <c r="FX24" s="1454"/>
      <c r="FY24" s="1454"/>
      <c r="FZ24" s="1454"/>
      <c r="GA24" s="1454"/>
      <c r="GB24" s="1454"/>
      <c r="GC24" s="1454"/>
      <c r="GD24" s="1454"/>
      <c r="GE24" s="1454"/>
      <c r="GF24" s="1454"/>
      <c r="GG24" s="1454"/>
    </row>
    <row r="25" spans="1:189" s="1451" customFormat="1">
      <c r="A25" s="1425"/>
      <c r="B25" s="691"/>
      <c r="C25" s="1480" t="e">
        <f>#REF!</f>
        <v>#REF!</v>
      </c>
      <c r="D25" s="1695">
        <v>1</v>
      </c>
      <c r="E25" s="527" t="e">
        <f>+#REF!*1.1</f>
        <v>#REF!</v>
      </c>
      <c r="F25" s="741" t="e">
        <f>+D25*E25</f>
        <v>#REF!</v>
      </c>
      <c r="H25" s="1452"/>
      <c r="I25" s="1453"/>
      <c r="J25" s="1452"/>
      <c r="K25" s="1454"/>
      <c r="L25" s="1454"/>
      <c r="M25" s="1454"/>
      <c r="N25" s="1454"/>
      <c r="O25" s="1454"/>
      <c r="P25" s="1454"/>
      <c r="Q25" s="1454"/>
      <c r="R25" s="1454"/>
      <c r="S25" s="1454"/>
      <c r="T25" s="1454"/>
      <c r="U25" s="1454"/>
      <c r="V25" s="1454"/>
      <c r="W25" s="1454"/>
      <c r="X25" s="1454"/>
      <c r="Y25" s="1454"/>
      <c r="Z25" s="1454"/>
      <c r="AA25" s="1454"/>
      <c r="AB25" s="1454"/>
      <c r="AC25" s="1454"/>
      <c r="AD25" s="1454"/>
      <c r="AE25" s="1454"/>
      <c r="AF25" s="1454"/>
      <c r="AG25" s="1454"/>
      <c r="AH25" s="1454"/>
      <c r="AI25" s="1454"/>
      <c r="AJ25" s="1454"/>
      <c r="AK25" s="1454"/>
      <c r="AL25" s="1454"/>
      <c r="AM25" s="1454"/>
      <c r="AN25" s="1454"/>
      <c r="AO25" s="1454"/>
      <c r="AP25" s="1454"/>
      <c r="AQ25" s="1454"/>
      <c r="AR25" s="1454"/>
      <c r="AS25" s="1454"/>
      <c r="AT25" s="1454"/>
      <c r="AU25" s="1454"/>
      <c r="AV25" s="1454"/>
      <c r="AW25" s="1454"/>
      <c r="AX25" s="1454"/>
      <c r="AY25" s="1454"/>
      <c r="AZ25" s="1454"/>
      <c r="BA25" s="1454"/>
      <c r="BB25" s="1454"/>
      <c r="BC25" s="1454"/>
      <c r="BD25" s="1454"/>
      <c r="BE25" s="1454"/>
      <c r="BF25" s="1454"/>
      <c r="BG25" s="1454"/>
      <c r="BH25" s="1454"/>
      <c r="BI25" s="1454"/>
      <c r="BJ25" s="1454"/>
      <c r="BK25" s="1454"/>
      <c r="BL25" s="1454"/>
      <c r="BM25" s="1454"/>
      <c r="BN25" s="1454"/>
      <c r="BO25" s="1454"/>
      <c r="BP25" s="1454"/>
      <c r="BQ25" s="1454"/>
      <c r="BR25" s="1454"/>
      <c r="BS25" s="1454"/>
      <c r="BT25" s="1454"/>
      <c r="BU25" s="1454"/>
      <c r="BV25" s="1454"/>
      <c r="BW25" s="1454"/>
      <c r="BX25" s="1454"/>
      <c r="BY25" s="1454"/>
      <c r="BZ25" s="1454"/>
      <c r="CA25" s="1454"/>
      <c r="CB25" s="1454"/>
      <c r="CC25" s="1454"/>
      <c r="CD25" s="1454"/>
      <c r="CE25" s="1454"/>
      <c r="CF25" s="1454"/>
      <c r="CG25" s="1454"/>
      <c r="CH25" s="1454"/>
      <c r="CI25" s="1454"/>
      <c r="CJ25" s="1454"/>
      <c r="CK25" s="1454"/>
      <c r="CL25" s="1454"/>
      <c r="CM25" s="1454"/>
      <c r="CN25" s="1454"/>
      <c r="CO25" s="1454"/>
      <c r="CP25" s="1454"/>
      <c r="CQ25" s="1454"/>
      <c r="CR25" s="1454"/>
      <c r="CS25" s="1454"/>
      <c r="CT25" s="1454"/>
      <c r="CU25" s="1454"/>
      <c r="CV25" s="1454"/>
      <c r="CW25" s="1454"/>
      <c r="CX25" s="1454"/>
      <c r="CY25" s="1454"/>
      <c r="CZ25" s="1454"/>
      <c r="DA25" s="1454"/>
      <c r="DB25" s="1454"/>
      <c r="DC25" s="1454"/>
      <c r="DD25" s="1454"/>
      <c r="DE25" s="1454"/>
      <c r="DF25" s="1454"/>
      <c r="DG25" s="1454"/>
      <c r="DH25" s="1454"/>
      <c r="DI25" s="1454"/>
      <c r="DJ25" s="1454"/>
      <c r="DK25" s="1454"/>
      <c r="DL25" s="1454"/>
      <c r="DM25" s="1454"/>
      <c r="DN25" s="1454"/>
      <c r="DO25" s="1454"/>
      <c r="DP25" s="1454"/>
      <c r="DQ25" s="1454"/>
      <c r="DR25" s="1454"/>
      <c r="DS25" s="1454"/>
      <c r="DT25" s="1454"/>
      <c r="DU25" s="1454"/>
      <c r="DV25" s="1454"/>
      <c r="DW25" s="1454"/>
      <c r="DX25" s="1454"/>
      <c r="DY25" s="1454"/>
      <c r="DZ25" s="1454"/>
      <c r="EA25" s="1454"/>
      <c r="EB25" s="1454"/>
      <c r="EC25" s="1454"/>
      <c r="ED25" s="1454"/>
      <c r="EE25" s="1454"/>
      <c r="EF25" s="1454"/>
      <c r="EG25" s="1454"/>
      <c r="EH25" s="1454"/>
      <c r="EI25" s="1454"/>
      <c r="EJ25" s="1454"/>
      <c r="EK25" s="1454"/>
      <c r="EL25" s="1454"/>
      <c r="EM25" s="1454"/>
      <c r="EN25" s="1454"/>
      <c r="EO25" s="1454"/>
      <c r="EP25" s="1454"/>
      <c r="EQ25" s="1454"/>
      <c r="ER25" s="1454"/>
      <c r="ES25" s="1454"/>
      <c r="ET25" s="1454"/>
      <c r="EU25" s="1454"/>
      <c r="EV25" s="1454"/>
      <c r="EW25" s="1454"/>
      <c r="EX25" s="1454"/>
      <c r="EY25" s="1454"/>
      <c r="EZ25" s="1454"/>
      <c r="FA25" s="1454"/>
      <c r="FB25" s="1454"/>
      <c r="FC25" s="1454"/>
      <c r="FD25" s="1454"/>
      <c r="FE25" s="1454"/>
      <c r="FF25" s="1454"/>
      <c r="FG25" s="1454"/>
      <c r="FH25" s="1454"/>
      <c r="FI25" s="1454"/>
      <c r="FJ25" s="1454"/>
      <c r="FK25" s="1454"/>
      <c r="FL25" s="1454"/>
      <c r="FM25" s="1454"/>
      <c r="FN25" s="1454"/>
      <c r="FO25" s="1454"/>
      <c r="FP25" s="1454"/>
      <c r="FQ25" s="1454"/>
      <c r="FR25" s="1454"/>
      <c r="FS25" s="1454"/>
      <c r="FT25" s="1454"/>
      <c r="FU25" s="1454"/>
      <c r="FV25" s="1454"/>
      <c r="FW25" s="1454"/>
      <c r="FX25" s="1454"/>
      <c r="FY25" s="1454"/>
      <c r="FZ25" s="1454"/>
      <c r="GA25" s="1454"/>
      <c r="GB25" s="1454"/>
      <c r="GC25" s="1454"/>
      <c r="GD25" s="1454"/>
      <c r="GE25" s="1454"/>
      <c r="GF25" s="1454"/>
      <c r="GG25" s="1454"/>
    </row>
    <row r="26" spans="1:189" s="500" customFormat="1">
      <c r="A26" s="689" t="e">
        <f>#REF!</f>
        <v>#REF!</v>
      </c>
      <c r="B26" s="711" t="e">
        <f>#REF!</f>
        <v>#REF!</v>
      </c>
      <c r="C26" s="641"/>
      <c r="D26" s="1696"/>
      <c r="E26" s="641"/>
      <c r="F26" s="740"/>
      <c r="H26" s="1254"/>
      <c r="I26" s="1256"/>
      <c r="J26" s="1254"/>
      <c r="K26" s="1257"/>
      <c r="L26" s="1257"/>
      <c r="M26" s="1257"/>
      <c r="N26" s="1257"/>
      <c r="O26" s="1257"/>
      <c r="P26" s="1257"/>
      <c r="Q26" s="1257"/>
      <c r="R26" s="1257"/>
      <c r="S26" s="1257"/>
      <c r="T26" s="1257"/>
      <c r="U26" s="1257"/>
      <c r="V26" s="1257"/>
      <c r="W26" s="1257"/>
      <c r="X26" s="1257"/>
      <c r="Y26" s="1257"/>
      <c r="Z26" s="1257"/>
      <c r="AA26" s="1257"/>
      <c r="AB26" s="1257"/>
      <c r="AC26" s="1257"/>
      <c r="AD26" s="1257"/>
      <c r="AE26" s="1257"/>
      <c r="AF26" s="1257"/>
      <c r="AG26" s="1257"/>
      <c r="AH26" s="1257"/>
      <c r="AI26" s="1257"/>
      <c r="AJ26" s="1257"/>
      <c r="AK26" s="1257"/>
      <c r="AL26" s="1257"/>
      <c r="AM26" s="1257"/>
      <c r="AN26" s="1257"/>
      <c r="AO26" s="1257"/>
      <c r="AP26" s="1257"/>
      <c r="AQ26" s="1257"/>
      <c r="AR26" s="1257"/>
      <c r="AS26" s="1257"/>
      <c r="AT26" s="1257"/>
      <c r="AU26" s="1257"/>
      <c r="AV26" s="1257"/>
      <c r="AW26" s="1257"/>
      <c r="AX26" s="1257"/>
      <c r="AY26" s="1257"/>
      <c r="AZ26" s="1257"/>
      <c r="BA26" s="1257"/>
      <c r="BB26" s="1257"/>
      <c r="BC26" s="1257"/>
      <c r="BD26" s="1257"/>
      <c r="BE26" s="1257"/>
      <c r="BF26" s="1257"/>
      <c r="BG26" s="1257"/>
      <c r="BH26" s="1257"/>
      <c r="BI26" s="1257"/>
      <c r="BJ26" s="1257"/>
      <c r="BK26" s="1257"/>
      <c r="BL26" s="1257"/>
      <c r="BM26" s="1257"/>
      <c r="BN26" s="1257"/>
      <c r="BO26" s="1257"/>
      <c r="BP26" s="1257"/>
      <c r="BQ26" s="1257"/>
      <c r="BR26" s="1257"/>
      <c r="BS26" s="1257"/>
      <c r="BT26" s="1257"/>
      <c r="BU26" s="1257"/>
      <c r="BV26" s="1257"/>
      <c r="BW26" s="1257"/>
      <c r="BX26" s="1257"/>
      <c r="BY26" s="1257"/>
      <c r="BZ26" s="1257"/>
      <c r="CA26" s="1257"/>
      <c r="CB26" s="1257"/>
      <c r="CC26" s="1257"/>
      <c r="CD26" s="1257"/>
      <c r="CE26" s="1257"/>
      <c r="CF26" s="1257"/>
      <c r="CG26" s="1257"/>
      <c r="CH26" s="1257"/>
      <c r="CI26" s="1257"/>
      <c r="CJ26" s="1257"/>
      <c r="CK26" s="1257"/>
      <c r="CL26" s="1257"/>
      <c r="CM26" s="1257"/>
      <c r="CN26" s="1257"/>
      <c r="CO26" s="1257"/>
      <c r="CP26" s="1257"/>
      <c r="CQ26" s="1257"/>
      <c r="CR26" s="1257"/>
      <c r="CS26" s="1257"/>
      <c r="CT26" s="1257"/>
      <c r="CU26" s="1257"/>
      <c r="CV26" s="1257"/>
      <c r="CW26" s="1257"/>
      <c r="CX26" s="1257"/>
      <c r="CY26" s="1257"/>
      <c r="CZ26" s="1257"/>
      <c r="DA26" s="1257"/>
      <c r="DB26" s="1257"/>
      <c r="DC26" s="1257"/>
      <c r="DD26" s="1257"/>
      <c r="DE26" s="1257"/>
      <c r="DF26" s="1257"/>
      <c r="DG26" s="1257"/>
      <c r="DH26" s="1257"/>
      <c r="DI26" s="1257"/>
      <c r="DJ26" s="1257"/>
      <c r="DK26" s="1257"/>
      <c r="DL26" s="1257"/>
      <c r="DM26" s="1257"/>
      <c r="DN26" s="1257"/>
      <c r="DO26" s="1257"/>
      <c r="DP26" s="1257"/>
      <c r="DQ26" s="1257"/>
      <c r="DR26" s="1257"/>
      <c r="DS26" s="1257"/>
      <c r="DT26" s="1257"/>
      <c r="DU26" s="1257"/>
      <c r="DV26" s="1257"/>
      <c r="DW26" s="1257"/>
      <c r="DX26" s="1257"/>
      <c r="DY26" s="1257"/>
      <c r="DZ26" s="1257"/>
      <c r="EA26" s="1257"/>
      <c r="EB26" s="1257"/>
      <c r="EC26" s="1257"/>
      <c r="ED26" s="1257"/>
      <c r="EE26" s="1257"/>
      <c r="EF26" s="1257"/>
      <c r="EG26" s="1257"/>
      <c r="EH26" s="1257"/>
      <c r="EI26" s="1257"/>
      <c r="EJ26" s="1257"/>
      <c r="EK26" s="1257"/>
      <c r="EL26" s="1257"/>
      <c r="EM26" s="1257"/>
      <c r="EN26" s="1257"/>
      <c r="EO26" s="1257"/>
      <c r="EP26" s="1257"/>
      <c r="EQ26" s="1257"/>
      <c r="ER26" s="1257"/>
      <c r="ES26" s="1257"/>
      <c r="ET26" s="1257"/>
      <c r="EU26" s="1257"/>
      <c r="EV26" s="1257"/>
      <c r="EW26" s="1257"/>
      <c r="EX26" s="1257"/>
      <c r="EY26" s="1257"/>
      <c r="EZ26" s="1257"/>
      <c r="FA26" s="1257"/>
      <c r="FB26" s="1257"/>
      <c r="FC26" s="1257"/>
      <c r="FD26" s="1257"/>
      <c r="FE26" s="1257"/>
      <c r="FF26" s="1257"/>
      <c r="FG26" s="1257"/>
      <c r="FH26" s="1257"/>
      <c r="FI26" s="1257"/>
      <c r="FJ26" s="1257"/>
      <c r="FK26" s="1257"/>
      <c r="FL26" s="1257"/>
      <c r="FM26" s="1257"/>
      <c r="FN26" s="1257"/>
      <c r="FO26" s="1257"/>
      <c r="FP26" s="1257"/>
      <c r="FQ26" s="1257"/>
      <c r="FR26" s="1257"/>
      <c r="FS26" s="1257"/>
      <c r="FT26" s="1257"/>
      <c r="FU26" s="1257"/>
      <c r="FV26" s="1257"/>
      <c r="FW26" s="1257"/>
      <c r="FX26" s="1257"/>
      <c r="FY26" s="1257"/>
      <c r="FZ26" s="1257"/>
      <c r="GA26" s="1257"/>
      <c r="GB26" s="1257"/>
      <c r="GC26" s="1257"/>
      <c r="GD26" s="1257"/>
      <c r="GE26" s="1257"/>
      <c r="GF26" s="1257"/>
      <c r="GG26" s="1257"/>
    </row>
    <row r="27" spans="1:189" s="500" customFormat="1">
      <c r="A27" s="1425"/>
      <c r="B27" s="691"/>
      <c r="C27" s="1480" t="e">
        <f>#REF!</f>
        <v>#REF!</v>
      </c>
      <c r="D27" s="1703">
        <v>0</v>
      </c>
      <c r="E27" s="527">
        <v>15000000</v>
      </c>
      <c r="F27" s="741">
        <f>+D27*E27</f>
        <v>0</v>
      </c>
      <c r="H27" s="1254">
        <f>25%*F9</f>
        <v>731.25</v>
      </c>
      <c r="I27" s="1256">
        <f>1.05</f>
        <v>1.05</v>
      </c>
      <c r="J27" s="1446">
        <f>ROUND(H27*I27,0)</f>
        <v>768</v>
      </c>
      <c r="K27" s="1257"/>
      <c r="L27" s="1257"/>
      <c r="M27" s="1257"/>
      <c r="N27" s="1257"/>
      <c r="O27" s="1257"/>
      <c r="P27" s="1257"/>
      <c r="Q27" s="1257"/>
      <c r="R27" s="1257"/>
      <c r="S27" s="1257"/>
      <c r="T27" s="1257"/>
      <c r="U27" s="1257"/>
      <c r="V27" s="1257"/>
      <c r="W27" s="1257"/>
      <c r="X27" s="1257"/>
      <c r="Y27" s="1257"/>
      <c r="Z27" s="1257"/>
      <c r="AA27" s="1257"/>
      <c r="AB27" s="1257"/>
      <c r="AC27" s="1257"/>
      <c r="AD27" s="1257"/>
      <c r="AE27" s="1257"/>
      <c r="AF27" s="1257"/>
      <c r="AG27" s="1257"/>
      <c r="AH27" s="1257"/>
      <c r="AI27" s="1257"/>
      <c r="AJ27" s="1257"/>
      <c r="AK27" s="1257"/>
      <c r="AL27" s="1257"/>
      <c r="AM27" s="1257"/>
      <c r="AN27" s="1257"/>
      <c r="AO27" s="1257"/>
      <c r="AP27" s="1257"/>
      <c r="AQ27" s="1257"/>
      <c r="AR27" s="1257"/>
      <c r="AS27" s="1257"/>
      <c r="AT27" s="1257"/>
      <c r="AU27" s="1257"/>
      <c r="AV27" s="1257"/>
      <c r="AW27" s="1257"/>
      <c r="AX27" s="1257"/>
      <c r="AY27" s="1257"/>
      <c r="AZ27" s="1257"/>
      <c r="BA27" s="1257"/>
      <c r="BB27" s="1257"/>
      <c r="BC27" s="1257"/>
      <c r="BD27" s="1257"/>
      <c r="BE27" s="1257"/>
      <c r="BF27" s="1257"/>
      <c r="BG27" s="1257"/>
      <c r="BH27" s="1257"/>
      <c r="BI27" s="1257"/>
      <c r="BJ27" s="1257"/>
      <c r="BK27" s="1257"/>
      <c r="BL27" s="1257"/>
      <c r="BM27" s="1257"/>
      <c r="BN27" s="1257"/>
      <c r="BO27" s="1257"/>
      <c r="BP27" s="1257"/>
      <c r="BQ27" s="1257"/>
      <c r="BR27" s="1257"/>
      <c r="BS27" s="1257"/>
      <c r="BT27" s="1257"/>
      <c r="BU27" s="1257"/>
      <c r="BV27" s="1257"/>
      <c r="BW27" s="1257"/>
      <c r="BX27" s="1257"/>
      <c r="BY27" s="1257"/>
      <c r="BZ27" s="1257"/>
      <c r="CA27" s="1257"/>
      <c r="CB27" s="1257"/>
      <c r="CC27" s="1257"/>
      <c r="CD27" s="1257"/>
      <c r="CE27" s="1257"/>
      <c r="CF27" s="1257"/>
      <c r="CG27" s="1257"/>
      <c r="CH27" s="1257"/>
      <c r="CI27" s="1257"/>
      <c r="CJ27" s="1257"/>
      <c r="CK27" s="1257"/>
      <c r="CL27" s="1257"/>
      <c r="CM27" s="1257"/>
      <c r="CN27" s="1257"/>
      <c r="CO27" s="1257"/>
      <c r="CP27" s="1257"/>
      <c r="CQ27" s="1257"/>
      <c r="CR27" s="1257"/>
      <c r="CS27" s="1257"/>
      <c r="CT27" s="1257"/>
      <c r="CU27" s="1257"/>
      <c r="CV27" s="1257"/>
      <c r="CW27" s="1257"/>
      <c r="CX27" s="1257"/>
      <c r="CY27" s="1257"/>
      <c r="CZ27" s="1257"/>
      <c r="DA27" s="1257"/>
      <c r="DB27" s="1257"/>
      <c r="DC27" s="1257"/>
      <c r="DD27" s="1257"/>
      <c r="DE27" s="1257"/>
      <c r="DF27" s="1257"/>
      <c r="DG27" s="1257"/>
      <c r="DH27" s="1257"/>
      <c r="DI27" s="1257"/>
      <c r="DJ27" s="1257"/>
      <c r="DK27" s="1257"/>
      <c r="DL27" s="1257"/>
      <c r="DM27" s="1257"/>
      <c r="DN27" s="1257"/>
      <c r="DO27" s="1257"/>
      <c r="DP27" s="1257"/>
      <c r="DQ27" s="1257"/>
      <c r="DR27" s="1257"/>
      <c r="DS27" s="1257"/>
      <c r="DT27" s="1257"/>
      <c r="DU27" s="1257"/>
      <c r="DV27" s="1257"/>
      <c r="DW27" s="1257"/>
      <c r="DX27" s="1257"/>
      <c r="DY27" s="1257"/>
      <c r="DZ27" s="1257"/>
      <c r="EA27" s="1257"/>
      <c r="EB27" s="1257"/>
      <c r="EC27" s="1257"/>
      <c r="ED27" s="1257"/>
      <c r="EE27" s="1257"/>
      <c r="EF27" s="1257"/>
      <c r="EG27" s="1257"/>
      <c r="EH27" s="1257"/>
      <c r="EI27" s="1257"/>
      <c r="EJ27" s="1257"/>
      <c r="EK27" s="1257"/>
      <c r="EL27" s="1257"/>
      <c r="EM27" s="1257"/>
      <c r="EN27" s="1257"/>
      <c r="EO27" s="1257"/>
      <c r="EP27" s="1257"/>
      <c r="EQ27" s="1257"/>
      <c r="ER27" s="1257"/>
      <c r="ES27" s="1257"/>
      <c r="ET27" s="1257"/>
      <c r="EU27" s="1257"/>
      <c r="EV27" s="1257"/>
      <c r="EW27" s="1257"/>
      <c r="EX27" s="1257"/>
      <c r="EY27" s="1257"/>
      <c r="EZ27" s="1257"/>
      <c r="FA27" s="1257"/>
      <c r="FB27" s="1257"/>
      <c r="FC27" s="1257"/>
      <c r="FD27" s="1257"/>
      <c r="FE27" s="1257"/>
      <c r="FF27" s="1257"/>
      <c r="FG27" s="1257"/>
      <c r="FH27" s="1257"/>
      <c r="FI27" s="1257"/>
      <c r="FJ27" s="1257"/>
      <c r="FK27" s="1257"/>
      <c r="FL27" s="1257"/>
      <c r="FM27" s="1257"/>
      <c r="FN27" s="1257"/>
      <c r="FO27" s="1257"/>
      <c r="FP27" s="1257"/>
      <c r="FQ27" s="1257"/>
      <c r="FR27" s="1257"/>
      <c r="FS27" s="1257"/>
      <c r="FT27" s="1257"/>
      <c r="FU27" s="1257"/>
      <c r="FV27" s="1257"/>
      <c r="FW27" s="1257"/>
      <c r="FX27" s="1257"/>
      <c r="FY27" s="1257"/>
      <c r="FZ27" s="1257"/>
      <c r="GA27" s="1257"/>
      <c r="GB27" s="1257"/>
      <c r="GC27" s="1257"/>
      <c r="GD27" s="1257"/>
      <c r="GE27" s="1257"/>
      <c r="GF27" s="1257"/>
      <c r="GG27" s="1257"/>
    </row>
    <row r="28" spans="1:189" s="500" customFormat="1">
      <c r="A28" s="689" t="e">
        <f>#REF!</f>
        <v>#REF!</v>
      </c>
      <c r="B28" s="711" t="e">
        <f>#REF!</f>
        <v>#REF!</v>
      </c>
      <c r="C28" s="640"/>
      <c r="D28" s="1697"/>
      <c r="E28" s="641"/>
      <c r="F28" s="740"/>
      <c r="H28" s="1254"/>
      <c r="I28" s="1256"/>
      <c r="J28" s="1254"/>
      <c r="K28" s="1257"/>
      <c r="L28" s="1257"/>
      <c r="M28" s="1257"/>
      <c r="N28" s="1257"/>
      <c r="O28" s="1257"/>
      <c r="P28" s="1257"/>
      <c r="Q28" s="1257"/>
      <c r="R28" s="1257"/>
      <c r="S28" s="1257"/>
      <c r="T28" s="1257"/>
      <c r="U28" s="1257"/>
      <c r="V28" s="1257"/>
      <c r="W28" s="1257"/>
      <c r="X28" s="1257"/>
      <c r="Y28" s="1257"/>
      <c r="Z28" s="1257"/>
      <c r="AA28" s="1257"/>
      <c r="AB28" s="1257"/>
      <c r="AC28" s="1257"/>
      <c r="AD28" s="1257"/>
      <c r="AE28" s="1257"/>
      <c r="AF28" s="1257"/>
      <c r="AG28" s="1257"/>
      <c r="AH28" s="1257"/>
      <c r="AI28" s="1257"/>
      <c r="AJ28" s="1257"/>
      <c r="AK28" s="1257"/>
      <c r="AL28" s="1257"/>
      <c r="AM28" s="1257"/>
      <c r="AN28" s="1257"/>
      <c r="AO28" s="1257"/>
      <c r="AP28" s="1257"/>
      <c r="AQ28" s="1257"/>
      <c r="AR28" s="1257"/>
      <c r="AS28" s="1257"/>
      <c r="AT28" s="1257"/>
      <c r="AU28" s="1257"/>
      <c r="AV28" s="1257"/>
      <c r="AW28" s="1257"/>
      <c r="AX28" s="1257"/>
      <c r="AY28" s="1257"/>
      <c r="AZ28" s="1257"/>
      <c r="BA28" s="1257"/>
      <c r="BB28" s="1257"/>
      <c r="BC28" s="1257"/>
      <c r="BD28" s="1257"/>
      <c r="BE28" s="1257"/>
      <c r="BF28" s="1257"/>
      <c r="BG28" s="1257"/>
      <c r="BH28" s="1257"/>
      <c r="BI28" s="1257"/>
      <c r="BJ28" s="1257"/>
      <c r="BK28" s="1257"/>
      <c r="BL28" s="1257"/>
      <c r="BM28" s="1257"/>
      <c r="BN28" s="1257"/>
      <c r="BO28" s="1257"/>
      <c r="BP28" s="1257"/>
      <c r="BQ28" s="1257"/>
      <c r="BR28" s="1257"/>
      <c r="BS28" s="1257"/>
      <c r="BT28" s="1257"/>
      <c r="BU28" s="1257"/>
      <c r="BV28" s="1257"/>
      <c r="BW28" s="1257"/>
      <c r="BX28" s="1257"/>
      <c r="BY28" s="1257"/>
      <c r="BZ28" s="1257"/>
      <c r="CA28" s="1257"/>
      <c r="CB28" s="1257"/>
      <c r="CC28" s="1257"/>
      <c r="CD28" s="1257"/>
      <c r="CE28" s="1257"/>
      <c r="CF28" s="1257"/>
      <c r="CG28" s="1257"/>
      <c r="CH28" s="1257"/>
      <c r="CI28" s="1257"/>
      <c r="CJ28" s="1257"/>
      <c r="CK28" s="1257"/>
      <c r="CL28" s="1257"/>
      <c r="CM28" s="1257"/>
      <c r="CN28" s="1257"/>
      <c r="CO28" s="1257"/>
      <c r="CP28" s="1257"/>
      <c r="CQ28" s="1257"/>
      <c r="CR28" s="1257"/>
      <c r="CS28" s="1257"/>
      <c r="CT28" s="1257"/>
      <c r="CU28" s="1257"/>
      <c r="CV28" s="1257"/>
      <c r="CW28" s="1257"/>
      <c r="CX28" s="1257"/>
      <c r="CY28" s="1257"/>
      <c r="CZ28" s="1257"/>
      <c r="DA28" s="1257"/>
      <c r="DB28" s="1257"/>
      <c r="DC28" s="1257"/>
      <c r="DD28" s="1257"/>
      <c r="DE28" s="1257"/>
      <c r="DF28" s="1257"/>
      <c r="DG28" s="1257"/>
      <c r="DH28" s="1257"/>
      <c r="DI28" s="1257"/>
      <c r="DJ28" s="1257"/>
      <c r="DK28" s="1257"/>
      <c r="DL28" s="1257"/>
      <c r="DM28" s="1257"/>
      <c r="DN28" s="1257"/>
      <c r="DO28" s="1257"/>
      <c r="DP28" s="1257"/>
      <c r="DQ28" s="1257"/>
      <c r="DR28" s="1257"/>
      <c r="DS28" s="1257"/>
      <c r="DT28" s="1257"/>
      <c r="DU28" s="1257"/>
      <c r="DV28" s="1257"/>
      <c r="DW28" s="1257"/>
      <c r="DX28" s="1257"/>
      <c r="DY28" s="1257"/>
      <c r="DZ28" s="1257"/>
      <c r="EA28" s="1257"/>
      <c r="EB28" s="1257"/>
      <c r="EC28" s="1257"/>
      <c r="ED28" s="1257"/>
      <c r="EE28" s="1257"/>
      <c r="EF28" s="1257"/>
      <c r="EG28" s="1257"/>
      <c r="EH28" s="1257"/>
      <c r="EI28" s="1257"/>
      <c r="EJ28" s="1257"/>
      <c r="EK28" s="1257"/>
      <c r="EL28" s="1257"/>
      <c r="EM28" s="1257"/>
      <c r="EN28" s="1257"/>
      <c r="EO28" s="1257"/>
      <c r="EP28" s="1257"/>
      <c r="EQ28" s="1257"/>
      <c r="ER28" s="1257"/>
      <c r="ES28" s="1257"/>
      <c r="ET28" s="1257"/>
      <c r="EU28" s="1257"/>
      <c r="EV28" s="1257"/>
      <c r="EW28" s="1257"/>
      <c r="EX28" s="1257"/>
      <c r="EY28" s="1257"/>
      <c r="EZ28" s="1257"/>
      <c r="FA28" s="1257"/>
      <c r="FB28" s="1257"/>
      <c r="FC28" s="1257"/>
      <c r="FD28" s="1257"/>
      <c r="FE28" s="1257"/>
      <c r="FF28" s="1257"/>
      <c r="FG28" s="1257"/>
      <c r="FH28" s="1257"/>
      <c r="FI28" s="1257"/>
      <c r="FJ28" s="1257"/>
      <c r="FK28" s="1257"/>
      <c r="FL28" s="1257"/>
      <c r="FM28" s="1257"/>
      <c r="FN28" s="1257"/>
      <c r="FO28" s="1257"/>
      <c r="FP28" s="1257"/>
      <c r="FQ28" s="1257"/>
      <c r="FR28" s="1257"/>
      <c r="FS28" s="1257"/>
      <c r="FT28" s="1257"/>
      <c r="FU28" s="1257"/>
      <c r="FV28" s="1257"/>
      <c r="FW28" s="1257"/>
      <c r="FX28" s="1257"/>
      <c r="FY28" s="1257"/>
      <c r="FZ28" s="1257"/>
      <c r="GA28" s="1257"/>
      <c r="GB28" s="1257"/>
      <c r="GC28" s="1257"/>
      <c r="GD28" s="1257"/>
      <c r="GE28" s="1257"/>
      <c r="GF28" s="1257"/>
      <c r="GG28" s="1257"/>
    </row>
    <row r="29" spans="1:189" s="500" customFormat="1">
      <c r="A29" s="1425"/>
      <c r="B29" s="691"/>
      <c r="C29" s="1480" t="e">
        <f>#REF!</f>
        <v>#REF!</v>
      </c>
      <c r="D29" s="1698">
        <v>0.2</v>
      </c>
      <c r="E29" s="527" t="e">
        <f>SUM(E21:E27)</f>
        <v>#REF!</v>
      </c>
      <c r="F29" s="741" t="e">
        <f>+D29*E29</f>
        <v>#REF!</v>
      </c>
      <c r="H29" s="1254"/>
      <c r="I29" s="1256"/>
      <c r="J29" s="1254"/>
      <c r="K29" s="1257"/>
      <c r="L29" s="1257"/>
      <c r="M29" s="1257"/>
      <c r="N29" s="1257"/>
      <c r="O29" s="1257"/>
      <c r="P29" s="1257"/>
      <c r="Q29" s="1257"/>
      <c r="R29" s="1257"/>
      <c r="S29" s="1257"/>
      <c r="T29" s="1257"/>
      <c r="U29" s="1257"/>
      <c r="V29" s="1257"/>
      <c r="W29" s="1257"/>
      <c r="X29" s="1257"/>
      <c r="Y29" s="1257"/>
      <c r="Z29" s="1257"/>
      <c r="AA29" s="1257"/>
      <c r="AB29" s="1257"/>
      <c r="AC29" s="1257"/>
      <c r="AD29" s="1257"/>
      <c r="AE29" s="1257"/>
      <c r="AF29" s="1257"/>
      <c r="AG29" s="1257"/>
      <c r="AH29" s="1257"/>
      <c r="AI29" s="1257"/>
      <c r="AJ29" s="1257"/>
      <c r="AK29" s="1257"/>
      <c r="AL29" s="1257"/>
      <c r="AM29" s="1257"/>
      <c r="AN29" s="1257"/>
      <c r="AO29" s="1257"/>
      <c r="AP29" s="1257"/>
      <c r="AQ29" s="1257"/>
      <c r="AR29" s="1257"/>
      <c r="AS29" s="1257"/>
      <c r="AT29" s="1257"/>
      <c r="AU29" s="1257"/>
      <c r="AV29" s="1257"/>
      <c r="AW29" s="1257"/>
      <c r="AX29" s="1257"/>
      <c r="AY29" s="1257"/>
      <c r="AZ29" s="1257"/>
      <c r="BA29" s="1257"/>
      <c r="BB29" s="1257"/>
      <c r="BC29" s="1257"/>
      <c r="BD29" s="1257"/>
      <c r="BE29" s="1257"/>
      <c r="BF29" s="1257"/>
      <c r="BG29" s="1257"/>
      <c r="BH29" s="1257"/>
      <c r="BI29" s="1257"/>
      <c r="BJ29" s="1257"/>
      <c r="BK29" s="1257"/>
      <c r="BL29" s="1257"/>
      <c r="BM29" s="1257"/>
      <c r="BN29" s="1257"/>
      <c r="BO29" s="1257"/>
      <c r="BP29" s="1257"/>
      <c r="BQ29" s="1257"/>
      <c r="BR29" s="1257"/>
      <c r="BS29" s="1257"/>
      <c r="BT29" s="1257"/>
      <c r="BU29" s="1257"/>
      <c r="BV29" s="1257"/>
      <c r="BW29" s="1257"/>
      <c r="BX29" s="1257"/>
      <c r="BY29" s="1257"/>
      <c r="BZ29" s="1257"/>
      <c r="CA29" s="1257"/>
      <c r="CB29" s="1257"/>
      <c r="CC29" s="1257"/>
      <c r="CD29" s="1257"/>
      <c r="CE29" s="1257"/>
      <c r="CF29" s="1257"/>
      <c r="CG29" s="1257"/>
      <c r="CH29" s="1257"/>
      <c r="CI29" s="1257"/>
      <c r="CJ29" s="1257"/>
      <c r="CK29" s="1257"/>
      <c r="CL29" s="1257"/>
      <c r="CM29" s="1257"/>
      <c r="CN29" s="1257"/>
      <c r="CO29" s="1257"/>
      <c r="CP29" s="1257"/>
      <c r="CQ29" s="1257"/>
      <c r="CR29" s="1257"/>
      <c r="CS29" s="1257"/>
      <c r="CT29" s="1257"/>
      <c r="CU29" s="1257"/>
      <c r="CV29" s="1257"/>
      <c r="CW29" s="1257"/>
      <c r="CX29" s="1257"/>
      <c r="CY29" s="1257"/>
      <c r="CZ29" s="1257"/>
      <c r="DA29" s="1257"/>
      <c r="DB29" s="1257"/>
      <c r="DC29" s="1257"/>
      <c r="DD29" s="1257"/>
      <c r="DE29" s="1257"/>
      <c r="DF29" s="1257"/>
      <c r="DG29" s="1257"/>
      <c r="DH29" s="1257"/>
      <c r="DI29" s="1257"/>
      <c r="DJ29" s="1257"/>
      <c r="DK29" s="1257"/>
      <c r="DL29" s="1257"/>
      <c r="DM29" s="1257"/>
      <c r="DN29" s="1257"/>
      <c r="DO29" s="1257"/>
      <c r="DP29" s="1257"/>
      <c r="DQ29" s="1257"/>
      <c r="DR29" s="1257"/>
      <c r="DS29" s="1257"/>
      <c r="DT29" s="1257"/>
      <c r="DU29" s="1257"/>
      <c r="DV29" s="1257"/>
      <c r="DW29" s="1257"/>
      <c r="DX29" s="1257"/>
      <c r="DY29" s="1257"/>
      <c r="DZ29" s="1257"/>
      <c r="EA29" s="1257"/>
      <c r="EB29" s="1257"/>
      <c r="EC29" s="1257"/>
      <c r="ED29" s="1257"/>
      <c r="EE29" s="1257"/>
      <c r="EF29" s="1257"/>
      <c r="EG29" s="1257"/>
      <c r="EH29" s="1257"/>
      <c r="EI29" s="1257"/>
      <c r="EJ29" s="1257"/>
      <c r="EK29" s="1257"/>
      <c r="EL29" s="1257"/>
      <c r="EM29" s="1257"/>
      <c r="EN29" s="1257"/>
      <c r="EO29" s="1257"/>
      <c r="EP29" s="1257"/>
      <c r="EQ29" s="1257"/>
      <c r="ER29" s="1257"/>
      <c r="ES29" s="1257"/>
      <c r="ET29" s="1257"/>
      <c r="EU29" s="1257"/>
      <c r="EV29" s="1257"/>
      <c r="EW29" s="1257"/>
      <c r="EX29" s="1257"/>
      <c r="EY29" s="1257"/>
      <c r="EZ29" s="1257"/>
      <c r="FA29" s="1257"/>
      <c r="FB29" s="1257"/>
      <c r="FC29" s="1257"/>
      <c r="FD29" s="1257"/>
      <c r="FE29" s="1257"/>
      <c r="FF29" s="1257"/>
      <c r="FG29" s="1257"/>
      <c r="FH29" s="1257"/>
      <c r="FI29" s="1257"/>
      <c r="FJ29" s="1257"/>
      <c r="FK29" s="1257"/>
      <c r="FL29" s="1257"/>
      <c r="FM29" s="1257"/>
      <c r="FN29" s="1257"/>
      <c r="FO29" s="1257"/>
      <c r="FP29" s="1257"/>
      <c r="FQ29" s="1257"/>
      <c r="FR29" s="1257"/>
      <c r="FS29" s="1257"/>
      <c r="FT29" s="1257"/>
      <c r="FU29" s="1257"/>
      <c r="FV29" s="1257"/>
      <c r="FW29" s="1257"/>
      <c r="FX29" s="1257"/>
      <c r="FY29" s="1257"/>
      <c r="FZ29" s="1257"/>
      <c r="GA29" s="1257"/>
      <c r="GB29" s="1257"/>
      <c r="GC29" s="1257"/>
      <c r="GD29" s="1257"/>
      <c r="GE29" s="1257"/>
      <c r="GF29" s="1257"/>
      <c r="GG29" s="1257"/>
    </row>
    <row r="30" spans="1:189" s="500" customFormat="1">
      <c r="A30" s="689" t="e">
        <f>#REF!</f>
        <v>#REF!</v>
      </c>
      <c r="B30" s="711" t="e">
        <f>#REF!</f>
        <v>#REF!</v>
      </c>
      <c r="C30" s="640"/>
      <c r="D30" s="807"/>
      <c r="E30" s="641"/>
      <c r="F30" s="740"/>
      <c r="H30" s="1254"/>
      <c r="I30" s="1256"/>
      <c r="J30" s="1254"/>
      <c r="K30" s="1257"/>
      <c r="L30" s="1257"/>
      <c r="M30" s="1257"/>
      <c r="N30" s="1257"/>
      <c r="O30" s="1257"/>
      <c r="P30" s="1257"/>
      <c r="Q30" s="1257"/>
      <c r="R30" s="1257"/>
      <c r="S30" s="1257"/>
      <c r="T30" s="1257"/>
      <c r="U30" s="1257"/>
      <c r="V30" s="1257"/>
      <c r="W30" s="1257"/>
      <c r="X30" s="1257"/>
      <c r="Y30" s="1257"/>
      <c r="Z30" s="1257"/>
      <c r="AA30" s="1257"/>
      <c r="AB30" s="1257"/>
      <c r="AC30" s="1257"/>
      <c r="AD30" s="1257"/>
      <c r="AE30" s="1257"/>
      <c r="AF30" s="1257"/>
      <c r="AG30" s="1257"/>
      <c r="AH30" s="1257"/>
      <c r="AI30" s="1257"/>
      <c r="AJ30" s="1257"/>
      <c r="AK30" s="1257"/>
      <c r="AL30" s="1257"/>
      <c r="AM30" s="1257"/>
      <c r="AN30" s="1257"/>
      <c r="AO30" s="1257"/>
      <c r="AP30" s="1257"/>
      <c r="AQ30" s="1257"/>
      <c r="AR30" s="1257"/>
      <c r="AS30" s="1257"/>
      <c r="AT30" s="1257"/>
      <c r="AU30" s="1257"/>
      <c r="AV30" s="1257"/>
      <c r="AW30" s="1257"/>
      <c r="AX30" s="1257"/>
      <c r="AY30" s="1257"/>
      <c r="AZ30" s="1257"/>
      <c r="BA30" s="1257"/>
      <c r="BB30" s="1257"/>
      <c r="BC30" s="1257"/>
      <c r="BD30" s="1257"/>
      <c r="BE30" s="1257"/>
      <c r="BF30" s="1257"/>
      <c r="BG30" s="1257"/>
      <c r="BH30" s="1257"/>
      <c r="BI30" s="1257"/>
      <c r="BJ30" s="1257"/>
      <c r="BK30" s="1257"/>
      <c r="BL30" s="1257"/>
      <c r="BM30" s="1257"/>
      <c r="BN30" s="1257"/>
      <c r="BO30" s="1257"/>
      <c r="BP30" s="1257"/>
      <c r="BQ30" s="1257"/>
      <c r="BR30" s="1257"/>
      <c r="BS30" s="1257"/>
      <c r="BT30" s="1257"/>
      <c r="BU30" s="1257"/>
      <c r="BV30" s="1257"/>
      <c r="BW30" s="1257"/>
      <c r="BX30" s="1257"/>
      <c r="BY30" s="1257"/>
      <c r="BZ30" s="1257"/>
      <c r="CA30" s="1257"/>
      <c r="CB30" s="1257"/>
      <c r="CC30" s="1257"/>
      <c r="CD30" s="1257"/>
      <c r="CE30" s="1257"/>
      <c r="CF30" s="1257"/>
      <c r="CG30" s="1257"/>
      <c r="CH30" s="1257"/>
      <c r="CI30" s="1257"/>
      <c r="CJ30" s="1257"/>
      <c r="CK30" s="1257"/>
      <c r="CL30" s="1257"/>
      <c r="CM30" s="1257"/>
      <c r="CN30" s="1257"/>
      <c r="CO30" s="1257"/>
      <c r="CP30" s="1257"/>
      <c r="CQ30" s="1257"/>
      <c r="CR30" s="1257"/>
      <c r="CS30" s="1257"/>
      <c r="CT30" s="1257"/>
      <c r="CU30" s="1257"/>
      <c r="CV30" s="1257"/>
      <c r="CW30" s="1257"/>
      <c r="CX30" s="1257"/>
      <c r="CY30" s="1257"/>
      <c r="CZ30" s="1257"/>
      <c r="DA30" s="1257"/>
      <c r="DB30" s="1257"/>
      <c r="DC30" s="1257"/>
      <c r="DD30" s="1257"/>
      <c r="DE30" s="1257"/>
      <c r="DF30" s="1257"/>
      <c r="DG30" s="1257"/>
      <c r="DH30" s="1257"/>
      <c r="DI30" s="1257"/>
      <c r="DJ30" s="1257"/>
      <c r="DK30" s="1257"/>
      <c r="DL30" s="1257"/>
      <c r="DM30" s="1257"/>
      <c r="DN30" s="1257"/>
      <c r="DO30" s="1257"/>
      <c r="DP30" s="1257"/>
      <c r="DQ30" s="1257"/>
      <c r="DR30" s="1257"/>
      <c r="DS30" s="1257"/>
      <c r="DT30" s="1257"/>
      <c r="DU30" s="1257"/>
      <c r="DV30" s="1257"/>
      <c r="DW30" s="1257"/>
      <c r="DX30" s="1257"/>
      <c r="DY30" s="1257"/>
      <c r="DZ30" s="1257"/>
      <c r="EA30" s="1257"/>
      <c r="EB30" s="1257"/>
      <c r="EC30" s="1257"/>
      <c r="ED30" s="1257"/>
      <c r="EE30" s="1257"/>
      <c r="EF30" s="1257"/>
      <c r="EG30" s="1257"/>
      <c r="EH30" s="1257"/>
      <c r="EI30" s="1257"/>
      <c r="EJ30" s="1257"/>
      <c r="EK30" s="1257"/>
      <c r="EL30" s="1257"/>
      <c r="EM30" s="1257"/>
      <c r="EN30" s="1257"/>
      <c r="EO30" s="1257"/>
      <c r="EP30" s="1257"/>
      <c r="EQ30" s="1257"/>
      <c r="ER30" s="1257"/>
      <c r="ES30" s="1257"/>
      <c r="ET30" s="1257"/>
      <c r="EU30" s="1257"/>
      <c r="EV30" s="1257"/>
      <c r="EW30" s="1257"/>
      <c r="EX30" s="1257"/>
      <c r="EY30" s="1257"/>
      <c r="EZ30" s="1257"/>
      <c r="FA30" s="1257"/>
      <c r="FB30" s="1257"/>
      <c r="FC30" s="1257"/>
      <c r="FD30" s="1257"/>
      <c r="FE30" s="1257"/>
      <c r="FF30" s="1257"/>
      <c r="FG30" s="1257"/>
      <c r="FH30" s="1257"/>
      <c r="FI30" s="1257"/>
      <c r="FJ30" s="1257"/>
      <c r="FK30" s="1257"/>
      <c r="FL30" s="1257"/>
      <c r="FM30" s="1257"/>
      <c r="FN30" s="1257"/>
      <c r="FO30" s="1257"/>
      <c r="FP30" s="1257"/>
      <c r="FQ30" s="1257"/>
      <c r="FR30" s="1257"/>
      <c r="FS30" s="1257"/>
      <c r="FT30" s="1257"/>
      <c r="FU30" s="1257"/>
      <c r="FV30" s="1257"/>
      <c r="FW30" s="1257"/>
      <c r="FX30" s="1257"/>
      <c r="FY30" s="1257"/>
      <c r="FZ30" s="1257"/>
      <c r="GA30" s="1257"/>
      <c r="GB30" s="1257"/>
      <c r="GC30" s="1257"/>
      <c r="GD30" s="1257"/>
      <c r="GE30" s="1257"/>
      <c r="GF30" s="1257"/>
      <c r="GG30" s="1257"/>
    </row>
    <row r="31" spans="1:189" s="500" customFormat="1">
      <c r="A31" s="1425"/>
      <c r="B31" s="691"/>
      <c r="C31" s="1480" t="e">
        <f>#REF!</f>
        <v>#REF!</v>
      </c>
      <c r="D31" s="808">
        <v>30</v>
      </c>
      <c r="E31" s="527" t="e">
        <f>+#REF!</f>
        <v>#REF!</v>
      </c>
      <c r="F31" s="741" t="e">
        <f>+D31*E31</f>
        <v>#REF!</v>
      </c>
      <c r="H31" s="1254"/>
      <c r="I31" s="1256"/>
      <c r="J31" s="1254"/>
      <c r="K31" s="1257"/>
      <c r="L31" s="1257"/>
      <c r="M31" s="1257"/>
      <c r="N31" s="1257"/>
      <c r="O31" s="1257"/>
      <c r="P31" s="1257"/>
      <c r="Q31" s="1257"/>
      <c r="R31" s="1257"/>
      <c r="S31" s="1257"/>
      <c r="T31" s="1257"/>
      <c r="U31" s="1257"/>
      <c r="V31" s="1257"/>
      <c r="W31" s="1257"/>
      <c r="X31" s="1257"/>
      <c r="Y31" s="1257"/>
      <c r="Z31" s="1257"/>
      <c r="AA31" s="1257"/>
      <c r="AB31" s="1257"/>
      <c r="AC31" s="1257"/>
      <c r="AD31" s="1257"/>
      <c r="AE31" s="1257"/>
      <c r="AF31" s="1257"/>
      <c r="AG31" s="1257"/>
      <c r="AH31" s="1257"/>
      <c r="AI31" s="1257"/>
      <c r="AJ31" s="1257"/>
      <c r="AK31" s="1257"/>
      <c r="AL31" s="1257"/>
      <c r="AM31" s="1257"/>
      <c r="AN31" s="1257"/>
      <c r="AO31" s="1257"/>
      <c r="AP31" s="1257"/>
      <c r="AQ31" s="1257"/>
      <c r="AR31" s="1257"/>
      <c r="AS31" s="1257"/>
      <c r="AT31" s="1257"/>
      <c r="AU31" s="1257"/>
      <c r="AV31" s="1257"/>
      <c r="AW31" s="1257"/>
      <c r="AX31" s="1257"/>
      <c r="AY31" s="1257"/>
      <c r="AZ31" s="1257"/>
      <c r="BA31" s="1257"/>
      <c r="BB31" s="1257"/>
      <c r="BC31" s="1257"/>
      <c r="BD31" s="1257"/>
      <c r="BE31" s="1257"/>
      <c r="BF31" s="1257"/>
      <c r="BG31" s="1257"/>
      <c r="BH31" s="1257"/>
      <c r="BI31" s="1257"/>
      <c r="BJ31" s="1257"/>
      <c r="BK31" s="1257"/>
      <c r="BL31" s="1257"/>
      <c r="BM31" s="1257"/>
      <c r="BN31" s="1257"/>
      <c r="BO31" s="1257"/>
      <c r="BP31" s="1257"/>
      <c r="BQ31" s="1257"/>
      <c r="BR31" s="1257"/>
      <c r="BS31" s="1257"/>
      <c r="BT31" s="1257"/>
      <c r="BU31" s="1257"/>
      <c r="BV31" s="1257"/>
      <c r="BW31" s="1257"/>
      <c r="BX31" s="1257"/>
      <c r="BY31" s="1257"/>
      <c r="BZ31" s="1257"/>
      <c r="CA31" s="1257"/>
      <c r="CB31" s="1257"/>
      <c r="CC31" s="1257"/>
      <c r="CD31" s="1257"/>
      <c r="CE31" s="1257"/>
      <c r="CF31" s="1257"/>
      <c r="CG31" s="1257"/>
      <c r="CH31" s="1257"/>
      <c r="CI31" s="1257"/>
      <c r="CJ31" s="1257"/>
      <c r="CK31" s="1257"/>
      <c r="CL31" s="1257"/>
      <c r="CM31" s="1257"/>
      <c r="CN31" s="1257"/>
      <c r="CO31" s="1257"/>
      <c r="CP31" s="1257"/>
      <c r="CQ31" s="1257"/>
      <c r="CR31" s="1257"/>
      <c r="CS31" s="1257"/>
      <c r="CT31" s="1257"/>
      <c r="CU31" s="1257"/>
      <c r="CV31" s="1257"/>
      <c r="CW31" s="1257"/>
      <c r="CX31" s="1257"/>
      <c r="CY31" s="1257"/>
      <c r="CZ31" s="1257"/>
      <c r="DA31" s="1257"/>
      <c r="DB31" s="1257"/>
      <c r="DC31" s="1257"/>
      <c r="DD31" s="1257"/>
      <c r="DE31" s="1257"/>
      <c r="DF31" s="1257"/>
      <c r="DG31" s="1257"/>
      <c r="DH31" s="1257"/>
      <c r="DI31" s="1257"/>
      <c r="DJ31" s="1257"/>
      <c r="DK31" s="1257"/>
      <c r="DL31" s="1257"/>
      <c r="DM31" s="1257"/>
      <c r="DN31" s="1257"/>
      <c r="DO31" s="1257"/>
      <c r="DP31" s="1257"/>
      <c r="DQ31" s="1257"/>
      <c r="DR31" s="1257"/>
      <c r="DS31" s="1257"/>
      <c r="DT31" s="1257"/>
      <c r="DU31" s="1257"/>
      <c r="DV31" s="1257"/>
      <c r="DW31" s="1257"/>
      <c r="DX31" s="1257"/>
      <c r="DY31" s="1257"/>
      <c r="DZ31" s="1257"/>
      <c r="EA31" s="1257"/>
      <c r="EB31" s="1257"/>
      <c r="EC31" s="1257"/>
      <c r="ED31" s="1257"/>
      <c r="EE31" s="1257"/>
      <c r="EF31" s="1257"/>
      <c r="EG31" s="1257"/>
      <c r="EH31" s="1257"/>
      <c r="EI31" s="1257"/>
      <c r="EJ31" s="1257"/>
      <c r="EK31" s="1257"/>
      <c r="EL31" s="1257"/>
      <c r="EM31" s="1257"/>
      <c r="EN31" s="1257"/>
      <c r="EO31" s="1257"/>
      <c r="EP31" s="1257"/>
      <c r="EQ31" s="1257"/>
      <c r="ER31" s="1257"/>
      <c r="ES31" s="1257"/>
      <c r="ET31" s="1257"/>
      <c r="EU31" s="1257"/>
      <c r="EV31" s="1257"/>
      <c r="EW31" s="1257"/>
      <c r="EX31" s="1257"/>
      <c r="EY31" s="1257"/>
      <c r="EZ31" s="1257"/>
      <c r="FA31" s="1257"/>
      <c r="FB31" s="1257"/>
      <c r="FC31" s="1257"/>
      <c r="FD31" s="1257"/>
      <c r="FE31" s="1257"/>
      <c r="FF31" s="1257"/>
      <c r="FG31" s="1257"/>
      <c r="FH31" s="1257"/>
      <c r="FI31" s="1257"/>
      <c r="FJ31" s="1257"/>
      <c r="FK31" s="1257"/>
      <c r="FL31" s="1257"/>
      <c r="FM31" s="1257"/>
      <c r="FN31" s="1257"/>
      <c r="FO31" s="1257"/>
      <c r="FP31" s="1257"/>
      <c r="FQ31" s="1257"/>
      <c r="FR31" s="1257"/>
      <c r="FS31" s="1257"/>
      <c r="FT31" s="1257"/>
      <c r="FU31" s="1257"/>
      <c r="FV31" s="1257"/>
      <c r="FW31" s="1257"/>
      <c r="FX31" s="1257"/>
      <c r="FY31" s="1257"/>
      <c r="FZ31" s="1257"/>
      <c r="GA31" s="1257"/>
      <c r="GB31" s="1257"/>
      <c r="GC31" s="1257"/>
      <c r="GD31" s="1257"/>
      <c r="GE31" s="1257"/>
      <c r="GF31" s="1257"/>
      <c r="GG31" s="1257"/>
    </row>
    <row r="32" spans="1:189" s="500" customFormat="1" ht="18.75">
      <c r="A32" s="1426"/>
      <c r="C32" s="686"/>
      <c r="D32" s="635"/>
      <c r="E32" s="636" t="s">
        <v>106</v>
      </c>
      <c r="F32" s="1122" t="e">
        <f>SUM(F21:F31)</f>
        <v>#REF!</v>
      </c>
      <c r="H32" s="1254"/>
      <c r="I32" s="1256"/>
      <c r="J32" s="1254"/>
      <c r="K32" s="1257"/>
      <c r="L32" s="1257"/>
      <c r="M32" s="1257"/>
      <c r="N32" s="1257"/>
      <c r="O32" s="1257"/>
      <c r="P32" s="1257"/>
      <c r="Q32" s="1257"/>
      <c r="R32" s="1257"/>
      <c r="S32" s="1257"/>
      <c r="T32" s="1257"/>
      <c r="U32" s="1257"/>
      <c r="V32" s="1257"/>
      <c r="W32" s="1257"/>
      <c r="X32" s="1257"/>
      <c r="Y32" s="1257"/>
      <c r="Z32" s="1257"/>
      <c r="AA32" s="1257"/>
      <c r="AB32" s="1257"/>
      <c r="AC32" s="1257"/>
      <c r="AD32" s="1257"/>
      <c r="AE32" s="1257"/>
      <c r="AF32" s="1257"/>
      <c r="AG32" s="1257"/>
      <c r="AH32" s="1257"/>
      <c r="AI32" s="1257"/>
      <c r="AJ32" s="1257"/>
      <c r="AK32" s="1257"/>
      <c r="AL32" s="1257"/>
      <c r="AM32" s="1257"/>
      <c r="AN32" s="1257"/>
      <c r="AO32" s="1257"/>
      <c r="AP32" s="1257"/>
      <c r="AQ32" s="1257"/>
      <c r="AR32" s="1257"/>
      <c r="AS32" s="1257"/>
      <c r="AT32" s="1257"/>
      <c r="AU32" s="1257"/>
      <c r="AV32" s="1257"/>
      <c r="AW32" s="1257"/>
      <c r="AX32" s="1257"/>
      <c r="AY32" s="1257"/>
      <c r="AZ32" s="1257"/>
      <c r="BA32" s="1257"/>
      <c r="BB32" s="1257"/>
      <c r="BC32" s="1257"/>
      <c r="BD32" s="1257"/>
      <c r="BE32" s="1257"/>
      <c r="BF32" s="1257"/>
      <c r="BG32" s="1257"/>
      <c r="BH32" s="1257"/>
      <c r="BI32" s="1257"/>
      <c r="BJ32" s="1257"/>
      <c r="BK32" s="1257"/>
      <c r="BL32" s="1257"/>
      <c r="BM32" s="1257"/>
      <c r="BN32" s="1257"/>
      <c r="BO32" s="1257"/>
      <c r="BP32" s="1257"/>
      <c r="BQ32" s="1257"/>
      <c r="BR32" s="1257"/>
      <c r="BS32" s="1257"/>
      <c r="BT32" s="1257"/>
      <c r="BU32" s="1257"/>
      <c r="BV32" s="1257"/>
      <c r="BW32" s="1257"/>
      <c r="BX32" s="1257"/>
      <c r="BY32" s="1257"/>
      <c r="BZ32" s="1257"/>
      <c r="CA32" s="1257"/>
      <c r="CB32" s="1257"/>
      <c r="CC32" s="1257"/>
      <c r="CD32" s="1257"/>
      <c r="CE32" s="1257"/>
      <c r="CF32" s="1257"/>
      <c r="CG32" s="1257"/>
      <c r="CH32" s="1257"/>
      <c r="CI32" s="1257"/>
      <c r="CJ32" s="1257"/>
      <c r="CK32" s="1257"/>
      <c r="CL32" s="1257"/>
      <c r="CM32" s="1257"/>
      <c r="CN32" s="1257"/>
      <c r="CO32" s="1257"/>
      <c r="CP32" s="1257"/>
      <c r="CQ32" s="1257"/>
      <c r="CR32" s="1257"/>
      <c r="CS32" s="1257"/>
      <c r="CT32" s="1257"/>
      <c r="CU32" s="1257"/>
      <c r="CV32" s="1257"/>
      <c r="CW32" s="1257"/>
      <c r="CX32" s="1257"/>
      <c r="CY32" s="1257"/>
      <c r="CZ32" s="1257"/>
      <c r="DA32" s="1257"/>
      <c r="DB32" s="1257"/>
      <c r="DC32" s="1257"/>
      <c r="DD32" s="1257"/>
      <c r="DE32" s="1257"/>
      <c r="DF32" s="1257"/>
      <c r="DG32" s="1257"/>
      <c r="DH32" s="1257"/>
      <c r="DI32" s="1257"/>
      <c r="DJ32" s="1257"/>
      <c r="DK32" s="1257"/>
      <c r="DL32" s="1257"/>
      <c r="DM32" s="1257"/>
      <c r="DN32" s="1257"/>
      <c r="DO32" s="1257"/>
      <c r="DP32" s="1257"/>
      <c r="DQ32" s="1257"/>
      <c r="DR32" s="1257"/>
      <c r="DS32" s="1257"/>
      <c r="DT32" s="1257"/>
      <c r="DU32" s="1257"/>
      <c r="DV32" s="1257"/>
      <c r="DW32" s="1257"/>
      <c r="DX32" s="1257"/>
      <c r="DY32" s="1257"/>
      <c r="DZ32" s="1257"/>
      <c r="EA32" s="1257"/>
      <c r="EB32" s="1257"/>
      <c r="EC32" s="1257"/>
      <c r="ED32" s="1257"/>
      <c r="EE32" s="1257"/>
      <c r="EF32" s="1257"/>
      <c r="EG32" s="1257"/>
      <c r="EH32" s="1257"/>
      <c r="EI32" s="1257"/>
      <c r="EJ32" s="1257"/>
      <c r="EK32" s="1257"/>
      <c r="EL32" s="1257"/>
      <c r="EM32" s="1257"/>
      <c r="EN32" s="1257"/>
      <c r="EO32" s="1257"/>
      <c r="EP32" s="1257"/>
      <c r="EQ32" s="1257"/>
      <c r="ER32" s="1257"/>
      <c r="ES32" s="1257"/>
      <c r="ET32" s="1257"/>
      <c r="EU32" s="1257"/>
      <c r="EV32" s="1257"/>
      <c r="EW32" s="1257"/>
      <c r="EX32" s="1257"/>
      <c r="EY32" s="1257"/>
      <c r="EZ32" s="1257"/>
      <c r="FA32" s="1257"/>
      <c r="FB32" s="1257"/>
      <c r="FC32" s="1257"/>
      <c r="FD32" s="1257"/>
      <c r="FE32" s="1257"/>
      <c r="FF32" s="1257"/>
      <c r="FG32" s="1257"/>
      <c r="FH32" s="1257"/>
      <c r="FI32" s="1257"/>
      <c r="FJ32" s="1257"/>
      <c r="FK32" s="1257"/>
      <c r="FL32" s="1257"/>
      <c r="FM32" s="1257"/>
      <c r="FN32" s="1257"/>
      <c r="FO32" s="1257"/>
      <c r="FP32" s="1257"/>
      <c r="FQ32" s="1257"/>
      <c r="FR32" s="1257"/>
      <c r="FS32" s="1257"/>
      <c r="FT32" s="1257"/>
      <c r="FU32" s="1257"/>
      <c r="FV32" s="1257"/>
      <c r="FW32" s="1257"/>
      <c r="FX32" s="1257"/>
      <c r="FY32" s="1257"/>
      <c r="FZ32" s="1257"/>
      <c r="GA32" s="1257"/>
      <c r="GB32" s="1257"/>
      <c r="GC32" s="1257"/>
      <c r="GD32" s="1257"/>
      <c r="GE32" s="1257"/>
      <c r="GF32" s="1257"/>
      <c r="GG32" s="1257"/>
    </row>
    <row r="33" spans="1:189" s="500" customFormat="1" ht="15" customHeight="1">
      <c r="A33" s="1426"/>
      <c r="H33" s="1254"/>
      <c r="I33" s="1256"/>
      <c r="J33" s="1254"/>
      <c r="K33" s="1257"/>
      <c r="L33" s="1257"/>
      <c r="M33" s="1257"/>
      <c r="N33" s="1257"/>
      <c r="O33" s="1257"/>
      <c r="P33" s="1257"/>
      <c r="Q33" s="1257"/>
      <c r="R33" s="1257"/>
      <c r="S33" s="1257"/>
      <c r="T33" s="1257"/>
      <c r="U33" s="1257"/>
      <c r="V33" s="1257"/>
      <c r="W33" s="1257"/>
      <c r="X33" s="1257"/>
      <c r="Y33" s="1257"/>
      <c r="Z33" s="1257"/>
      <c r="AA33" s="1257"/>
      <c r="AB33" s="1257"/>
      <c r="AC33" s="1257"/>
      <c r="AD33" s="1257"/>
      <c r="AE33" s="1257"/>
      <c r="AF33" s="1257"/>
      <c r="AG33" s="1257"/>
      <c r="AH33" s="1257"/>
      <c r="AI33" s="1257"/>
      <c r="AJ33" s="1257"/>
      <c r="AK33" s="1257"/>
      <c r="AL33" s="1257"/>
      <c r="AM33" s="1257"/>
      <c r="AN33" s="1257"/>
      <c r="AO33" s="1257"/>
      <c r="AP33" s="1257"/>
      <c r="AQ33" s="1257"/>
      <c r="AR33" s="1257"/>
      <c r="AS33" s="1257"/>
      <c r="AT33" s="1257"/>
      <c r="AU33" s="1257"/>
      <c r="AV33" s="1257"/>
      <c r="AW33" s="1257"/>
      <c r="AX33" s="1257"/>
      <c r="AY33" s="1257"/>
      <c r="AZ33" s="1257"/>
      <c r="BA33" s="1257"/>
      <c r="BB33" s="1257"/>
      <c r="BC33" s="1257"/>
      <c r="BD33" s="1257"/>
      <c r="BE33" s="1257"/>
      <c r="BF33" s="1257"/>
      <c r="BG33" s="1257"/>
      <c r="BH33" s="1257"/>
      <c r="BI33" s="1257"/>
      <c r="BJ33" s="1257"/>
      <c r="BK33" s="1257"/>
      <c r="BL33" s="1257"/>
      <c r="BM33" s="1257"/>
      <c r="BN33" s="1257"/>
      <c r="BO33" s="1257"/>
      <c r="BP33" s="1257"/>
      <c r="BQ33" s="1257"/>
      <c r="BR33" s="1257"/>
      <c r="BS33" s="1257"/>
      <c r="BT33" s="1257"/>
      <c r="BU33" s="1257"/>
      <c r="BV33" s="1257"/>
      <c r="BW33" s="1257"/>
      <c r="BX33" s="1257"/>
      <c r="BY33" s="1257"/>
      <c r="BZ33" s="1257"/>
      <c r="CA33" s="1257"/>
      <c r="CB33" s="1257"/>
      <c r="CC33" s="1257"/>
      <c r="CD33" s="1257"/>
      <c r="CE33" s="1257"/>
      <c r="CF33" s="1257"/>
      <c r="CG33" s="1257"/>
      <c r="CH33" s="1257"/>
      <c r="CI33" s="1257"/>
      <c r="CJ33" s="1257"/>
      <c r="CK33" s="1257"/>
      <c r="CL33" s="1257"/>
      <c r="CM33" s="1257"/>
      <c r="CN33" s="1257"/>
      <c r="CO33" s="1257"/>
      <c r="CP33" s="1257"/>
      <c r="CQ33" s="1257"/>
      <c r="CR33" s="1257"/>
      <c r="CS33" s="1257"/>
      <c r="CT33" s="1257"/>
      <c r="CU33" s="1257"/>
      <c r="CV33" s="1257"/>
      <c r="CW33" s="1257"/>
      <c r="CX33" s="1257"/>
      <c r="CY33" s="1257"/>
      <c r="CZ33" s="1257"/>
      <c r="DA33" s="1257"/>
      <c r="DB33" s="1257"/>
      <c r="DC33" s="1257"/>
      <c r="DD33" s="1257"/>
      <c r="DE33" s="1257"/>
      <c r="DF33" s="1257"/>
      <c r="DG33" s="1257"/>
      <c r="DH33" s="1257"/>
      <c r="DI33" s="1257"/>
      <c r="DJ33" s="1257"/>
      <c r="DK33" s="1257"/>
      <c r="DL33" s="1257"/>
      <c r="DM33" s="1257"/>
      <c r="DN33" s="1257"/>
      <c r="DO33" s="1257"/>
      <c r="DP33" s="1257"/>
      <c r="DQ33" s="1257"/>
      <c r="DR33" s="1257"/>
      <c r="DS33" s="1257"/>
      <c r="DT33" s="1257"/>
      <c r="DU33" s="1257"/>
      <c r="DV33" s="1257"/>
      <c r="DW33" s="1257"/>
      <c r="DX33" s="1257"/>
      <c r="DY33" s="1257"/>
      <c r="DZ33" s="1257"/>
      <c r="EA33" s="1257"/>
      <c r="EB33" s="1257"/>
      <c r="EC33" s="1257"/>
      <c r="ED33" s="1257"/>
      <c r="EE33" s="1257"/>
      <c r="EF33" s="1257"/>
      <c r="EG33" s="1257"/>
      <c r="EH33" s="1257"/>
      <c r="EI33" s="1257"/>
      <c r="EJ33" s="1257"/>
      <c r="EK33" s="1257"/>
      <c r="EL33" s="1257"/>
      <c r="EM33" s="1257"/>
      <c r="EN33" s="1257"/>
      <c r="EO33" s="1257"/>
      <c r="EP33" s="1257"/>
      <c r="EQ33" s="1257"/>
      <c r="ER33" s="1257"/>
      <c r="ES33" s="1257"/>
      <c r="ET33" s="1257"/>
      <c r="EU33" s="1257"/>
      <c r="EV33" s="1257"/>
      <c r="EW33" s="1257"/>
      <c r="EX33" s="1257"/>
      <c r="EY33" s="1257"/>
      <c r="EZ33" s="1257"/>
      <c r="FA33" s="1257"/>
      <c r="FB33" s="1257"/>
      <c r="FC33" s="1257"/>
      <c r="FD33" s="1257"/>
      <c r="FE33" s="1257"/>
      <c r="FF33" s="1257"/>
      <c r="FG33" s="1257"/>
      <c r="FH33" s="1257"/>
      <c r="FI33" s="1257"/>
      <c r="FJ33" s="1257"/>
      <c r="FK33" s="1257"/>
      <c r="FL33" s="1257"/>
      <c r="FM33" s="1257"/>
      <c r="FN33" s="1257"/>
      <c r="FO33" s="1257"/>
      <c r="FP33" s="1257"/>
      <c r="FQ33" s="1257"/>
      <c r="FR33" s="1257"/>
      <c r="FS33" s="1257"/>
      <c r="FT33" s="1257"/>
      <c r="FU33" s="1257"/>
      <c r="FV33" s="1257"/>
      <c r="FW33" s="1257"/>
      <c r="FX33" s="1257"/>
      <c r="FY33" s="1257"/>
      <c r="FZ33" s="1257"/>
      <c r="GA33" s="1257"/>
      <c r="GB33" s="1257"/>
      <c r="GC33" s="1257"/>
      <c r="GD33" s="1257"/>
      <c r="GE33" s="1257"/>
      <c r="GF33" s="1257"/>
      <c r="GG33" s="1257"/>
    </row>
    <row r="34" spans="1:189" s="500" customFormat="1" ht="24.95" customHeight="1">
      <c r="A34" s="1426"/>
      <c r="C34" s="686"/>
      <c r="D34" s="635"/>
      <c r="E34" s="636" t="s">
        <v>107</v>
      </c>
      <c r="F34" s="637" t="e">
        <f>+F17+F32</f>
        <v>#REF!</v>
      </c>
      <c r="H34" s="1254"/>
      <c r="I34" s="1256"/>
      <c r="J34" s="1254"/>
      <c r="K34" s="1257"/>
      <c r="L34" s="1257"/>
      <c r="M34" s="1257"/>
      <c r="N34" s="1257"/>
      <c r="O34" s="1257"/>
      <c r="P34" s="1257"/>
      <c r="Q34" s="1257"/>
      <c r="R34" s="1257"/>
      <c r="S34" s="1257"/>
      <c r="T34" s="1257"/>
      <c r="U34" s="1257"/>
      <c r="V34" s="1257"/>
      <c r="W34" s="1257"/>
      <c r="X34" s="1257"/>
      <c r="Y34" s="1257"/>
      <c r="Z34" s="1257"/>
      <c r="AA34" s="1257"/>
      <c r="AB34" s="1257"/>
      <c r="AC34" s="1257"/>
      <c r="AD34" s="1257"/>
      <c r="AE34" s="1257"/>
      <c r="AF34" s="1257"/>
      <c r="AG34" s="1257"/>
      <c r="AH34" s="1257"/>
      <c r="AI34" s="1257"/>
      <c r="AJ34" s="1257"/>
      <c r="AK34" s="1257"/>
      <c r="AL34" s="1257"/>
      <c r="AM34" s="1257"/>
      <c r="AN34" s="1257"/>
      <c r="AO34" s="1257"/>
      <c r="AP34" s="1257"/>
      <c r="AQ34" s="1257"/>
      <c r="AR34" s="1257"/>
      <c r="AS34" s="1257"/>
      <c r="AT34" s="1257"/>
      <c r="AU34" s="1257"/>
      <c r="AV34" s="1257"/>
      <c r="AW34" s="1257"/>
      <c r="AX34" s="1257"/>
      <c r="AY34" s="1257"/>
      <c r="AZ34" s="1257"/>
      <c r="BA34" s="1257"/>
      <c r="BB34" s="1257"/>
      <c r="BC34" s="1257"/>
      <c r="BD34" s="1257"/>
      <c r="BE34" s="1257"/>
      <c r="BF34" s="1257"/>
      <c r="BG34" s="1257"/>
      <c r="BH34" s="1257"/>
      <c r="BI34" s="1257"/>
      <c r="BJ34" s="1257"/>
      <c r="BK34" s="1257"/>
      <c r="BL34" s="1257"/>
      <c r="BM34" s="1257"/>
      <c r="BN34" s="1257"/>
      <c r="BO34" s="1257"/>
      <c r="BP34" s="1257"/>
      <c r="BQ34" s="1257"/>
      <c r="BR34" s="1257"/>
      <c r="BS34" s="1257"/>
      <c r="BT34" s="1257"/>
      <c r="BU34" s="1257"/>
      <c r="BV34" s="1257"/>
      <c r="BW34" s="1257"/>
      <c r="BX34" s="1257"/>
      <c r="BY34" s="1257"/>
      <c r="BZ34" s="1257"/>
      <c r="CA34" s="1257"/>
      <c r="CB34" s="1257"/>
      <c r="CC34" s="1257"/>
      <c r="CD34" s="1257"/>
      <c r="CE34" s="1257"/>
      <c r="CF34" s="1257"/>
      <c r="CG34" s="1257"/>
      <c r="CH34" s="1257"/>
      <c r="CI34" s="1257"/>
      <c r="CJ34" s="1257"/>
      <c r="CK34" s="1257"/>
      <c r="CL34" s="1257"/>
      <c r="CM34" s="1257"/>
      <c r="CN34" s="1257"/>
      <c r="CO34" s="1257"/>
      <c r="CP34" s="1257"/>
      <c r="CQ34" s="1257"/>
      <c r="CR34" s="1257"/>
      <c r="CS34" s="1257"/>
      <c r="CT34" s="1257"/>
      <c r="CU34" s="1257"/>
      <c r="CV34" s="1257"/>
      <c r="CW34" s="1257"/>
      <c r="CX34" s="1257"/>
      <c r="CY34" s="1257"/>
      <c r="CZ34" s="1257"/>
      <c r="DA34" s="1257"/>
      <c r="DB34" s="1257"/>
      <c r="DC34" s="1257"/>
      <c r="DD34" s="1257"/>
      <c r="DE34" s="1257"/>
      <c r="DF34" s="1257"/>
      <c r="DG34" s="1257"/>
      <c r="DH34" s="1257"/>
      <c r="DI34" s="1257"/>
      <c r="DJ34" s="1257"/>
      <c r="DK34" s="1257"/>
      <c r="DL34" s="1257"/>
      <c r="DM34" s="1257"/>
      <c r="DN34" s="1257"/>
      <c r="DO34" s="1257"/>
      <c r="DP34" s="1257"/>
      <c r="DQ34" s="1257"/>
      <c r="DR34" s="1257"/>
      <c r="DS34" s="1257"/>
      <c r="DT34" s="1257"/>
      <c r="DU34" s="1257"/>
      <c r="DV34" s="1257"/>
      <c r="DW34" s="1257"/>
      <c r="DX34" s="1257"/>
      <c r="DY34" s="1257"/>
      <c r="DZ34" s="1257"/>
      <c r="EA34" s="1257"/>
      <c r="EB34" s="1257"/>
      <c r="EC34" s="1257"/>
      <c r="ED34" s="1257"/>
      <c r="EE34" s="1257"/>
      <c r="EF34" s="1257"/>
      <c r="EG34" s="1257"/>
      <c r="EH34" s="1257"/>
      <c r="EI34" s="1257"/>
      <c r="EJ34" s="1257"/>
      <c r="EK34" s="1257"/>
      <c r="EL34" s="1257"/>
      <c r="EM34" s="1257"/>
      <c r="EN34" s="1257"/>
      <c r="EO34" s="1257"/>
      <c r="EP34" s="1257"/>
      <c r="EQ34" s="1257"/>
      <c r="ER34" s="1257"/>
      <c r="ES34" s="1257"/>
      <c r="ET34" s="1257"/>
      <c r="EU34" s="1257"/>
      <c r="EV34" s="1257"/>
      <c r="EW34" s="1257"/>
      <c r="EX34" s="1257"/>
      <c r="EY34" s="1257"/>
      <c r="EZ34" s="1257"/>
      <c r="FA34" s="1257"/>
      <c r="FB34" s="1257"/>
      <c r="FC34" s="1257"/>
      <c r="FD34" s="1257"/>
      <c r="FE34" s="1257"/>
      <c r="FF34" s="1257"/>
      <c r="FG34" s="1257"/>
      <c r="FH34" s="1257"/>
      <c r="FI34" s="1257"/>
      <c r="FJ34" s="1257"/>
      <c r="FK34" s="1257"/>
      <c r="FL34" s="1257"/>
      <c r="FM34" s="1257"/>
      <c r="FN34" s="1257"/>
      <c r="FO34" s="1257"/>
      <c r="FP34" s="1257"/>
      <c r="FQ34" s="1257"/>
      <c r="FR34" s="1257"/>
      <c r="FS34" s="1257"/>
      <c r="FT34" s="1257"/>
      <c r="FU34" s="1257"/>
      <c r="FV34" s="1257"/>
      <c r="FW34" s="1257"/>
      <c r="FX34" s="1257"/>
      <c r="FY34" s="1257"/>
      <c r="FZ34" s="1257"/>
      <c r="GA34" s="1257"/>
      <c r="GB34" s="1257"/>
      <c r="GC34" s="1257"/>
      <c r="GD34" s="1257"/>
      <c r="GE34" s="1257"/>
      <c r="GF34" s="1257"/>
      <c r="GG34" s="1257"/>
    </row>
    <row r="35" spans="1:189" s="114" customFormat="1" ht="15" customHeight="1">
      <c r="A35" s="438"/>
      <c r="C35" s="115"/>
      <c r="D35" s="116"/>
      <c r="E35" s="117"/>
      <c r="F35" s="118"/>
      <c r="H35" s="257"/>
      <c r="I35" s="263"/>
      <c r="J35" s="257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29"/>
      <c r="W35" s="129"/>
      <c r="X35" s="129"/>
      <c r="Y35" s="129"/>
      <c r="Z35" s="129"/>
      <c r="AA35" s="129"/>
      <c r="AB35" s="129"/>
      <c r="AC35" s="129"/>
      <c r="AD35" s="129"/>
      <c r="AE35" s="129"/>
      <c r="AF35" s="129"/>
      <c r="AG35" s="129"/>
      <c r="AH35" s="129"/>
      <c r="AI35" s="129"/>
      <c r="AJ35" s="129"/>
      <c r="AK35" s="129"/>
      <c r="AL35" s="129"/>
      <c r="AM35" s="129"/>
      <c r="AN35" s="129"/>
      <c r="AO35" s="129"/>
      <c r="AP35" s="129"/>
      <c r="AQ35" s="129"/>
      <c r="AR35" s="129"/>
      <c r="AS35" s="129"/>
      <c r="AT35" s="129"/>
      <c r="AU35" s="129"/>
      <c r="AV35" s="129"/>
      <c r="AW35" s="129"/>
      <c r="AX35" s="129"/>
      <c r="AY35" s="129"/>
      <c r="AZ35" s="129"/>
      <c r="BA35" s="129"/>
      <c r="BB35" s="129"/>
      <c r="BC35" s="129"/>
      <c r="BD35" s="129"/>
      <c r="BE35" s="129"/>
      <c r="BF35" s="129"/>
      <c r="BG35" s="129"/>
      <c r="BH35" s="129"/>
      <c r="BI35" s="129"/>
      <c r="BJ35" s="129"/>
      <c r="BK35" s="129"/>
      <c r="BL35" s="129"/>
      <c r="BM35" s="129"/>
      <c r="BN35" s="129"/>
      <c r="BO35" s="129"/>
      <c r="BP35" s="129"/>
      <c r="BQ35" s="129"/>
      <c r="BR35" s="129"/>
      <c r="BS35" s="129"/>
      <c r="BT35" s="129"/>
      <c r="BU35" s="129"/>
      <c r="BV35" s="129"/>
      <c r="BW35" s="129"/>
      <c r="BX35" s="129"/>
      <c r="BY35" s="129"/>
      <c r="BZ35" s="129"/>
      <c r="CA35" s="129"/>
      <c r="CB35" s="129"/>
      <c r="CC35" s="129"/>
      <c r="CD35" s="129"/>
      <c r="CE35" s="129"/>
      <c r="CF35" s="129"/>
      <c r="CG35" s="129"/>
      <c r="CH35" s="129"/>
      <c r="CI35" s="129"/>
      <c r="CJ35" s="129"/>
      <c r="CK35" s="129"/>
      <c r="CL35" s="129"/>
      <c r="CM35" s="129"/>
      <c r="CN35" s="129"/>
      <c r="CO35" s="129"/>
      <c r="CP35" s="129"/>
      <c r="CQ35" s="129"/>
      <c r="CR35" s="129"/>
      <c r="CS35" s="129"/>
      <c r="CT35" s="129"/>
      <c r="CU35" s="129"/>
      <c r="CV35" s="129"/>
      <c r="CW35" s="129"/>
      <c r="CX35" s="129"/>
      <c r="CY35" s="129"/>
      <c r="CZ35" s="129"/>
      <c r="DA35" s="129"/>
      <c r="DB35" s="129"/>
      <c r="DC35" s="129"/>
      <c r="DD35" s="129"/>
      <c r="DE35" s="129"/>
      <c r="DF35" s="129"/>
      <c r="DG35" s="129"/>
      <c r="DH35" s="129"/>
      <c r="DI35" s="129"/>
      <c r="DJ35" s="129"/>
      <c r="DK35" s="129"/>
      <c r="DL35" s="129"/>
      <c r="DM35" s="129"/>
      <c r="DN35" s="129"/>
      <c r="DO35" s="129"/>
      <c r="DP35" s="129"/>
      <c r="DQ35" s="129"/>
      <c r="DR35" s="129"/>
      <c r="DS35" s="129"/>
      <c r="DT35" s="129"/>
      <c r="DU35" s="129"/>
      <c r="DV35" s="129"/>
      <c r="DW35" s="129"/>
      <c r="DX35" s="129"/>
      <c r="DY35" s="129"/>
      <c r="DZ35" s="129"/>
      <c r="EA35" s="129"/>
      <c r="EB35" s="129"/>
      <c r="EC35" s="129"/>
      <c r="ED35" s="129"/>
      <c r="EE35" s="129"/>
      <c r="EF35" s="129"/>
      <c r="EG35" s="129"/>
      <c r="EH35" s="129"/>
      <c r="EI35" s="129"/>
      <c r="EJ35" s="129"/>
      <c r="EK35" s="129"/>
      <c r="EL35" s="129"/>
      <c r="EM35" s="129"/>
      <c r="EN35" s="129"/>
      <c r="EO35" s="129"/>
      <c r="EP35" s="129"/>
      <c r="EQ35" s="129"/>
      <c r="ER35" s="129"/>
      <c r="ES35" s="129"/>
      <c r="ET35" s="129"/>
      <c r="EU35" s="129"/>
      <c r="EV35" s="129"/>
      <c r="EW35" s="129"/>
      <c r="EX35" s="129"/>
      <c r="EY35" s="129"/>
      <c r="EZ35" s="129"/>
      <c r="FA35" s="129"/>
      <c r="FB35" s="129"/>
      <c r="FC35" s="129"/>
      <c r="FD35" s="129"/>
      <c r="FE35" s="129"/>
      <c r="FF35" s="129"/>
      <c r="FG35" s="129"/>
      <c r="FH35" s="129"/>
      <c r="FI35" s="129"/>
      <c r="FJ35" s="129"/>
      <c r="FK35" s="129"/>
      <c r="FL35" s="129"/>
      <c r="FM35" s="129"/>
      <c r="FN35" s="129"/>
      <c r="FO35" s="129"/>
      <c r="FP35" s="129"/>
      <c r="FQ35" s="129"/>
      <c r="FR35" s="129"/>
      <c r="FS35" s="129"/>
      <c r="FT35" s="129"/>
      <c r="FU35" s="129"/>
      <c r="FV35" s="129"/>
      <c r="FW35" s="129"/>
      <c r="FX35" s="129"/>
      <c r="FY35" s="129"/>
      <c r="FZ35" s="129"/>
      <c r="GA35" s="129"/>
      <c r="GB35" s="129"/>
      <c r="GC35" s="129"/>
      <c r="GD35" s="129"/>
      <c r="GE35" s="129"/>
      <c r="GF35" s="129"/>
      <c r="GG35" s="129"/>
    </row>
    <row r="36" spans="1:189" ht="24.95" customHeight="1">
      <c r="A36" s="1972" t="e">
        <f>#REF!</f>
        <v>#REF!</v>
      </c>
      <c r="B36" s="1973"/>
      <c r="C36" s="1973"/>
      <c r="D36" s="1973"/>
      <c r="E36" s="1973"/>
      <c r="F36" s="1974"/>
    </row>
    <row r="37" spans="1:189">
      <c r="A37" s="689" t="e">
        <f>#REF!</f>
        <v>#REF!</v>
      </c>
      <c r="B37" s="711" t="e">
        <f>#REF!</f>
        <v>#REF!</v>
      </c>
      <c r="C37" s="1407"/>
      <c r="D37" s="807"/>
      <c r="E37" s="641"/>
      <c r="F37" s="740"/>
    </row>
    <row r="38" spans="1:189">
      <c r="A38" s="751"/>
      <c r="B38" s="753"/>
      <c r="C38" s="1408" t="e">
        <f>#REF!</f>
        <v>#REF!</v>
      </c>
      <c r="D38" s="808">
        <v>1</v>
      </c>
      <c r="E38" s="527">
        <v>15500000</v>
      </c>
      <c r="F38" s="741">
        <f>+D38*E38</f>
        <v>15500000</v>
      </c>
      <c r="G38" s="255">
        <f>+F10*G10*200</f>
        <v>2125000</v>
      </c>
    </row>
    <row r="39" spans="1:189">
      <c r="A39" s="689" t="e">
        <f>#REF!</f>
        <v>#REF!</v>
      </c>
      <c r="B39" s="711" t="e">
        <f>#REF!</f>
        <v>#REF!</v>
      </c>
      <c r="C39" s="1407"/>
      <c r="D39" s="1416"/>
      <c r="E39" s="641"/>
      <c r="F39" s="740"/>
    </row>
    <row r="40" spans="1:189">
      <c r="A40" s="639" t="e">
        <f>#REF!</f>
        <v>#REF!</v>
      </c>
      <c r="B40" s="681" t="e">
        <f>#REF!</f>
        <v>#REF!</v>
      </c>
      <c r="C40" s="1408" t="e">
        <f>#REF!</f>
        <v>#REF!</v>
      </c>
      <c r="D40" s="1414">
        <f>J40</f>
        <v>7313</v>
      </c>
      <c r="E40" s="527" t="e">
        <f>#REF!</f>
        <v>#REF!</v>
      </c>
      <c r="F40" s="741" t="e">
        <f>+D40*E40</f>
        <v>#REF!</v>
      </c>
      <c r="G40" s="142">
        <f>+F10*15</f>
        <v>31875</v>
      </c>
      <c r="H40" s="255">
        <f>F9*I9*50%</f>
        <v>7312.5</v>
      </c>
      <c r="I40" s="262">
        <v>1</v>
      </c>
      <c r="J40" s="258">
        <f t="shared" ref="J40:J55" si="0">ROUND(H40*I40,0)</f>
        <v>7313</v>
      </c>
    </row>
    <row r="41" spans="1:189">
      <c r="A41" s="689" t="e">
        <f>#REF!</f>
        <v>#REF!</v>
      </c>
      <c r="B41" s="711" t="e">
        <f>#REF!</f>
        <v>#REF!</v>
      </c>
      <c r="C41" s="1407"/>
      <c r="D41" s="1416"/>
      <c r="E41" s="641"/>
      <c r="F41" s="740"/>
      <c r="J41" s="258">
        <f t="shared" si="0"/>
        <v>0</v>
      </c>
    </row>
    <row r="42" spans="1:189">
      <c r="A42" s="751"/>
      <c r="B42" s="753"/>
      <c r="C42" s="1408" t="e">
        <f>#REF!</f>
        <v>#REF!</v>
      </c>
      <c r="D42" s="733">
        <f>J42</f>
        <v>12</v>
      </c>
      <c r="E42" s="527" t="e">
        <f>#REF!</f>
        <v>#REF!</v>
      </c>
      <c r="F42" s="741" t="e">
        <f>+D42*E42</f>
        <v>#REF!</v>
      </c>
      <c r="H42" s="255">
        <f>10%*F9/25</f>
        <v>11.7</v>
      </c>
      <c r="I42" s="262">
        <f>1.05</f>
        <v>1.05</v>
      </c>
      <c r="J42" s="258">
        <f t="shared" si="0"/>
        <v>12</v>
      </c>
    </row>
    <row r="43" spans="1:189">
      <c r="A43" s="689" t="e">
        <f>#REF!</f>
        <v>#REF!</v>
      </c>
      <c r="B43" s="711" t="e">
        <f>#REF!</f>
        <v>#REF!</v>
      </c>
      <c r="C43" s="1490"/>
      <c r="D43" s="739"/>
      <c r="E43" s="641"/>
      <c r="F43" s="740"/>
      <c r="J43" s="258">
        <f t="shared" si="0"/>
        <v>0</v>
      </c>
    </row>
    <row r="44" spans="1:189">
      <c r="A44" s="750" t="e">
        <f>#REF!</f>
        <v>#REF!</v>
      </c>
      <c r="B44" s="677" t="e">
        <f>#REF!</f>
        <v>#REF!</v>
      </c>
      <c r="C44" s="1522" t="e">
        <f>#REF!</f>
        <v>#REF!</v>
      </c>
      <c r="D44" s="730">
        <v>1</v>
      </c>
      <c r="E44" s="633">
        <v>21480000</v>
      </c>
      <c r="F44" s="655">
        <f>+D44*E44</f>
        <v>21480000</v>
      </c>
      <c r="H44" s="262">
        <f>F9/1000</f>
        <v>2.9249999999999998</v>
      </c>
      <c r="I44" s="262">
        <v>1.05</v>
      </c>
      <c r="J44" s="258">
        <f>ROUND(H44*I44,3)</f>
        <v>3.0710000000000002</v>
      </c>
    </row>
    <row r="45" spans="1:189" s="129" customFormat="1">
      <c r="A45" s="750" t="e">
        <f>#REF!</f>
        <v>#REF!</v>
      </c>
      <c r="B45" s="677" t="e">
        <f>#REF!</f>
        <v>#REF!</v>
      </c>
      <c r="C45" s="1522" t="e">
        <f>#REF!</f>
        <v>#REF!</v>
      </c>
      <c r="D45" s="730">
        <v>1</v>
      </c>
      <c r="E45" s="633">
        <v>17184000</v>
      </c>
      <c r="F45" s="655">
        <f>+D45*E45</f>
        <v>17184000</v>
      </c>
      <c r="G45" s="142"/>
      <c r="H45" s="262">
        <f>H44</f>
        <v>2.9249999999999998</v>
      </c>
      <c r="I45" s="262">
        <v>1.05</v>
      </c>
      <c r="J45" s="258">
        <f>ROUND(H45*I45,3)</f>
        <v>3.0710000000000002</v>
      </c>
    </row>
    <row r="46" spans="1:189" s="129" customFormat="1">
      <c r="A46" s="750" t="e">
        <f>#REF!</f>
        <v>#REF!</v>
      </c>
      <c r="B46" s="677" t="e">
        <f>#REF!</f>
        <v>#REF!</v>
      </c>
      <c r="C46" s="1522" t="e">
        <f>#REF!</f>
        <v>#REF!</v>
      </c>
      <c r="D46" s="730">
        <f>J46</f>
        <v>3281</v>
      </c>
      <c r="E46" s="633" t="e">
        <f>#REF!</f>
        <v>#REF!</v>
      </c>
      <c r="F46" s="655" t="e">
        <f>+D46*E46</f>
        <v>#REF!</v>
      </c>
      <c r="G46" s="142"/>
      <c r="H46" s="255">
        <f>ROUND(2125+50*20,0)</f>
        <v>3125</v>
      </c>
      <c r="I46" s="262">
        <v>1.05</v>
      </c>
      <c r="J46" s="258">
        <f>ROUND(H46*I46,0)</f>
        <v>3281</v>
      </c>
    </row>
    <row r="47" spans="1:189" s="114" customFormat="1">
      <c r="A47" s="639" t="e">
        <f>#REF!</f>
        <v>#REF!</v>
      </c>
      <c r="B47" s="681" t="e">
        <f>#REF!</f>
        <v>#REF!</v>
      </c>
      <c r="C47" s="1689" t="e">
        <f>#REF!</f>
        <v>#REF!</v>
      </c>
      <c r="D47" s="1414">
        <v>1</v>
      </c>
      <c r="E47" s="547">
        <v>3525595.4559999998</v>
      </c>
      <c r="F47" s="963">
        <f>+D47*E47</f>
        <v>3525595.4559999998</v>
      </c>
      <c r="H47" s="263">
        <f>H45</f>
        <v>2.9249999999999998</v>
      </c>
      <c r="I47" s="263">
        <v>1.05</v>
      </c>
      <c r="J47" s="258">
        <f>ROUND(H47*I47,3)</f>
        <v>3.0710000000000002</v>
      </c>
    </row>
    <row r="48" spans="1:189" s="114" customFormat="1">
      <c r="A48" s="745" t="e">
        <f>#REF!</f>
        <v>#REF!</v>
      </c>
      <c r="B48" s="830" t="e">
        <f>#REF!</f>
        <v>#REF!</v>
      </c>
      <c r="C48" s="1666"/>
      <c r="D48" s="1496"/>
      <c r="E48" s="544"/>
      <c r="F48" s="1136"/>
      <c r="H48" s="257"/>
      <c r="I48" s="263"/>
      <c r="J48" s="258">
        <f>ROUND(H48*I48,0)</f>
        <v>0</v>
      </c>
    </row>
    <row r="49" spans="1:12" s="114" customFormat="1">
      <c r="A49" s="639"/>
      <c r="B49" s="681"/>
      <c r="C49" s="1689" t="e">
        <f>#REF!</f>
        <v>#REF!</v>
      </c>
      <c r="D49" s="1414">
        <f>J49</f>
        <v>0</v>
      </c>
      <c r="E49" s="547" t="e">
        <f>#REF!</f>
        <v>#REF!</v>
      </c>
      <c r="F49" s="963" t="e">
        <f>+D49*E49</f>
        <v>#REF!</v>
      </c>
      <c r="H49" s="257">
        <v>0</v>
      </c>
      <c r="I49" s="263">
        <v>1.05</v>
      </c>
      <c r="J49" s="258">
        <f>ROUND(H49*I49,0)</f>
        <v>0</v>
      </c>
    </row>
    <row r="50" spans="1:12" s="114" customFormat="1">
      <c r="A50" s="745" t="e">
        <f>#REF!</f>
        <v>#REF!</v>
      </c>
      <c r="B50" s="830" t="e">
        <f>#REF!</f>
        <v>#REF!</v>
      </c>
      <c r="C50" s="1666"/>
      <c r="D50" s="1496"/>
      <c r="E50" s="544"/>
      <c r="F50" s="1136"/>
      <c r="H50" s="257"/>
      <c r="I50" s="263">
        <v>1.05</v>
      </c>
      <c r="J50" s="258">
        <f t="shared" si="0"/>
        <v>0</v>
      </c>
    </row>
    <row r="51" spans="1:12" s="114" customFormat="1">
      <c r="A51" s="639"/>
      <c r="B51" s="681"/>
      <c r="C51" s="1689" t="e">
        <f>#REF!</f>
        <v>#REF!</v>
      </c>
      <c r="D51" s="1414">
        <f>J51</f>
        <v>5578</v>
      </c>
      <c r="E51" s="547" t="e">
        <f>#REF!</f>
        <v>#REF!</v>
      </c>
      <c r="F51" s="963" t="e">
        <f>+D51*E51</f>
        <v>#REF!</v>
      </c>
      <c r="H51" s="257">
        <f>2125/2*5</f>
        <v>5312.5</v>
      </c>
      <c r="I51" s="263">
        <v>1.05</v>
      </c>
      <c r="J51" s="258">
        <f t="shared" si="0"/>
        <v>5578</v>
      </c>
    </row>
    <row r="52" spans="1:12" s="114" customFormat="1">
      <c r="A52" s="749" t="e">
        <f>+#REF!</f>
        <v>#REF!</v>
      </c>
      <c r="B52" s="749" t="e">
        <f>+#REF!</f>
        <v>#REF!</v>
      </c>
      <c r="C52" s="1688"/>
      <c r="D52" s="1456"/>
      <c r="E52" s="650"/>
      <c r="F52" s="962"/>
      <c r="H52" s="257"/>
      <c r="I52" s="263">
        <v>1.05</v>
      </c>
      <c r="J52" s="258">
        <f t="shared" si="0"/>
        <v>0</v>
      </c>
    </row>
    <row r="53" spans="1:12" s="114" customFormat="1">
      <c r="A53" s="638"/>
      <c r="B53" s="749"/>
      <c r="C53" s="1688" t="s">
        <v>1</v>
      </c>
      <c r="D53" s="1456">
        <f>+J53</f>
        <v>2678</v>
      </c>
      <c r="E53" s="650" t="e">
        <f>+#REF!</f>
        <v>#REF!</v>
      </c>
      <c r="F53" s="962" t="e">
        <f>+D53*E53</f>
        <v>#REF!</v>
      </c>
      <c r="H53" s="257">
        <f>2125*1.2</f>
        <v>2550</v>
      </c>
      <c r="I53" s="263">
        <v>1.05</v>
      </c>
      <c r="J53" s="258">
        <f t="shared" si="0"/>
        <v>2678</v>
      </c>
    </row>
    <row r="54" spans="1:12" s="114" customFormat="1">
      <c r="A54" s="745" t="e">
        <f>#REF!</f>
        <v>#REF!</v>
      </c>
      <c r="B54" s="830" t="e">
        <f>#REF!</f>
        <v>#REF!</v>
      </c>
      <c r="C54" s="1666"/>
      <c r="D54" s="1496"/>
      <c r="E54" s="544"/>
      <c r="F54" s="1136"/>
      <c r="H54" s="257"/>
      <c r="I54" s="263">
        <v>1.05</v>
      </c>
      <c r="J54" s="258">
        <f t="shared" si="0"/>
        <v>0</v>
      </c>
    </row>
    <row r="55" spans="1:12" s="114" customFormat="1">
      <c r="A55" s="639" t="e">
        <f>#REF!</f>
        <v>#REF!</v>
      </c>
      <c r="B55" s="681" t="e">
        <f>#REF!</f>
        <v>#REF!</v>
      </c>
      <c r="C55" s="1531" t="e">
        <f>#REF!</f>
        <v>#REF!</v>
      </c>
      <c r="D55" s="1517">
        <f>J55</f>
        <v>3046</v>
      </c>
      <c r="E55" s="547" t="e">
        <f>#REF!</f>
        <v>#REF!</v>
      </c>
      <c r="F55" s="963" t="e">
        <f>+D55*E55</f>
        <v>#REF!</v>
      </c>
      <c r="H55" s="257">
        <f>650*2+279*2+178+152+43+400+135*2</f>
        <v>2901</v>
      </c>
      <c r="I55" s="263">
        <v>1.05</v>
      </c>
      <c r="J55" s="258">
        <f t="shared" si="0"/>
        <v>3046</v>
      </c>
    </row>
    <row r="56" spans="1:12" s="114" customFormat="1">
      <c r="A56" s="745" t="e">
        <f>#REF!</f>
        <v>#REF!</v>
      </c>
      <c r="B56" s="830" t="e">
        <f>#REF!</f>
        <v>#REF!</v>
      </c>
      <c r="C56" s="1666"/>
      <c r="D56" s="1496"/>
      <c r="E56" s="544"/>
      <c r="F56" s="1136"/>
      <c r="H56" s="257"/>
      <c r="I56" s="263">
        <v>1.05</v>
      </c>
      <c r="J56" s="257"/>
    </row>
    <row r="57" spans="1:12" s="114" customFormat="1">
      <c r="A57" s="639"/>
      <c r="B57" s="681"/>
      <c r="C57" s="1689" t="e">
        <f>#REF!</f>
        <v>#REF!</v>
      </c>
      <c r="D57" s="1414">
        <f>D49</f>
        <v>0</v>
      </c>
      <c r="E57" s="547" t="e">
        <f>#REF!</f>
        <v>#REF!</v>
      </c>
      <c r="F57" s="963" t="e">
        <f>+D57*E57</f>
        <v>#REF!</v>
      </c>
      <c r="H57" s="257">
        <v>0</v>
      </c>
      <c r="I57" s="263">
        <v>1.05</v>
      </c>
      <c r="J57" s="258">
        <f>ROUND(H57*I57,0)</f>
        <v>0</v>
      </c>
    </row>
    <row r="58" spans="1:12" s="114" customFormat="1" ht="18.75">
      <c r="A58" s="1704"/>
      <c r="B58" s="1515"/>
      <c r="C58" s="1705"/>
      <c r="D58" s="952"/>
      <c r="E58" s="958" t="s">
        <v>111</v>
      </c>
      <c r="F58" s="959" t="e">
        <f>SUM(F37:F57)</f>
        <v>#REF!</v>
      </c>
      <c r="H58" s="257"/>
      <c r="I58" s="263"/>
      <c r="J58" s="257"/>
    </row>
    <row r="59" spans="1:12" s="114" customFormat="1" ht="15" customHeight="1">
      <c r="A59" s="1706"/>
      <c r="B59" s="1527"/>
      <c r="C59" s="188"/>
      <c r="D59" s="410"/>
      <c r="E59" s="568"/>
      <c r="F59" s="568"/>
      <c r="H59" s="257"/>
      <c r="I59" s="263"/>
      <c r="J59" s="257"/>
    </row>
    <row r="60" spans="1:12" s="114" customFormat="1" ht="24.95" customHeight="1">
      <c r="A60" s="1975" t="e">
        <f>#REF!</f>
        <v>#REF!</v>
      </c>
      <c r="B60" s="1976"/>
      <c r="C60" s="1976"/>
      <c r="D60" s="1976"/>
      <c r="E60" s="1976"/>
      <c r="F60" s="1977"/>
      <c r="H60" s="257"/>
      <c r="I60" s="263"/>
      <c r="J60" s="257"/>
    </row>
    <row r="61" spans="1:12" s="114" customFormat="1">
      <c r="A61" s="745" t="e">
        <f>#REF!</f>
        <v>#REF!</v>
      </c>
      <c r="B61" s="830" t="e">
        <f>#REF!</f>
        <v>#REF!</v>
      </c>
      <c r="C61" s="1666"/>
      <c r="D61" s="1455"/>
      <c r="E61" s="544"/>
      <c r="F61" s="1136"/>
      <c r="H61" s="257"/>
      <c r="I61" s="263"/>
      <c r="J61" s="257"/>
    </row>
    <row r="62" spans="1:12" s="114" customFormat="1">
      <c r="A62" s="639" t="e">
        <f>#REF!</f>
        <v>#REF!</v>
      </c>
      <c r="B62" s="681" t="e">
        <f>#REF!</f>
        <v>#REF!</v>
      </c>
      <c r="C62" s="1689" t="e">
        <f>#REF!</f>
        <v>#REF!</v>
      </c>
      <c r="D62" s="1420">
        <f>+G62</f>
        <v>8500</v>
      </c>
      <c r="E62" s="547" t="e">
        <f>#REF!</f>
        <v>#REF!</v>
      </c>
      <c r="F62" s="963" t="e">
        <f>+D62*E62</f>
        <v>#REF!</v>
      </c>
      <c r="G62" s="257">
        <f>+F10*G10*0.8</f>
        <v>8500</v>
      </c>
      <c r="H62" s="257">
        <f>F3*(I9-1.2)*0.35+F4*(I9-2)*0.35+F5*(30-0.8*2)*0.35+F7*(I9-3.6)*0.35+20*20*0.35</f>
        <v>8494.5</v>
      </c>
      <c r="I62" s="263">
        <v>1.1000000000000001</v>
      </c>
      <c r="J62" s="257">
        <f>H62*I62</f>
        <v>9343.9500000000007</v>
      </c>
    </row>
    <row r="63" spans="1:12" s="114" customFormat="1">
      <c r="A63" s="745" t="e">
        <f>#REF!</f>
        <v>#REF!</v>
      </c>
      <c r="B63" s="830" t="e">
        <f>#REF!</f>
        <v>#REF!</v>
      </c>
      <c r="C63" s="1666"/>
      <c r="D63" s="1496"/>
      <c r="E63" s="544"/>
      <c r="F63" s="1136"/>
      <c r="H63" s="257"/>
      <c r="I63" s="263">
        <v>1.1000000000000001</v>
      </c>
      <c r="J63" s="257"/>
      <c r="L63" s="933"/>
    </row>
    <row r="64" spans="1:12" s="114" customFormat="1">
      <c r="A64" s="639"/>
      <c r="B64" s="681"/>
      <c r="C64" s="1689" t="e">
        <f>#REF!</f>
        <v>#REF!</v>
      </c>
      <c r="D64" s="1414">
        <f>+G64</f>
        <v>5312.5</v>
      </c>
      <c r="E64" s="547" t="e">
        <f>#REF!</f>
        <v>#REF!</v>
      </c>
      <c r="F64" s="963" t="e">
        <f>+D64*E64</f>
        <v>#REF!</v>
      </c>
      <c r="G64" s="114">
        <f>+F10*G10*0.5</f>
        <v>5312.5</v>
      </c>
      <c r="H64" s="257">
        <f>H62+H66</f>
        <v>11394.5</v>
      </c>
      <c r="I64" s="263">
        <v>1.1000000000000001</v>
      </c>
      <c r="J64" s="257">
        <f>H64*I64</f>
        <v>12533.95</v>
      </c>
      <c r="K64" s="933"/>
    </row>
    <row r="65" spans="1:11" s="205" customFormat="1">
      <c r="A65" s="745" t="e">
        <f>#REF!</f>
        <v>#REF!</v>
      </c>
      <c r="B65" s="830" t="e">
        <f>#REF!</f>
        <v>#REF!</v>
      </c>
      <c r="C65" s="1497"/>
      <c r="D65" s="1484"/>
      <c r="E65" s="544"/>
      <c r="F65" s="1136"/>
      <c r="H65" s="258"/>
      <c r="I65" s="263">
        <v>1.1000000000000001</v>
      </c>
      <c r="J65" s="258"/>
    </row>
    <row r="66" spans="1:11" s="205" customFormat="1">
      <c r="A66" s="639"/>
      <c r="B66" s="681"/>
      <c r="C66" s="1689" t="e">
        <f>#REF!</f>
        <v>#REF!</v>
      </c>
      <c r="D66" s="1414">
        <f>+G66</f>
        <v>3541.6666666666665</v>
      </c>
      <c r="E66" s="547" t="e">
        <f>#REF!</f>
        <v>#REF!</v>
      </c>
      <c r="F66" s="963" t="e">
        <f>+D66*E66</f>
        <v>#REF!</v>
      </c>
      <c r="G66" s="258">
        <f>+F10*G10*1/3</f>
        <v>3541.6666666666665</v>
      </c>
      <c r="H66" s="258">
        <f>F7*2*I9</f>
        <v>2900</v>
      </c>
      <c r="I66" s="263">
        <v>1.1000000000000001</v>
      </c>
      <c r="J66" s="258">
        <f>H66*I66</f>
        <v>3190.0000000000005</v>
      </c>
      <c r="K66" s="320" t="s">
        <v>312</v>
      </c>
    </row>
    <row r="67" spans="1:11" s="205" customFormat="1">
      <c r="A67" s="745" t="e">
        <f>#REF!</f>
        <v>#REF!</v>
      </c>
      <c r="B67" s="830" t="e">
        <f>#REF!</f>
        <v>#REF!</v>
      </c>
      <c r="C67" s="1497"/>
      <c r="D67" s="1484"/>
      <c r="E67" s="544"/>
      <c r="F67" s="1136"/>
      <c r="H67" s="258"/>
      <c r="I67" s="263">
        <v>1.1000000000000001</v>
      </c>
      <c r="J67" s="258"/>
    </row>
    <row r="68" spans="1:11" s="205" customFormat="1">
      <c r="A68" s="639"/>
      <c r="B68" s="681"/>
      <c r="C68" s="1689" t="e">
        <f>#REF!</f>
        <v>#REF!</v>
      </c>
      <c r="D68" s="1414">
        <f>J68</f>
        <v>16087.500000000002</v>
      </c>
      <c r="E68" s="547" t="e">
        <f>#REF!</f>
        <v>#REF!</v>
      </c>
      <c r="F68" s="963" t="e">
        <f>D68*E68</f>
        <v>#REF!</v>
      </c>
      <c r="H68" s="278">
        <f>F9*I9</f>
        <v>14625</v>
      </c>
      <c r="I68" s="263">
        <v>1.1000000000000001</v>
      </c>
      <c r="J68" s="258">
        <f>H68*I68</f>
        <v>16087.500000000002</v>
      </c>
    </row>
    <row r="69" spans="1:11" s="129" customFormat="1" ht="18.75">
      <c r="A69" s="1426"/>
      <c r="B69" s="500"/>
      <c r="C69" s="686"/>
      <c r="D69" s="635"/>
      <c r="E69" s="636" t="s">
        <v>110</v>
      </c>
      <c r="F69" s="1122" t="e">
        <f>SUM(F61:F68)</f>
        <v>#REF!</v>
      </c>
      <c r="G69" s="142"/>
      <c r="H69" s="255"/>
      <c r="I69" s="262"/>
      <c r="J69" s="255"/>
    </row>
    <row r="70" spans="1:11" s="129" customFormat="1" ht="15.95" customHeight="1">
      <c r="A70" s="421"/>
      <c r="B70" s="18"/>
      <c r="C70" s="48"/>
      <c r="D70" s="111"/>
      <c r="E70" s="142"/>
      <c r="F70" s="112"/>
      <c r="G70" s="142">
        <f>+F7*10*0.15</f>
        <v>435</v>
      </c>
      <c r="H70" s="255">
        <f>0.15*9.84*F7+9.84*20*20*0.15</f>
        <v>1018.44</v>
      </c>
      <c r="I70" s="262" t="s">
        <v>243</v>
      </c>
      <c r="J70" s="255"/>
    </row>
    <row r="71" spans="1:11" s="129" customFormat="1" ht="24.95" customHeight="1">
      <c r="A71" s="1972" t="e">
        <f>#REF!</f>
        <v>#REF!</v>
      </c>
      <c r="B71" s="1973"/>
      <c r="C71" s="1973"/>
      <c r="D71" s="1973"/>
      <c r="E71" s="1973"/>
      <c r="F71" s="1974"/>
      <c r="G71" s="142">
        <f>+F10*G10*0.15</f>
        <v>1593.75</v>
      </c>
      <c r="H71" s="255">
        <f>0.2*(F3+F4+F5)*I9+F7*20*0.2+20*20*0.2</f>
        <v>3075</v>
      </c>
      <c r="I71" s="262" t="s">
        <v>437</v>
      </c>
      <c r="J71" s="255"/>
    </row>
    <row r="72" spans="1:11" s="129" customFormat="1">
      <c r="A72" s="689" t="e">
        <f>#REF!</f>
        <v>#REF!</v>
      </c>
      <c r="B72" s="711" t="e">
        <f>#REF!</f>
        <v>#REF!</v>
      </c>
      <c r="C72" s="1478"/>
      <c r="D72" s="742"/>
      <c r="E72" s="544"/>
      <c r="F72" s="1136"/>
      <c r="G72" s="142"/>
      <c r="H72" s="145">
        <v>0</v>
      </c>
      <c r="I72" s="262"/>
      <c r="J72" s="255"/>
    </row>
    <row r="73" spans="1:11" s="129" customFormat="1">
      <c r="A73" s="751" t="e">
        <f>#REF!</f>
        <v>#REF!</v>
      </c>
      <c r="B73" s="753" t="e">
        <f>#REF!</f>
        <v>#REF!</v>
      </c>
      <c r="C73" s="1523" t="e">
        <f>#REF!</f>
        <v>#REF!</v>
      </c>
      <c r="D73" s="1414">
        <f>J73</f>
        <v>4502.7840000000006</v>
      </c>
      <c r="E73" s="547" t="e">
        <f>#REF!</f>
        <v>#REF!</v>
      </c>
      <c r="F73" s="963" t="e">
        <f>+D73*E73</f>
        <v>#REF!</v>
      </c>
      <c r="G73" s="142"/>
      <c r="H73" s="145">
        <f>SUM(H70:H72)</f>
        <v>4093.44</v>
      </c>
      <c r="I73" s="262">
        <f>1.1</f>
        <v>1.1000000000000001</v>
      </c>
      <c r="J73" s="255">
        <f>H73*I73</f>
        <v>4502.7840000000006</v>
      </c>
    </row>
    <row r="74" spans="1:11" s="129" customFormat="1">
      <c r="A74" s="689" t="e">
        <f>#REF!</f>
        <v>#REF!</v>
      </c>
      <c r="B74" s="711" t="e">
        <f>#REF!</f>
        <v>#REF!</v>
      </c>
      <c r="C74" s="640"/>
      <c r="D74" s="807"/>
      <c r="E74" s="641"/>
      <c r="F74" s="740"/>
      <c r="G74" s="142"/>
      <c r="H74" s="255"/>
      <c r="I74" s="262"/>
      <c r="J74" s="255"/>
    </row>
    <row r="75" spans="1:11" s="129" customFormat="1">
      <c r="A75" s="751"/>
      <c r="B75" s="753"/>
      <c r="C75" s="1523" t="e">
        <f>#REF!</f>
        <v>#REF!</v>
      </c>
      <c r="D75" s="808">
        <f>J75</f>
        <v>20017.36</v>
      </c>
      <c r="E75" s="527" t="e">
        <f>#REF!</f>
        <v>#REF!</v>
      </c>
      <c r="F75" s="741" t="e">
        <f>+D75*E75</f>
        <v>#REF!</v>
      </c>
      <c r="G75" s="142"/>
      <c r="H75" s="255">
        <f>(F5*9.84+F7*9.84*2)+(13.45*0+5)*(F3+F4)</f>
        <v>18197.599999999999</v>
      </c>
      <c r="I75" s="262">
        <v>1.1000000000000001</v>
      </c>
      <c r="J75" s="255">
        <f>H75*I75</f>
        <v>20017.36</v>
      </c>
      <c r="K75" s="129" t="s">
        <v>261</v>
      </c>
    </row>
    <row r="76" spans="1:11" s="129" customFormat="1">
      <c r="A76" s="689" t="e">
        <f>#REF!</f>
        <v>#REF!</v>
      </c>
      <c r="B76" s="711" t="e">
        <f>#REF!</f>
        <v>#REF!</v>
      </c>
      <c r="C76" s="640"/>
      <c r="D76" s="807"/>
      <c r="E76" s="641"/>
      <c r="F76" s="740"/>
      <c r="G76" s="142"/>
      <c r="H76" s="255"/>
      <c r="I76" s="262"/>
      <c r="J76" s="255"/>
    </row>
    <row r="77" spans="1:11" s="129" customFormat="1">
      <c r="A77" s="751"/>
      <c r="B77" s="753"/>
      <c r="C77" s="1523" t="e">
        <f>#REF!</f>
        <v>#REF!</v>
      </c>
      <c r="D77" s="808">
        <f>+D75</f>
        <v>20017.36</v>
      </c>
      <c r="E77" s="527" t="e">
        <f>#REF!</f>
        <v>#REF!</v>
      </c>
      <c r="F77" s="741" t="e">
        <f>+D77*E77</f>
        <v>#REF!</v>
      </c>
      <c r="G77" s="142"/>
      <c r="H77" s="255"/>
      <c r="I77" s="262"/>
      <c r="J77" s="255"/>
    </row>
    <row r="78" spans="1:11" s="129" customFormat="1">
      <c r="A78" s="689" t="e">
        <f>#REF!</f>
        <v>#REF!</v>
      </c>
      <c r="B78" s="711" t="e">
        <f>#REF!</f>
        <v>#REF!</v>
      </c>
      <c r="C78" s="640"/>
      <c r="D78" s="807"/>
      <c r="E78" s="641"/>
      <c r="F78" s="740"/>
      <c r="G78" s="142"/>
      <c r="H78" s="255"/>
      <c r="I78" s="262"/>
      <c r="J78" s="255"/>
    </row>
    <row r="79" spans="1:11" s="129" customFormat="1">
      <c r="A79" s="751"/>
      <c r="B79" s="753"/>
      <c r="C79" s="1523" t="e">
        <f>#REF!</f>
        <v>#REF!</v>
      </c>
      <c r="D79" s="1420">
        <f>J79</f>
        <v>104262.79500000001</v>
      </c>
      <c r="E79" s="527" t="e">
        <f>#REF!</f>
        <v>#REF!</v>
      </c>
      <c r="F79" s="741" t="e">
        <f>+D79*E79</f>
        <v>#REF!</v>
      </c>
      <c r="G79" s="142"/>
      <c r="H79" s="255">
        <f>1950*H70*5%</f>
        <v>99297.900000000009</v>
      </c>
      <c r="I79" s="262">
        <f>1.05</f>
        <v>1.05</v>
      </c>
      <c r="J79" s="255">
        <f>H79*I79</f>
        <v>104262.79500000001</v>
      </c>
    </row>
    <row r="80" spans="1:11" s="129" customFormat="1">
      <c r="A80" s="689" t="e">
        <f>#REF!</f>
        <v>#REF!</v>
      </c>
      <c r="B80" s="711" t="e">
        <f>#REF!</f>
        <v>#REF!</v>
      </c>
      <c r="C80" s="1407"/>
      <c r="D80" s="1416"/>
      <c r="E80" s="641"/>
      <c r="F80" s="740"/>
      <c r="G80" s="142"/>
      <c r="H80" s="255"/>
      <c r="I80" s="262"/>
      <c r="J80" s="255"/>
    </row>
    <row r="81" spans="1:10" s="129" customFormat="1">
      <c r="A81" s="755" t="e">
        <f>#REF!</f>
        <v>#REF!</v>
      </c>
      <c r="B81" s="678" t="e">
        <f>#REF!</f>
        <v>#REF!</v>
      </c>
      <c r="C81" s="1485"/>
      <c r="D81" s="730"/>
      <c r="E81" s="633"/>
      <c r="F81" s="655"/>
      <c r="G81" s="142"/>
      <c r="H81" s="255"/>
      <c r="I81" s="262"/>
      <c r="J81" s="255"/>
    </row>
    <row r="82" spans="1:10" s="129" customFormat="1">
      <c r="A82" s="750" t="e">
        <f>#REF!</f>
        <v>#REF!</v>
      </c>
      <c r="B82" s="677" t="e">
        <f>#REF!</f>
        <v>#REF!</v>
      </c>
      <c r="C82" s="1485" t="e">
        <f>#REF!</f>
        <v>#REF!</v>
      </c>
      <c r="D82" s="730"/>
      <c r="E82" s="633" t="e">
        <f>#REF!</f>
        <v>#REF!</v>
      </c>
      <c r="F82" s="655"/>
      <c r="G82" s="142"/>
      <c r="H82" s="255"/>
      <c r="I82" s="262"/>
      <c r="J82" s="255"/>
    </row>
    <row r="83" spans="1:10" s="129" customFormat="1">
      <c r="A83" s="750" t="e">
        <f>#REF!</f>
        <v>#REF!</v>
      </c>
      <c r="B83" s="677" t="e">
        <f>#REF!</f>
        <v>#REF!</v>
      </c>
      <c r="C83" s="1485" t="e">
        <f>#REF!</f>
        <v>#REF!</v>
      </c>
      <c r="D83" s="730">
        <f>+G83*0.9</f>
        <v>6111</v>
      </c>
      <c r="E83" s="633" t="e">
        <f>#REF!</f>
        <v>#REF!</v>
      </c>
      <c r="F83" s="655" t="e">
        <f>+D83*E83</f>
        <v>#REF!</v>
      </c>
      <c r="G83" s="142">
        <f>+ROUND(H70/0.15,0)</f>
        <v>6790</v>
      </c>
      <c r="H83" s="255"/>
      <c r="I83" s="262"/>
      <c r="J83" s="255"/>
    </row>
    <row r="84" spans="1:10" s="129" customFormat="1">
      <c r="A84" s="750" t="e">
        <f>#REF!</f>
        <v>#REF!</v>
      </c>
      <c r="B84" s="677" t="e">
        <f>#REF!</f>
        <v>#REF!</v>
      </c>
      <c r="C84" s="1485" t="e">
        <f>#REF!</f>
        <v>#REF!</v>
      </c>
      <c r="D84" s="730">
        <f>+G84*0.83</f>
        <v>8818.75</v>
      </c>
      <c r="E84" s="633" t="e">
        <f>#REF!</f>
        <v>#REF!</v>
      </c>
      <c r="F84" s="655" t="e">
        <f>+D84*E84</f>
        <v>#REF!</v>
      </c>
      <c r="G84" s="142">
        <f>+ROUND(F10*G10,0)</f>
        <v>10625</v>
      </c>
      <c r="H84" s="255"/>
      <c r="I84" s="262"/>
      <c r="J84" s="255"/>
    </row>
    <row r="85" spans="1:10" s="129" customFormat="1">
      <c r="A85" s="755" t="e">
        <f>#REF!</f>
        <v>#REF!</v>
      </c>
      <c r="B85" s="678" t="e">
        <f>#REF!</f>
        <v>#REF!</v>
      </c>
      <c r="C85" s="1485"/>
      <c r="D85" s="730"/>
      <c r="E85" s="633"/>
      <c r="F85" s="655"/>
      <c r="G85" s="142"/>
      <c r="H85" s="255"/>
      <c r="I85" s="262"/>
      <c r="J85" s="255"/>
    </row>
    <row r="86" spans="1:10" s="129" customFormat="1">
      <c r="A86" s="750" t="e">
        <f>#REF!</f>
        <v>#REF!</v>
      </c>
      <c r="B86" s="677" t="e">
        <f>#REF!</f>
        <v>#REF!</v>
      </c>
      <c r="C86" s="1485" t="e">
        <f>#REF!</f>
        <v>#REF!</v>
      </c>
      <c r="D86" s="730"/>
      <c r="E86" s="633" t="e">
        <f>#REF!</f>
        <v>#REF!</v>
      </c>
      <c r="F86" s="655"/>
      <c r="G86" s="142"/>
      <c r="H86" s="255"/>
      <c r="I86" s="262"/>
      <c r="J86" s="255"/>
    </row>
    <row r="87" spans="1:10" s="129" customFormat="1">
      <c r="A87" s="750" t="e">
        <f>#REF!</f>
        <v>#REF!</v>
      </c>
      <c r="B87" s="677" t="e">
        <f>#REF!</f>
        <v>#REF!</v>
      </c>
      <c r="C87" s="1485" t="e">
        <f>#REF!</f>
        <v>#REF!</v>
      </c>
      <c r="D87" s="730">
        <f>+D83</f>
        <v>6111</v>
      </c>
      <c r="E87" s="633" t="e">
        <f>#REF!</f>
        <v>#REF!</v>
      </c>
      <c r="F87" s="655" t="e">
        <f>+D87*E87</f>
        <v>#REF!</v>
      </c>
      <c r="G87" s="142"/>
      <c r="H87" s="255">
        <f>9.84*F7+50%*2*9.84*F5*0+20*20*9.84</f>
        <v>6789.6</v>
      </c>
      <c r="I87" s="262">
        <v>1.05</v>
      </c>
      <c r="J87" s="255">
        <f>H87*I87</f>
        <v>7129.0800000000008</v>
      </c>
    </row>
    <row r="88" spans="1:10" s="129" customFormat="1">
      <c r="A88" s="751" t="e">
        <f>#REF!</f>
        <v>#REF!</v>
      </c>
      <c r="B88" s="753" t="e">
        <f>#REF!</f>
        <v>#REF!</v>
      </c>
      <c r="C88" s="1408" t="e">
        <f>#REF!</f>
        <v>#REF!</v>
      </c>
      <c r="D88" s="730">
        <f>+D84</f>
        <v>8818.75</v>
      </c>
      <c r="E88" s="527" t="e">
        <f>#REF!</f>
        <v>#REF!</v>
      </c>
      <c r="F88" s="741" t="e">
        <f>+D88*E88</f>
        <v>#REF!</v>
      </c>
      <c r="G88" s="142">
        <f>+(F10*G10/2)</f>
        <v>5312.5</v>
      </c>
      <c r="H88" s="268">
        <f>I9*(F3+F4)+50%*(30-9.84*2)*F5+(3.5+4)*F7+20*20*2*3</f>
        <v>13859.6</v>
      </c>
      <c r="I88" s="262">
        <v>1.05</v>
      </c>
      <c r="J88" s="255">
        <f>H88*I88</f>
        <v>14552.580000000002</v>
      </c>
    </row>
    <row r="89" spans="1:10" s="129" customFormat="1">
      <c r="A89" s="689" t="e">
        <f>#REF!</f>
        <v>#REF!</v>
      </c>
      <c r="B89" s="711" t="e">
        <f>#REF!</f>
        <v>#REF!</v>
      </c>
      <c r="C89" s="1487"/>
      <c r="D89" s="739"/>
      <c r="E89" s="641"/>
      <c r="F89" s="740"/>
      <c r="G89" s="142"/>
      <c r="H89" s="255"/>
      <c r="I89" s="262">
        <v>1.05</v>
      </c>
      <c r="J89" s="255">
        <f t="shared" ref="J89:J93" si="1">H89*I89</f>
        <v>0</v>
      </c>
    </row>
    <row r="90" spans="1:10" s="129" customFormat="1">
      <c r="A90" s="755" t="e">
        <f>#REF!</f>
        <v>#REF!</v>
      </c>
      <c r="B90" s="678" t="e">
        <f>#REF!</f>
        <v>#REF!</v>
      </c>
      <c r="C90" s="1486"/>
      <c r="D90" s="738"/>
      <c r="E90" s="633"/>
      <c r="F90" s="655"/>
      <c r="G90" s="142"/>
      <c r="H90" s="255"/>
      <c r="I90" s="262">
        <v>1.05</v>
      </c>
      <c r="J90" s="255">
        <f t="shared" si="1"/>
        <v>0</v>
      </c>
    </row>
    <row r="91" spans="1:10" s="129" customFormat="1">
      <c r="A91" s="750" t="e">
        <f>#REF!</f>
        <v>#REF!</v>
      </c>
      <c r="B91" s="677" t="e">
        <f>#REF!</f>
        <v>#REF!</v>
      </c>
      <c r="C91" s="1486" t="e">
        <f>#REF!</f>
        <v>#REF!</v>
      </c>
      <c r="D91" s="738">
        <f>+J91</f>
        <v>505.12916666666678</v>
      </c>
      <c r="E91" s="633" t="e">
        <f>#REF!</f>
        <v>#REF!</v>
      </c>
      <c r="F91" s="655" t="e">
        <f>+D91*E91</f>
        <v>#REF!</v>
      </c>
      <c r="H91" s="142">
        <f>20*20+F7/12*2.45</f>
        <v>459.20833333333337</v>
      </c>
      <c r="I91" s="262">
        <v>1.1000000000000001</v>
      </c>
      <c r="J91" s="255">
        <f t="shared" si="1"/>
        <v>505.12916666666678</v>
      </c>
    </row>
    <row r="92" spans="1:10" s="129" customFormat="1">
      <c r="A92" s="1732" t="e">
        <f>#REF!</f>
        <v>#REF!</v>
      </c>
      <c r="B92" s="1730" t="e">
        <f>#REF!</f>
        <v>#REF!</v>
      </c>
      <c r="C92" s="1733" t="e">
        <f>#REF!</f>
        <v>#REF!</v>
      </c>
      <c r="D92" s="1736">
        <f t="shared" ref="D92:D93" si="2">+J92</f>
        <v>2231.25</v>
      </c>
      <c r="E92" s="1731" t="e">
        <f>#REF!</f>
        <v>#REF!</v>
      </c>
      <c r="F92" s="1734" t="e">
        <f t="shared" ref="F92:F93" si="3">+D92*E92</f>
        <v>#REF!</v>
      </c>
      <c r="G92" s="142"/>
      <c r="H92" s="255">
        <f>+F10</f>
        <v>2125</v>
      </c>
      <c r="I92" s="262">
        <v>1.05</v>
      </c>
      <c r="J92" s="255">
        <f t="shared" si="1"/>
        <v>2231.25</v>
      </c>
    </row>
    <row r="93" spans="1:10" s="129" customFormat="1">
      <c r="A93" s="750" t="e">
        <f>#REF!</f>
        <v>#REF!</v>
      </c>
      <c r="B93" s="677" t="e">
        <f>#REF!</f>
        <v>#REF!</v>
      </c>
      <c r="C93" s="1486" t="e">
        <f>#REF!</f>
        <v>#REF!</v>
      </c>
      <c r="D93" s="1268">
        <f t="shared" si="2"/>
        <v>419.05</v>
      </c>
      <c r="E93" s="633" t="e">
        <f>#REF!</f>
        <v>#REF!</v>
      </c>
      <c r="F93" s="655" t="e">
        <f t="shared" si="3"/>
        <v>#REF!</v>
      </c>
      <c r="G93" s="142"/>
      <c r="H93" s="255">
        <f>+F7+F7/12*2.45</f>
        <v>349.20833333333337</v>
      </c>
      <c r="I93" s="262">
        <v>1.2</v>
      </c>
      <c r="J93" s="255">
        <f t="shared" si="1"/>
        <v>419.05</v>
      </c>
    </row>
    <row r="94" spans="1:10" s="129" customFormat="1">
      <c r="A94" s="755" t="e">
        <f>#REF!</f>
        <v>#REF!</v>
      </c>
      <c r="B94" s="678" t="e">
        <f>#REF!</f>
        <v>#REF!</v>
      </c>
      <c r="C94" s="1486"/>
      <c r="D94" s="738"/>
      <c r="E94" s="633"/>
      <c r="F94" s="655"/>
      <c r="G94" s="142"/>
      <c r="H94" s="255"/>
      <c r="I94" s="262">
        <v>1.05</v>
      </c>
      <c r="J94" s="255"/>
    </row>
    <row r="95" spans="1:10" s="129" customFormat="1">
      <c r="A95" s="750" t="e">
        <f>#REF!</f>
        <v>#REF!</v>
      </c>
      <c r="B95" s="677" t="e">
        <f>#REF!</f>
        <v>#REF!</v>
      </c>
      <c r="C95" s="1486" t="e">
        <f>#REF!</f>
        <v>#REF!</v>
      </c>
      <c r="D95" s="1456">
        <f>+D91</f>
        <v>505.12916666666678</v>
      </c>
      <c r="E95" s="650" t="e">
        <f>#REF!</f>
        <v>#REF!</v>
      </c>
      <c r="F95" s="655" t="e">
        <f>+D95*E95</f>
        <v>#REF!</v>
      </c>
      <c r="G95" s="198"/>
      <c r="H95" s="256">
        <f>2*F7+20*20*2+2*F5*50%-H97</f>
        <v>875</v>
      </c>
      <c r="I95" s="262">
        <v>1.05</v>
      </c>
      <c r="J95" s="256">
        <f>H95*I95</f>
        <v>918.75</v>
      </c>
    </row>
    <row r="96" spans="1:10" s="129" customFormat="1">
      <c r="A96" s="1732" t="e">
        <f>#REF!</f>
        <v>#REF!</v>
      </c>
      <c r="B96" s="1730" t="e">
        <f>#REF!</f>
        <v>#REF!</v>
      </c>
      <c r="C96" s="1733" t="e">
        <f>#REF!</f>
        <v>#REF!</v>
      </c>
      <c r="D96" s="1735">
        <f>+D92</f>
        <v>2231.25</v>
      </c>
      <c r="E96" s="1731" t="e">
        <f>#REF!</f>
        <v>#REF!</v>
      </c>
      <c r="F96" s="1734" t="e">
        <f>+D96*E96</f>
        <v>#REF!</v>
      </c>
      <c r="G96" s="198"/>
      <c r="H96" s="256">
        <f>15%*F9+20*20*2</f>
        <v>1238.75</v>
      </c>
      <c r="I96" s="262">
        <v>1.05</v>
      </c>
      <c r="J96" s="256">
        <f>H96*I96</f>
        <v>1300.6875</v>
      </c>
    </row>
    <row r="97" spans="1:12" s="129" customFormat="1">
      <c r="A97" s="751" t="e">
        <f>#REF!</f>
        <v>#REF!</v>
      </c>
      <c r="B97" s="753" t="e">
        <f>#REF!</f>
        <v>#REF!</v>
      </c>
      <c r="C97" s="1482" t="e">
        <f>#REF!</f>
        <v>#REF!</v>
      </c>
      <c r="D97" s="1456">
        <f t="shared" ref="D97" si="4">+D93</f>
        <v>419.05</v>
      </c>
      <c r="E97" s="547" t="e">
        <f>#REF!</f>
        <v>#REF!</v>
      </c>
      <c r="F97" s="741" t="e">
        <f>+D97*E97</f>
        <v>#REF!</v>
      </c>
      <c r="G97" s="198"/>
      <c r="H97" s="256">
        <f>+F7+5*20+20*2*20</f>
        <v>1190</v>
      </c>
      <c r="I97" s="262">
        <v>1.05</v>
      </c>
      <c r="J97" s="256">
        <f>H97*I97</f>
        <v>1249.5</v>
      </c>
    </row>
    <row r="98" spans="1:12" s="129" customFormat="1" ht="30" customHeight="1">
      <c r="A98" s="689" t="e">
        <f>#REF!</f>
        <v>#REF!</v>
      </c>
      <c r="B98" s="1270" t="e">
        <f>#REF!</f>
        <v>#REF!</v>
      </c>
      <c r="C98" s="1487"/>
      <c r="D98" s="1484"/>
      <c r="E98" s="544"/>
      <c r="F98" s="740"/>
      <c r="G98" s="198"/>
      <c r="H98" s="256"/>
      <c r="I98" s="330"/>
      <c r="J98" s="256"/>
    </row>
    <row r="99" spans="1:12" s="129" customFormat="1">
      <c r="A99" s="755" t="e">
        <f>#REF!</f>
        <v>#REF!</v>
      </c>
      <c r="B99" s="678" t="e">
        <f>#REF!</f>
        <v>#REF!</v>
      </c>
      <c r="C99" s="1486"/>
      <c r="D99" s="1456"/>
      <c r="E99" s="650"/>
      <c r="F99" s="655"/>
      <c r="G99" s="198"/>
      <c r="H99" s="256"/>
      <c r="I99" s="330"/>
      <c r="J99" s="256"/>
    </row>
    <row r="100" spans="1:12" s="129" customFormat="1">
      <c r="A100" s="750" t="e">
        <f>#REF!</f>
        <v>#REF!</v>
      </c>
      <c r="B100" s="677" t="e">
        <f>#REF!</f>
        <v>#REF!</v>
      </c>
      <c r="C100" s="1486" t="e">
        <f>#REF!</f>
        <v>#REF!</v>
      </c>
      <c r="D100" s="1456">
        <f>+D83*0.1</f>
        <v>611.1</v>
      </c>
      <c r="E100" s="650" t="e">
        <f>#REF!</f>
        <v>#REF!</v>
      </c>
      <c r="F100" s="655" t="e">
        <f>+D100*E100</f>
        <v>#REF!</v>
      </c>
      <c r="G100" s="198"/>
      <c r="H100" s="256"/>
      <c r="I100" s="330"/>
      <c r="J100" s="256"/>
    </row>
    <row r="101" spans="1:12" s="129" customFormat="1">
      <c r="A101" s="750" t="e">
        <f>#REF!</f>
        <v>#REF!</v>
      </c>
      <c r="B101" s="677" t="e">
        <f>#REF!</f>
        <v>#REF!</v>
      </c>
      <c r="C101" s="1486" t="e">
        <f>#REF!</f>
        <v>#REF!</v>
      </c>
      <c r="D101" s="1456">
        <f>+D84*0.2</f>
        <v>1763.75</v>
      </c>
      <c r="E101" s="650" t="e">
        <f>#REF!</f>
        <v>#REF!</v>
      </c>
      <c r="F101" s="655" t="e">
        <f t="shared" ref="F101:F104" si="5">+D101*E101</f>
        <v>#REF!</v>
      </c>
      <c r="G101" s="198"/>
      <c r="H101" s="256"/>
      <c r="I101" s="330"/>
      <c r="J101" s="256"/>
    </row>
    <row r="102" spans="1:12" s="129" customFormat="1">
      <c r="A102" s="755" t="e">
        <f>#REF!</f>
        <v>#REF!</v>
      </c>
      <c r="B102" s="678" t="e">
        <f>#REF!</f>
        <v>#REF!</v>
      </c>
      <c r="C102" s="1486"/>
      <c r="D102" s="1456"/>
      <c r="E102" s="650"/>
      <c r="F102" s="655"/>
      <c r="G102" s="198"/>
      <c r="H102" s="256"/>
      <c r="I102" s="330"/>
      <c r="J102" s="256"/>
    </row>
    <row r="103" spans="1:12" s="129" customFormat="1">
      <c r="A103" s="750" t="e">
        <f>#REF!</f>
        <v>#REF!</v>
      </c>
      <c r="B103" s="677" t="e">
        <f>#REF!</f>
        <v>#REF!</v>
      </c>
      <c r="C103" s="1486" t="e">
        <f>#REF!</f>
        <v>#REF!</v>
      </c>
      <c r="D103" s="1456">
        <f>+D100</f>
        <v>611.1</v>
      </c>
      <c r="E103" s="650" t="e">
        <f>#REF!</f>
        <v>#REF!</v>
      </c>
      <c r="F103" s="655" t="e">
        <f t="shared" si="5"/>
        <v>#REF!</v>
      </c>
      <c r="G103" s="198"/>
      <c r="H103" s="256"/>
      <c r="I103" s="330"/>
      <c r="J103" s="256"/>
    </row>
    <row r="104" spans="1:12" s="129" customFormat="1">
      <c r="A104" s="751" t="e">
        <f>#REF!</f>
        <v>#REF!</v>
      </c>
      <c r="B104" s="753" t="e">
        <f>#REF!</f>
        <v>#REF!</v>
      </c>
      <c r="C104" s="1482" t="e">
        <f>#REF!</f>
        <v>#REF!</v>
      </c>
      <c r="D104" s="1456">
        <f>+D101</f>
        <v>1763.75</v>
      </c>
      <c r="E104" s="547" t="e">
        <f>#REF!</f>
        <v>#REF!</v>
      </c>
      <c r="F104" s="655" t="e">
        <f t="shared" si="5"/>
        <v>#REF!</v>
      </c>
      <c r="G104" s="198"/>
      <c r="H104" s="256"/>
      <c r="I104" s="330"/>
      <c r="J104" s="256"/>
    </row>
    <row r="105" spans="1:12" s="129" customFormat="1" ht="18.75">
      <c r="A105" s="709"/>
      <c r="B105" s="460"/>
      <c r="C105" s="686"/>
      <c r="D105" s="635"/>
      <c r="E105" s="636" t="s">
        <v>109</v>
      </c>
      <c r="F105" s="1122" t="e">
        <f>SUM(F72:F104)</f>
        <v>#REF!</v>
      </c>
      <c r="G105" s="142"/>
      <c r="H105" s="255"/>
      <c r="I105" s="262"/>
      <c r="J105" s="255"/>
    </row>
    <row r="106" spans="1:12" s="129" customFormat="1" ht="15.95" customHeight="1">
      <c r="A106" s="406"/>
      <c r="B106" s="12"/>
      <c r="C106" s="51"/>
      <c r="D106" s="76"/>
      <c r="E106" s="91"/>
      <c r="F106" s="91"/>
      <c r="G106" s="142"/>
      <c r="H106" s="255"/>
      <c r="I106" s="262"/>
      <c r="J106" s="262">
        <f>4.82*2.4*1.46</f>
        <v>16.889279999999999</v>
      </c>
      <c r="L106" s="129">
        <f>5.9/2</f>
        <v>2.95</v>
      </c>
    </row>
    <row r="107" spans="1:12" s="129" customFormat="1" ht="24.95" customHeight="1">
      <c r="A107" s="1972" t="e">
        <f>#REF!</f>
        <v>#REF!</v>
      </c>
      <c r="B107" s="1973"/>
      <c r="C107" s="1973"/>
      <c r="D107" s="1973"/>
      <c r="E107" s="1973"/>
      <c r="F107" s="1974"/>
      <c r="G107" s="142"/>
      <c r="H107" s="255"/>
      <c r="I107" s="262"/>
      <c r="J107" s="255"/>
      <c r="L107" s="129">
        <f>2.95*2</f>
        <v>5.9</v>
      </c>
    </row>
    <row r="108" spans="1:12" s="129" customFormat="1">
      <c r="A108" s="745" t="e">
        <f>#REF!</f>
        <v>#REF!</v>
      </c>
      <c r="B108" s="830" t="e">
        <f>#REF!</f>
        <v>#REF!</v>
      </c>
      <c r="C108" s="1478"/>
      <c r="D108" s="742"/>
      <c r="E108" s="641"/>
      <c r="F108" s="740"/>
      <c r="G108" s="142"/>
      <c r="H108" s="255"/>
      <c r="I108" s="262"/>
      <c r="J108" s="255"/>
      <c r="L108" s="129">
        <v>6.1</v>
      </c>
    </row>
    <row r="109" spans="1:12" s="129" customFormat="1">
      <c r="A109" s="639"/>
      <c r="B109" s="681"/>
      <c r="C109" s="1523" t="e">
        <f>#REF!</f>
        <v>#REF!</v>
      </c>
      <c r="D109" s="1414">
        <f>J109</f>
        <v>25004.732500000006</v>
      </c>
      <c r="E109" s="527" t="e">
        <f>#REF!</f>
        <v>#REF!</v>
      </c>
      <c r="F109" s="741" t="e">
        <f>+D109*E109</f>
        <v>#REF!</v>
      </c>
      <c r="G109" s="142"/>
      <c r="H109" s="268">
        <f>(1+0.25*2+0.6*2+0.1*2)*(1.5+0.25+0.1+0.25)*F3+(1.5+0.25*2+0.6*2+0.1*2)*2.1*F4+(2*1+0.25*3+0.6*2+0.1*2)*2.1*F5+F6*2.9*2.1+F7*(3+0.25*2+0.1*2+0.6*2)*(1.2+0.25*2+0.1)+F8*2.9*(1+0.25*2+0.6*2+0.1*2)</f>
        <v>22731.575000000004</v>
      </c>
      <c r="I109" s="262">
        <v>1.1000000000000001</v>
      </c>
      <c r="J109" s="255">
        <f>H109*I109</f>
        <v>25004.732500000006</v>
      </c>
      <c r="L109" s="129">
        <f>2*9</f>
        <v>18</v>
      </c>
    </row>
    <row r="110" spans="1:12" s="129" customFormat="1">
      <c r="A110" s="745" t="e">
        <f>#REF!</f>
        <v>#REF!</v>
      </c>
      <c r="B110" s="830" t="e">
        <f>#REF!</f>
        <v>#REF!</v>
      </c>
      <c r="C110" s="1396"/>
      <c r="D110" s="1488"/>
      <c r="E110" s="641"/>
      <c r="F110" s="1489"/>
      <c r="G110" s="142"/>
      <c r="H110" s="255"/>
      <c r="I110" s="262"/>
      <c r="J110" s="255"/>
      <c r="L110" s="129">
        <f>2*2</f>
        <v>4</v>
      </c>
    </row>
    <row r="111" spans="1:12" s="129" customFormat="1">
      <c r="A111" s="1432"/>
      <c r="B111" s="680"/>
      <c r="C111" s="1523" t="e">
        <f>#REF!</f>
        <v>#REF!</v>
      </c>
      <c r="D111" s="1414">
        <f>J111</f>
        <v>19199.482500000006</v>
      </c>
      <c r="E111" s="527" t="e">
        <f>#REF!</f>
        <v>#REF!</v>
      </c>
      <c r="F111" s="741" t="e">
        <f>+D111*E111</f>
        <v>#REF!</v>
      </c>
      <c r="G111" s="142"/>
      <c r="H111" s="255">
        <f>+H109-(F3*(0.9*1.5)+F4*1.5*0.9+F5*2*1*1.5+F6*1*1.5+F7*3*1+F8*1*1)</f>
        <v>17454.075000000004</v>
      </c>
      <c r="I111" s="262">
        <v>1.1000000000000001</v>
      </c>
      <c r="J111" s="255">
        <f>H111*I111</f>
        <v>19199.482500000006</v>
      </c>
      <c r="L111" s="129">
        <f>2*3</f>
        <v>6</v>
      </c>
    </row>
    <row r="112" spans="1:12" s="129" customFormat="1">
      <c r="A112" s="689" t="e">
        <f>#REF!</f>
        <v>#REF!</v>
      </c>
      <c r="B112" s="711" t="e">
        <f>#REF!</f>
        <v>#REF!</v>
      </c>
      <c r="C112" s="1478"/>
      <c r="D112" s="742"/>
      <c r="E112" s="641"/>
      <c r="F112" s="740"/>
      <c r="G112" s="142"/>
      <c r="H112" s="255"/>
      <c r="I112" s="262"/>
      <c r="J112" s="255"/>
    </row>
    <row r="113" spans="1:12" s="129" customFormat="1">
      <c r="A113" s="751"/>
      <c r="B113" s="753"/>
      <c r="C113" s="1523" t="e">
        <f>#REF!</f>
        <v>#REF!</v>
      </c>
      <c r="D113" s="1414">
        <v>50</v>
      </c>
      <c r="E113" s="527" t="e">
        <f>#REF!</f>
        <v>#REF!</v>
      </c>
      <c r="F113" s="741" t="e">
        <f>+D113*E113</f>
        <v>#REF!</v>
      </c>
      <c r="G113" s="142"/>
      <c r="H113" s="255"/>
      <c r="I113" s="262"/>
      <c r="J113" s="255"/>
    </row>
    <row r="114" spans="1:12" s="129" customFormat="1">
      <c r="A114" s="689" t="e">
        <f>#REF!</f>
        <v>#REF!</v>
      </c>
      <c r="B114" s="711" t="e">
        <f>#REF!</f>
        <v>#REF!</v>
      </c>
      <c r="C114" s="1490"/>
      <c r="D114" s="739"/>
      <c r="E114" s="641"/>
      <c r="F114" s="740"/>
      <c r="G114" s="142"/>
      <c r="H114" s="255"/>
      <c r="I114" s="262"/>
      <c r="J114" s="255"/>
    </row>
    <row r="115" spans="1:12" s="129" customFormat="1">
      <c r="A115" s="751"/>
      <c r="B115" s="753"/>
      <c r="C115" s="1408" t="e">
        <f>#REF!</f>
        <v>#REF!</v>
      </c>
      <c r="D115" s="733">
        <v>250</v>
      </c>
      <c r="E115" s="527" t="e">
        <f>#REF!</f>
        <v>#REF!</v>
      </c>
      <c r="F115" s="741" t="e">
        <f>+D115*E115</f>
        <v>#REF!</v>
      </c>
      <c r="G115" s="142"/>
      <c r="H115" s="255"/>
      <c r="I115" s="262"/>
      <c r="J115" s="255">
        <f>6.2+2</f>
        <v>8.1999999999999993</v>
      </c>
      <c r="K115" s="129">
        <f>2</f>
        <v>2</v>
      </c>
    </row>
    <row r="116" spans="1:12" s="129" customFormat="1">
      <c r="A116" s="689" t="e">
        <f>#REF!</f>
        <v>#REF!</v>
      </c>
      <c r="B116" s="711" t="e">
        <f>#REF!</f>
        <v>#REF!</v>
      </c>
      <c r="C116" s="1490"/>
      <c r="D116" s="739"/>
      <c r="E116" s="641"/>
      <c r="F116" s="740"/>
      <c r="G116" s="142"/>
      <c r="H116" s="255"/>
      <c r="I116" s="262"/>
      <c r="J116" s="255"/>
      <c r="K116" s="129">
        <f>J115*K115/2</f>
        <v>8.1999999999999993</v>
      </c>
    </row>
    <row r="117" spans="1:12" s="129" customFormat="1">
      <c r="A117" s="751" t="e">
        <f>#REF!</f>
        <v>#REF!</v>
      </c>
      <c r="B117" s="753" t="e">
        <f>#REF!</f>
        <v>#REF!</v>
      </c>
      <c r="C117" s="1482" t="e">
        <f>#REF!</f>
        <v>#REF!</v>
      </c>
      <c r="D117" s="1415">
        <f>D121*110</f>
        <v>13200</v>
      </c>
      <c r="E117" s="527" t="e">
        <f>#REF!</f>
        <v>#REF!</v>
      </c>
      <c r="F117" s="741" t="e">
        <f>+D117*E117</f>
        <v>#REF!</v>
      </c>
      <c r="G117" s="142"/>
      <c r="H117" s="255"/>
      <c r="I117" s="262"/>
      <c r="J117" s="255"/>
    </row>
    <row r="118" spans="1:12" s="129" customFormat="1">
      <c r="A118" s="689" t="e">
        <f>#REF!</f>
        <v>#REF!</v>
      </c>
      <c r="B118" s="711" t="e">
        <f>#REF!</f>
        <v>#REF!</v>
      </c>
      <c r="C118" s="1490"/>
      <c r="D118" s="739"/>
      <c r="E118" s="641"/>
      <c r="F118" s="740"/>
      <c r="G118" s="142"/>
      <c r="H118" s="255"/>
      <c r="I118" s="262"/>
      <c r="J118" s="255"/>
    </row>
    <row r="119" spans="1:12" s="129" customFormat="1">
      <c r="A119" s="751"/>
      <c r="B119" s="753"/>
      <c r="C119" s="1408" t="e">
        <f>#REF!</f>
        <v>#REF!</v>
      </c>
      <c r="D119" s="733">
        <v>70</v>
      </c>
      <c r="E119" s="527" t="e">
        <f>#REF!</f>
        <v>#REF!</v>
      </c>
      <c r="F119" s="741" t="e">
        <f>+D119*E119</f>
        <v>#REF!</v>
      </c>
      <c r="G119" s="142"/>
      <c r="H119" s="255"/>
      <c r="I119" s="262">
        <f>15*19</f>
        <v>285</v>
      </c>
      <c r="J119" s="255"/>
    </row>
    <row r="120" spans="1:12" s="129" customFormat="1">
      <c r="A120" s="689" t="e">
        <f>#REF!</f>
        <v>#REF!</v>
      </c>
      <c r="B120" s="711" t="e">
        <f>#REF!</f>
        <v>#REF!</v>
      </c>
      <c r="C120" s="1490"/>
      <c r="D120" s="739"/>
      <c r="E120" s="641"/>
      <c r="F120" s="740"/>
      <c r="G120" s="142"/>
      <c r="H120" s="255"/>
      <c r="I120" s="262"/>
      <c r="J120" s="255"/>
    </row>
    <row r="121" spans="1:12" s="129" customFormat="1">
      <c r="A121" s="751"/>
      <c r="B121" s="753"/>
      <c r="C121" s="1408" t="e">
        <f>#REF!</f>
        <v>#REF!</v>
      </c>
      <c r="D121" s="733">
        <v>120</v>
      </c>
      <c r="E121" s="527" t="e">
        <f>#REF!</f>
        <v>#REF!</v>
      </c>
      <c r="F121" s="741" t="e">
        <f>+D121*E121</f>
        <v>#REF!</v>
      </c>
      <c r="G121" s="142"/>
      <c r="H121" s="255"/>
      <c r="I121" s="262"/>
      <c r="J121" s="255"/>
    </row>
    <row r="122" spans="1:12" s="129" customFormat="1" ht="30" customHeight="1">
      <c r="A122" s="689" t="e">
        <f>#REF!</f>
        <v>#REF!</v>
      </c>
      <c r="B122" s="1270" t="e">
        <f>#REF!</f>
        <v>#REF!</v>
      </c>
      <c r="C122" s="1490"/>
      <c r="D122" s="739"/>
      <c r="E122" s="641"/>
      <c r="F122" s="740"/>
      <c r="G122" s="142"/>
      <c r="H122" s="255"/>
      <c r="I122" s="262"/>
      <c r="J122" s="255"/>
    </row>
    <row r="123" spans="1:12" s="129" customFormat="1">
      <c r="A123" s="750" t="e">
        <f>#REF!</f>
        <v>#REF!</v>
      </c>
      <c r="B123" s="677" t="e">
        <f>#REF!</f>
        <v>#REF!</v>
      </c>
      <c r="C123" s="1485" t="e">
        <f>#REF!</f>
        <v>#REF!</v>
      </c>
      <c r="D123" s="738">
        <f>J123</f>
        <v>159.91500000000002</v>
      </c>
      <c r="E123" s="633" t="e">
        <f>#REF!</f>
        <v>#REF!</v>
      </c>
      <c r="F123" s="655" t="e">
        <f>+D123*E123</f>
        <v>#REF!</v>
      </c>
      <c r="G123" s="142"/>
      <c r="H123" s="255">
        <f>5%*J55</f>
        <v>152.30000000000001</v>
      </c>
      <c r="I123" s="262">
        <v>1.05</v>
      </c>
      <c r="J123" s="255">
        <f>H123*I123</f>
        <v>159.91500000000002</v>
      </c>
    </row>
    <row r="124" spans="1:12" s="129" customFormat="1">
      <c r="A124" s="751" t="e">
        <f>#REF!</f>
        <v>#REF!</v>
      </c>
      <c r="B124" s="753" t="e">
        <f>#REF!</f>
        <v>#REF!</v>
      </c>
      <c r="C124" s="1408" t="e">
        <f>#REF!</f>
        <v>#REF!</v>
      </c>
      <c r="D124" s="1415">
        <f>J124</f>
        <v>70.3626</v>
      </c>
      <c r="E124" s="527" t="e">
        <f>#REF!</f>
        <v>#REF!</v>
      </c>
      <c r="F124" s="741" t="e">
        <f>+D124*E124</f>
        <v>#REF!</v>
      </c>
      <c r="G124" s="142"/>
      <c r="H124" s="255">
        <f>2%*J55*1.1</f>
        <v>67.012</v>
      </c>
      <c r="I124" s="262">
        <v>1.05</v>
      </c>
      <c r="J124" s="255">
        <f>H124*I124</f>
        <v>70.3626</v>
      </c>
      <c r="L124" s="270"/>
    </row>
    <row r="125" spans="1:12">
      <c r="A125" s="711" t="e">
        <f>#REF!</f>
        <v>#REF!</v>
      </c>
      <c r="B125" s="752" t="e">
        <f>#REF!</f>
        <v>#REF!</v>
      </c>
      <c r="C125" s="1487"/>
      <c r="D125" s="784"/>
      <c r="E125" s="641"/>
      <c r="F125" s="641"/>
    </row>
    <row r="126" spans="1:12">
      <c r="A126" s="677" t="e">
        <f>+#REF!</f>
        <v>#REF!</v>
      </c>
      <c r="B126" s="729" t="e">
        <f>+#REF!</f>
        <v>#REF!</v>
      </c>
      <c r="C126" s="1486" t="s">
        <v>1</v>
      </c>
      <c r="D126" s="1677">
        <f t="shared" ref="D126" si="6">J126</f>
        <v>420</v>
      </c>
      <c r="E126" s="633" t="e">
        <f>+#REF!</f>
        <v>#REF!</v>
      </c>
      <c r="F126" s="633" t="e">
        <f>+D126*E126</f>
        <v>#REF!</v>
      </c>
      <c r="H126" s="255">
        <f>10*20*2</f>
        <v>400</v>
      </c>
      <c r="I126" s="264">
        <v>1.05</v>
      </c>
      <c r="J126" s="258">
        <f t="shared" ref="J126" si="7">H126*I126</f>
        <v>420</v>
      </c>
    </row>
    <row r="127" spans="1:12">
      <c r="A127" s="677" t="e">
        <f>#REF!</f>
        <v>#REF!</v>
      </c>
      <c r="B127" s="729" t="e">
        <f>#REF!</f>
        <v>#REF!</v>
      </c>
      <c r="C127" s="1679" t="e">
        <f>#REF!</f>
        <v>#REF!</v>
      </c>
      <c r="D127" s="1677">
        <f>J127</f>
        <v>735</v>
      </c>
      <c r="E127" s="650" t="e">
        <f>#REF!</f>
        <v>#REF!</v>
      </c>
      <c r="F127" s="650" t="e">
        <f>+D127*E127</f>
        <v>#REF!</v>
      </c>
      <c r="G127" s="205"/>
      <c r="H127" s="258">
        <f>+F3</f>
        <v>700</v>
      </c>
      <c r="I127" s="264">
        <v>1.05</v>
      </c>
      <c r="J127" s="258">
        <f>H127*I127</f>
        <v>735</v>
      </c>
    </row>
    <row r="128" spans="1:12">
      <c r="A128" s="677" t="e">
        <f>#REF!</f>
        <v>#REF!</v>
      </c>
      <c r="B128" s="729" t="e">
        <f>#REF!</f>
        <v>#REF!</v>
      </c>
      <c r="C128" s="1679" t="e">
        <f>#REF!</f>
        <v>#REF!</v>
      </c>
      <c r="D128" s="1677">
        <f>J128</f>
        <v>420</v>
      </c>
      <c r="E128" s="650" t="e">
        <f>#REF!</f>
        <v>#REF!</v>
      </c>
      <c r="F128" s="650" t="e">
        <f>+D128*E128</f>
        <v>#REF!</v>
      </c>
      <c r="G128" s="225"/>
      <c r="H128" s="259">
        <f>F8/2</f>
        <v>400</v>
      </c>
      <c r="I128" s="264">
        <v>1.05</v>
      </c>
      <c r="J128" s="258">
        <f>H128*I128</f>
        <v>420</v>
      </c>
    </row>
    <row r="129" spans="1:189">
      <c r="A129" s="677" t="e">
        <f>#REF!</f>
        <v>#REF!</v>
      </c>
      <c r="B129" s="729" t="e">
        <f>#REF!</f>
        <v>#REF!</v>
      </c>
      <c r="C129" s="1679" t="e">
        <f>#REF!</f>
        <v>#REF!</v>
      </c>
      <c r="D129" s="1677">
        <f>J129</f>
        <v>472.5</v>
      </c>
      <c r="E129" s="650" t="e">
        <f>#REF!</f>
        <v>#REF!</v>
      </c>
      <c r="F129" s="650" t="e">
        <f>+D129*E129</f>
        <v>#REF!</v>
      </c>
      <c r="G129" s="205"/>
      <c r="H129" s="258">
        <f>+F4</f>
        <v>450</v>
      </c>
      <c r="I129" s="264">
        <v>1.05</v>
      </c>
      <c r="J129" s="258">
        <f>H129*I129</f>
        <v>472.5</v>
      </c>
    </row>
    <row r="130" spans="1:189">
      <c r="A130" s="753" t="e">
        <f>+#REF!</f>
        <v>#REF!</v>
      </c>
      <c r="B130" s="708" t="e">
        <f>+#REF!</f>
        <v>#REF!</v>
      </c>
      <c r="C130" s="1680" t="s">
        <v>1</v>
      </c>
      <c r="D130" s="1678">
        <f>J130</f>
        <v>719.25</v>
      </c>
      <c r="E130" s="547" t="e">
        <f>+#REF!</f>
        <v>#REF!</v>
      </c>
      <c r="F130" s="547" t="e">
        <f>+D130*E130</f>
        <v>#REF!</v>
      </c>
      <c r="G130" s="935" t="e">
        <f>SUM(F126:F130)</f>
        <v>#REF!</v>
      </c>
      <c r="H130" s="258">
        <f>+F5</f>
        <v>685</v>
      </c>
      <c r="I130" s="264">
        <v>1.05</v>
      </c>
      <c r="J130" s="258">
        <f>H130*I130</f>
        <v>719.25</v>
      </c>
    </row>
    <row r="131" spans="1:189" s="198" customFormat="1">
      <c r="A131" s="689" t="e">
        <f>#REF!</f>
        <v>#REF!</v>
      </c>
      <c r="B131" s="711" t="e">
        <f>#REF!</f>
        <v>#REF!</v>
      </c>
      <c r="C131" s="1407"/>
      <c r="D131" s="1416"/>
      <c r="E131" s="641"/>
      <c r="F131" s="740"/>
      <c r="G131" s="225"/>
      <c r="H131" s="259"/>
      <c r="I131" s="265"/>
      <c r="J131" s="259"/>
      <c r="K131" s="199"/>
      <c r="L131" s="199"/>
      <c r="M131" s="199"/>
      <c r="N131" s="199"/>
      <c r="O131" s="199"/>
      <c r="P131" s="199"/>
      <c r="Q131" s="199"/>
      <c r="R131" s="199"/>
      <c r="S131" s="199"/>
      <c r="T131" s="199"/>
      <c r="U131" s="199"/>
      <c r="V131" s="199"/>
      <c r="W131" s="199"/>
      <c r="X131" s="199"/>
      <c r="Y131" s="199"/>
      <c r="Z131" s="199"/>
      <c r="AA131" s="199"/>
      <c r="AB131" s="199"/>
      <c r="AC131" s="199"/>
      <c r="AD131" s="199"/>
      <c r="AE131" s="199"/>
      <c r="AF131" s="199"/>
      <c r="AG131" s="199"/>
      <c r="AH131" s="199"/>
      <c r="AI131" s="199"/>
      <c r="AJ131" s="199"/>
      <c r="AK131" s="199"/>
      <c r="AL131" s="199"/>
      <c r="AM131" s="199"/>
      <c r="AN131" s="199"/>
      <c r="AO131" s="199"/>
      <c r="AP131" s="199"/>
      <c r="AQ131" s="199"/>
      <c r="AR131" s="199"/>
      <c r="AS131" s="199"/>
      <c r="AT131" s="199"/>
      <c r="AU131" s="199"/>
      <c r="AV131" s="199"/>
      <c r="AW131" s="199"/>
      <c r="AX131" s="199"/>
      <c r="AY131" s="199"/>
      <c r="AZ131" s="199"/>
      <c r="BA131" s="199"/>
      <c r="BB131" s="199"/>
      <c r="BC131" s="199"/>
      <c r="BD131" s="199"/>
      <c r="BE131" s="199"/>
      <c r="BF131" s="199"/>
      <c r="BG131" s="199"/>
      <c r="BH131" s="199"/>
      <c r="BI131" s="199"/>
      <c r="BJ131" s="199"/>
      <c r="BK131" s="199"/>
      <c r="BL131" s="199"/>
      <c r="BM131" s="199"/>
      <c r="BN131" s="199"/>
      <c r="BO131" s="199"/>
      <c r="BP131" s="199"/>
      <c r="BQ131" s="199"/>
      <c r="BR131" s="199"/>
      <c r="BS131" s="199"/>
      <c r="BT131" s="199"/>
      <c r="BU131" s="199"/>
      <c r="BV131" s="199"/>
      <c r="BW131" s="199"/>
      <c r="BX131" s="199"/>
      <c r="BY131" s="199"/>
      <c r="BZ131" s="199"/>
      <c r="CA131" s="199"/>
      <c r="CB131" s="199"/>
      <c r="CC131" s="199"/>
      <c r="CD131" s="199"/>
      <c r="CE131" s="199"/>
      <c r="CF131" s="199"/>
      <c r="CG131" s="199"/>
      <c r="CH131" s="199"/>
      <c r="CI131" s="199"/>
      <c r="CJ131" s="199"/>
      <c r="CK131" s="199"/>
      <c r="CL131" s="199"/>
      <c r="CM131" s="199"/>
      <c r="CN131" s="199"/>
      <c r="CO131" s="199"/>
      <c r="CP131" s="199"/>
      <c r="CQ131" s="199"/>
      <c r="CR131" s="199"/>
      <c r="CS131" s="199"/>
      <c r="CT131" s="199"/>
      <c r="CU131" s="199"/>
      <c r="CV131" s="199"/>
      <c r="CW131" s="199"/>
      <c r="CX131" s="199"/>
      <c r="CY131" s="199"/>
      <c r="CZ131" s="199"/>
      <c r="DA131" s="199"/>
      <c r="DB131" s="199"/>
      <c r="DC131" s="199"/>
      <c r="DD131" s="199"/>
      <c r="DE131" s="199"/>
      <c r="DF131" s="199"/>
      <c r="DG131" s="199"/>
      <c r="DH131" s="199"/>
      <c r="DI131" s="199"/>
      <c r="DJ131" s="199"/>
      <c r="DK131" s="199"/>
      <c r="DL131" s="199"/>
      <c r="DM131" s="199"/>
      <c r="DN131" s="199"/>
      <c r="DO131" s="199"/>
      <c r="DP131" s="199"/>
      <c r="DQ131" s="199"/>
      <c r="DR131" s="199"/>
      <c r="DS131" s="199"/>
      <c r="DT131" s="199"/>
      <c r="DU131" s="199"/>
      <c r="DV131" s="199"/>
      <c r="DW131" s="199"/>
      <c r="DX131" s="199"/>
      <c r="DY131" s="199"/>
      <c r="DZ131" s="199"/>
      <c r="EA131" s="199"/>
      <c r="EB131" s="199"/>
      <c r="EC131" s="199"/>
      <c r="ED131" s="199"/>
      <c r="EE131" s="199"/>
      <c r="EF131" s="199"/>
      <c r="EG131" s="199"/>
      <c r="EH131" s="199"/>
      <c r="EI131" s="199"/>
      <c r="EJ131" s="199"/>
      <c r="EK131" s="199"/>
      <c r="EL131" s="199"/>
      <c r="EM131" s="199"/>
      <c r="EN131" s="199"/>
      <c r="EO131" s="199"/>
      <c r="EP131" s="199"/>
      <c r="EQ131" s="199"/>
      <c r="ER131" s="199"/>
      <c r="ES131" s="199"/>
      <c r="ET131" s="199"/>
      <c r="EU131" s="199"/>
      <c r="EV131" s="199"/>
      <c r="EW131" s="199"/>
      <c r="EX131" s="199"/>
      <c r="EY131" s="199"/>
      <c r="EZ131" s="199"/>
      <c r="FA131" s="199"/>
      <c r="FB131" s="199"/>
      <c r="FC131" s="199"/>
      <c r="FD131" s="199"/>
      <c r="FE131" s="199"/>
      <c r="FF131" s="199"/>
      <c r="FG131" s="199"/>
      <c r="FH131" s="199"/>
      <c r="FI131" s="199"/>
      <c r="FJ131" s="199"/>
      <c r="FK131" s="199"/>
      <c r="FL131" s="199"/>
      <c r="FM131" s="199"/>
      <c r="FN131" s="199"/>
      <c r="FO131" s="199"/>
      <c r="FP131" s="199"/>
      <c r="FQ131" s="199"/>
      <c r="FR131" s="199"/>
      <c r="FS131" s="199"/>
      <c r="FT131" s="199"/>
      <c r="FU131" s="199"/>
      <c r="FV131" s="199"/>
      <c r="FW131" s="199"/>
      <c r="FX131" s="199"/>
      <c r="FY131" s="199"/>
      <c r="FZ131" s="199"/>
      <c r="GA131" s="199"/>
      <c r="GB131" s="199"/>
      <c r="GC131" s="199"/>
      <c r="GD131" s="199"/>
      <c r="GE131" s="199"/>
      <c r="GF131" s="199"/>
      <c r="GG131" s="199"/>
    </row>
    <row r="132" spans="1:189" s="225" customFormat="1">
      <c r="A132" s="639"/>
      <c r="B132" s="681"/>
      <c r="C132" s="1408" t="e">
        <f>#REF!</f>
        <v>#REF!</v>
      </c>
      <c r="D132" s="733">
        <v>1</v>
      </c>
      <c r="E132" s="547" t="e">
        <f>#REF!</f>
        <v>#REF!</v>
      </c>
      <c r="F132" s="741" t="e">
        <f>+D132*E132</f>
        <v>#REF!</v>
      </c>
      <c r="H132" s="259">
        <v>0</v>
      </c>
      <c r="I132" s="265">
        <v>1.05</v>
      </c>
      <c r="J132" s="259">
        <f>H132*I132</f>
        <v>0</v>
      </c>
      <c r="K132" s="226"/>
      <c r="L132" s="226"/>
      <c r="M132" s="226"/>
      <c r="N132" s="226"/>
      <c r="O132" s="226"/>
      <c r="P132" s="226"/>
      <c r="Q132" s="226"/>
      <c r="R132" s="226"/>
      <c r="S132" s="226"/>
      <c r="T132" s="226"/>
      <c r="U132" s="226"/>
      <c r="V132" s="226"/>
      <c r="W132" s="226"/>
      <c r="X132" s="226"/>
      <c r="Y132" s="226"/>
      <c r="Z132" s="226"/>
      <c r="AA132" s="226"/>
      <c r="AB132" s="226"/>
      <c r="AC132" s="226"/>
      <c r="AD132" s="226"/>
      <c r="AE132" s="226"/>
      <c r="AF132" s="226"/>
      <c r="AG132" s="226"/>
      <c r="AH132" s="226"/>
      <c r="AI132" s="226"/>
      <c r="AJ132" s="226"/>
      <c r="AK132" s="226"/>
      <c r="AL132" s="226"/>
      <c r="AM132" s="226"/>
      <c r="AN132" s="226"/>
      <c r="AO132" s="226"/>
      <c r="AP132" s="226"/>
      <c r="AQ132" s="226"/>
      <c r="AR132" s="226"/>
      <c r="AS132" s="226"/>
      <c r="AT132" s="226"/>
      <c r="AU132" s="226"/>
      <c r="AV132" s="226"/>
      <c r="AW132" s="226"/>
      <c r="AX132" s="226"/>
      <c r="AY132" s="226"/>
      <c r="AZ132" s="226"/>
      <c r="BA132" s="226"/>
      <c r="BB132" s="226"/>
      <c r="BC132" s="226"/>
      <c r="BD132" s="226"/>
      <c r="BE132" s="226"/>
      <c r="BF132" s="226"/>
      <c r="BG132" s="226"/>
      <c r="BH132" s="226"/>
      <c r="BI132" s="226"/>
      <c r="BJ132" s="226"/>
      <c r="BK132" s="226"/>
      <c r="BL132" s="226"/>
      <c r="BM132" s="226"/>
      <c r="BN132" s="226"/>
      <c r="BO132" s="226"/>
      <c r="BP132" s="226"/>
      <c r="BQ132" s="226"/>
      <c r="BR132" s="226"/>
      <c r="BS132" s="226"/>
      <c r="BT132" s="226"/>
      <c r="BU132" s="226"/>
      <c r="BV132" s="226"/>
      <c r="BW132" s="226"/>
      <c r="BX132" s="226"/>
      <c r="BY132" s="226"/>
      <c r="BZ132" s="226"/>
      <c r="CA132" s="226"/>
      <c r="CB132" s="226"/>
      <c r="CC132" s="226"/>
      <c r="CD132" s="226"/>
      <c r="CE132" s="226"/>
      <c r="CF132" s="226"/>
      <c r="CG132" s="226"/>
      <c r="CH132" s="226"/>
      <c r="CI132" s="226"/>
      <c r="CJ132" s="226"/>
      <c r="CK132" s="226"/>
      <c r="CL132" s="226"/>
      <c r="CM132" s="226"/>
      <c r="CN132" s="226"/>
      <c r="CO132" s="226"/>
      <c r="CP132" s="226"/>
      <c r="CQ132" s="226"/>
      <c r="CR132" s="226"/>
      <c r="CS132" s="226"/>
      <c r="CT132" s="226"/>
      <c r="CU132" s="226"/>
      <c r="CV132" s="226"/>
      <c r="CW132" s="226"/>
      <c r="CX132" s="226"/>
      <c r="CY132" s="226"/>
      <c r="CZ132" s="226"/>
      <c r="DA132" s="226"/>
      <c r="DB132" s="226"/>
      <c r="DC132" s="226"/>
      <c r="DD132" s="226"/>
      <c r="DE132" s="226"/>
      <c r="DF132" s="226"/>
      <c r="DG132" s="226"/>
      <c r="DH132" s="226"/>
      <c r="DI132" s="226"/>
      <c r="DJ132" s="226"/>
      <c r="DK132" s="226"/>
      <c r="DL132" s="226"/>
      <c r="DM132" s="226"/>
      <c r="DN132" s="226"/>
      <c r="DO132" s="226"/>
      <c r="DP132" s="226"/>
      <c r="DQ132" s="226"/>
      <c r="DR132" s="226"/>
      <c r="DS132" s="226"/>
      <c r="DT132" s="226"/>
      <c r="DU132" s="226"/>
      <c r="DV132" s="226"/>
      <c r="DW132" s="226"/>
      <c r="DX132" s="226"/>
      <c r="DY132" s="226"/>
      <c r="DZ132" s="226"/>
      <c r="EA132" s="226"/>
      <c r="EB132" s="226"/>
      <c r="EC132" s="226"/>
      <c r="ED132" s="226"/>
      <c r="EE132" s="226"/>
      <c r="EF132" s="226"/>
      <c r="EG132" s="226"/>
      <c r="EH132" s="226"/>
      <c r="EI132" s="226"/>
      <c r="EJ132" s="226"/>
      <c r="EK132" s="226"/>
      <c r="EL132" s="226"/>
      <c r="EM132" s="226"/>
      <c r="EN132" s="226"/>
      <c r="EO132" s="226"/>
      <c r="EP132" s="226"/>
      <c r="EQ132" s="226"/>
      <c r="ER132" s="226"/>
      <c r="ES132" s="226"/>
      <c r="ET132" s="226"/>
      <c r="EU132" s="226"/>
      <c r="EV132" s="226"/>
      <c r="EW132" s="226"/>
      <c r="EX132" s="226"/>
      <c r="EY132" s="226"/>
      <c r="EZ132" s="226"/>
      <c r="FA132" s="226"/>
      <c r="FB132" s="226"/>
      <c r="FC132" s="226"/>
      <c r="FD132" s="226"/>
      <c r="FE132" s="226"/>
      <c r="FF132" s="226"/>
      <c r="FG132" s="226"/>
      <c r="FH132" s="226"/>
      <c r="FI132" s="226"/>
      <c r="FJ132" s="226"/>
      <c r="FK132" s="226"/>
      <c r="FL132" s="226"/>
      <c r="FM132" s="226"/>
      <c r="FN132" s="226"/>
      <c r="FO132" s="226"/>
      <c r="FP132" s="226"/>
      <c r="FQ132" s="226"/>
      <c r="FR132" s="226"/>
      <c r="FS132" s="226"/>
      <c r="FT132" s="226"/>
      <c r="FU132" s="226"/>
      <c r="FV132" s="226"/>
      <c r="FW132" s="226"/>
      <c r="FX132" s="226"/>
      <c r="FY132" s="226"/>
      <c r="FZ132" s="226"/>
      <c r="GA132" s="226"/>
      <c r="GB132" s="226"/>
      <c r="GC132" s="226"/>
      <c r="GD132" s="226"/>
      <c r="GE132" s="226"/>
      <c r="GF132" s="226"/>
      <c r="GG132" s="226"/>
    </row>
    <row r="133" spans="1:189" s="225" customFormat="1">
      <c r="A133" s="689" t="e">
        <f>#REF!</f>
        <v>#REF!</v>
      </c>
      <c r="B133" s="711" t="e">
        <f>#REF!</f>
        <v>#REF!</v>
      </c>
      <c r="C133" s="1407"/>
      <c r="D133" s="1416"/>
      <c r="E133" s="641"/>
      <c r="F133" s="740"/>
      <c r="H133" s="259"/>
      <c r="I133" s="265"/>
      <c r="J133" s="259"/>
      <c r="K133" s="226"/>
      <c r="L133" s="226"/>
      <c r="M133" s="226"/>
      <c r="N133" s="226"/>
      <c r="O133" s="226"/>
      <c r="P133" s="226"/>
      <c r="Q133" s="226"/>
      <c r="R133" s="226"/>
      <c r="S133" s="226"/>
      <c r="T133" s="226"/>
      <c r="U133" s="226"/>
      <c r="V133" s="226"/>
      <c r="W133" s="226"/>
      <c r="X133" s="226"/>
      <c r="Y133" s="226"/>
      <c r="Z133" s="226"/>
      <c r="AA133" s="226"/>
      <c r="AB133" s="226"/>
      <c r="AC133" s="226"/>
      <c r="AD133" s="226"/>
      <c r="AE133" s="226"/>
      <c r="AF133" s="226"/>
      <c r="AG133" s="226"/>
      <c r="AH133" s="226"/>
      <c r="AI133" s="226"/>
      <c r="AJ133" s="226"/>
      <c r="AK133" s="226"/>
      <c r="AL133" s="226"/>
      <c r="AM133" s="226"/>
      <c r="AN133" s="226"/>
      <c r="AO133" s="226"/>
      <c r="AP133" s="226"/>
      <c r="AQ133" s="226"/>
      <c r="AR133" s="226"/>
      <c r="AS133" s="226"/>
      <c r="AT133" s="226"/>
      <c r="AU133" s="226"/>
      <c r="AV133" s="226"/>
      <c r="AW133" s="226"/>
      <c r="AX133" s="226"/>
      <c r="AY133" s="226"/>
      <c r="AZ133" s="226"/>
      <c r="BA133" s="226"/>
      <c r="BB133" s="226"/>
      <c r="BC133" s="226"/>
      <c r="BD133" s="226"/>
      <c r="BE133" s="226"/>
      <c r="BF133" s="226"/>
      <c r="BG133" s="226"/>
      <c r="BH133" s="226"/>
      <c r="BI133" s="226"/>
      <c r="BJ133" s="226"/>
      <c r="BK133" s="226"/>
      <c r="BL133" s="226"/>
      <c r="BM133" s="226"/>
      <c r="BN133" s="226"/>
      <c r="BO133" s="226"/>
      <c r="BP133" s="226"/>
      <c r="BQ133" s="226"/>
      <c r="BR133" s="226"/>
      <c r="BS133" s="226"/>
      <c r="BT133" s="226"/>
      <c r="BU133" s="226"/>
      <c r="BV133" s="226"/>
      <c r="BW133" s="226"/>
      <c r="BX133" s="226"/>
      <c r="BY133" s="226"/>
      <c r="BZ133" s="226"/>
      <c r="CA133" s="226"/>
      <c r="CB133" s="226"/>
      <c r="CC133" s="226"/>
      <c r="CD133" s="226"/>
      <c r="CE133" s="226"/>
      <c r="CF133" s="226"/>
      <c r="CG133" s="226"/>
      <c r="CH133" s="226"/>
      <c r="CI133" s="226"/>
      <c r="CJ133" s="226"/>
      <c r="CK133" s="226"/>
      <c r="CL133" s="226"/>
      <c r="CM133" s="226"/>
      <c r="CN133" s="226"/>
      <c r="CO133" s="226"/>
      <c r="CP133" s="226"/>
      <c r="CQ133" s="226"/>
      <c r="CR133" s="226"/>
      <c r="CS133" s="226"/>
      <c r="CT133" s="226"/>
      <c r="CU133" s="226"/>
      <c r="CV133" s="226"/>
      <c r="CW133" s="226"/>
      <c r="CX133" s="226"/>
      <c r="CY133" s="226"/>
      <c r="CZ133" s="226"/>
      <c r="DA133" s="226"/>
      <c r="DB133" s="226"/>
      <c r="DC133" s="226"/>
      <c r="DD133" s="226"/>
      <c r="DE133" s="226"/>
      <c r="DF133" s="226"/>
      <c r="DG133" s="226"/>
      <c r="DH133" s="226"/>
      <c r="DI133" s="226"/>
      <c r="DJ133" s="226"/>
      <c r="DK133" s="226"/>
      <c r="DL133" s="226"/>
      <c r="DM133" s="226"/>
      <c r="DN133" s="226"/>
      <c r="DO133" s="226"/>
      <c r="DP133" s="226"/>
      <c r="DQ133" s="226"/>
      <c r="DR133" s="226"/>
      <c r="DS133" s="226"/>
      <c r="DT133" s="226"/>
      <c r="DU133" s="226"/>
      <c r="DV133" s="226"/>
      <c r="DW133" s="226"/>
      <c r="DX133" s="226"/>
      <c r="DY133" s="226"/>
      <c r="DZ133" s="226"/>
      <c r="EA133" s="226"/>
      <c r="EB133" s="226"/>
      <c r="EC133" s="226"/>
      <c r="ED133" s="226"/>
      <c r="EE133" s="226"/>
      <c r="EF133" s="226"/>
      <c r="EG133" s="226"/>
      <c r="EH133" s="226"/>
      <c r="EI133" s="226"/>
      <c r="EJ133" s="226"/>
      <c r="EK133" s="226"/>
      <c r="EL133" s="226"/>
      <c r="EM133" s="226"/>
      <c r="EN133" s="226"/>
      <c r="EO133" s="226"/>
      <c r="EP133" s="226"/>
      <c r="EQ133" s="226"/>
      <c r="ER133" s="226"/>
      <c r="ES133" s="226"/>
      <c r="ET133" s="226"/>
      <c r="EU133" s="226"/>
      <c r="EV133" s="226"/>
      <c r="EW133" s="226"/>
      <c r="EX133" s="226"/>
      <c r="EY133" s="226"/>
      <c r="EZ133" s="226"/>
      <c r="FA133" s="226"/>
      <c r="FB133" s="226"/>
      <c r="FC133" s="226"/>
      <c r="FD133" s="226"/>
      <c r="FE133" s="226"/>
      <c r="FF133" s="226"/>
      <c r="FG133" s="226"/>
      <c r="FH133" s="226"/>
      <c r="FI133" s="226"/>
      <c r="FJ133" s="226"/>
      <c r="FK133" s="226"/>
      <c r="FL133" s="226"/>
      <c r="FM133" s="226"/>
      <c r="FN133" s="226"/>
      <c r="FO133" s="226"/>
      <c r="FP133" s="226"/>
      <c r="FQ133" s="226"/>
      <c r="FR133" s="226"/>
      <c r="FS133" s="226"/>
      <c r="FT133" s="226"/>
      <c r="FU133" s="226"/>
      <c r="FV133" s="226"/>
      <c r="FW133" s="226"/>
      <c r="FX133" s="226"/>
      <c r="FY133" s="226"/>
      <c r="FZ133" s="226"/>
      <c r="GA133" s="226"/>
      <c r="GB133" s="226"/>
      <c r="GC133" s="226"/>
      <c r="GD133" s="226"/>
      <c r="GE133" s="226"/>
      <c r="GF133" s="226"/>
      <c r="GG133" s="226"/>
    </row>
    <row r="134" spans="1:189" s="225" customFormat="1" ht="30" customHeight="1">
      <c r="A134" s="785" t="e">
        <f>#REF!</f>
        <v>#REF!</v>
      </c>
      <c r="B134" s="764" t="e">
        <f>#REF!</f>
        <v>#REF!</v>
      </c>
      <c r="C134" s="1485" t="e">
        <f>#REF!</f>
        <v>#REF!</v>
      </c>
      <c r="D134" s="730">
        <f>J134</f>
        <v>0</v>
      </c>
      <c r="E134" s="633" t="e">
        <f>#REF!</f>
        <v>#REF!</v>
      </c>
      <c r="F134" s="655" t="e">
        <f>+D134*E134</f>
        <v>#REF!</v>
      </c>
      <c r="H134" s="259">
        <f>(J139/50+3)*0</f>
        <v>0</v>
      </c>
      <c r="I134" s="265">
        <v>1.05</v>
      </c>
      <c r="J134" s="259">
        <f>H134*I134</f>
        <v>0</v>
      </c>
      <c r="K134" s="226"/>
      <c r="L134" s="226"/>
      <c r="M134" s="226"/>
      <c r="N134" s="226"/>
      <c r="O134" s="226"/>
      <c r="P134" s="226"/>
      <c r="Q134" s="226"/>
      <c r="R134" s="226"/>
      <c r="S134" s="226"/>
      <c r="T134" s="226"/>
      <c r="U134" s="226"/>
      <c r="V134" s="226"/>
      <c r="W134" s="226"/>
      <c r="X134" s="226"/>
      <c r="Y134" s="226"/>
      <c r="Z134" s="226"/>
      <c r="AA134" s="226"/>
      <c r="AB134" s="226"/>
      <c r="AC134" s="226"/>
      <c r="AD134" s="226"/>
      <c r="AE134" s="226"/>
      <c r="AF134" s="226"/>
      <c r="AG134" s="226"/>
      <c r="AH134" s="226"/>
      <c r="AI134" s="226"/>
      <c r="AJ134" s="226"/>
      <c r="AK134" s="226"/>
      <c r="AL134" s="226"/>
      <c r="AM134" s="226"/>
      <c r="AN134" s="226"/>
      <c r="AO134" s="226"/>
      <c r="AP134" s="226"/>
      <c r="AQ134" s="226"/>
      <c r="AR134" s="226"/>
      <c r="AS134" s="226"/>
      <c r="AT134" s="226"/>
      <c r="AU134" s="226"/>
      <c r="AV134" s="226"/>
      <c r="AW134" s="226"/>
      <c r="AX134" s="226"/>
      <c r="AY134" s="226"/>
      <c r="AZ134" s="226"/>
      <c r="BA134" s="226"/>
      <c r="BB134" s="226"/>
      <c r="BC134" s="226"/>
      <c r="BD134" s="226"/>
      <c r="BE134" s="226"/>
      <c r="BF134" s="226"/>
      <c r="BG134" s="226"/>
      <c r="BH134" s="226"/>
      <c r="BI134" s="226"/>
      <c r="BJ134" s="226"/>
      <c r="BK134" s="226"/>
      <c r="BL134" s="226"/>
      <c r="BM134" s="226"/>
      <c r="BN134" s="226"/>
      <c r="BO134" s="226"/>
      <c r="BP134" s="226"/>
      <c r="BQ134" s="226"/>
      <c r="BR134" s="226"/>
      <c r="BS134" s="226"/>
      <c r="BT134" s="226"/>
      <c r="BU134" s="226"/>
      <c r="BV134" s="226"/>
      <c r="BW134" s="226"/>
      <c r="BX134" s="226"/>
      <c r="BY134" s="226"/>
      <c r="BZ134" s="226"/>
      <c r="CA134" s="226"/>
      <c r="CB134" s="226"/>
      <c r="CC134" s="226"/>
      <c r="CD134" s="226"/>
      <c r="CE134" s="226"/>
      <c r="CF134" s="226"/>
      <c r="CG134" s="226"/>
      <c r="CH134" s="226"/>
      <c r="CI134" s="226"/>
      <c r="CJ134" s="226"/>
      <c r="CK134" s="226"/>
      <c r="CL134" s="226"/>
      <c r="CM134" s="226"/>
      <c r="CN134" s="226"/>
      <c r="CO134" s="226"/>
      <c r="CP134" s="226"/>
      <c r="CQ134" s="226"/>
      <c r="CR134" s="226"/>
      <c r="CS134" s="226"/>
      <c r="CT134" s="226"/>
      <c r="CU134" s="226"/>
      <c r="CV134" s="226"/>
      <c r="CW134" s="226"/>
      <c r="CX134" s="226"/>
      <c r="CY134" s="226"/>
      <c r="CZ134" s="226"/>
      <c r="DA134" s="226"/>
      <c r="DB134" s="226"/>
      <c r="DC134" s="226"/>
      <c r="DD134" s="226"/>
      <c r="DE134" s="226"/>
      <c r="DF134" s="226"/>
      <c r="DG134" s="226"/>
      <c r="DH134" s="226"/>
      <c r="DI134" s="226"/>
      <c r="DJ134" s="226"/>
      <c r="DK134" s="226"/>
      <c r="DL134" s="226"/>
      <c r="DM134" s="226"/>
      <c r="DN134" s="226"/>
      <c r="DO134" s="226"/>
      <c r="DP134" s="226"/>
      <c r="DQ134" s="226"/>
      <c r="DR134" s="226"/>
      <c r="DS134" s="226"/>
      <c r="DT134" s="226"/>
      <c r="DU134" s="226"/>
      <c r="DV134" s="226"/>
      <c r="DW134" s="226"/>
      <c r="DX134" s="226"/>
      <c r="DY134" s="226"/>
      <c r="DZ134" s="226"/>
      <c r="EA134" s="226"/>
      <c r="EB134" s="226"/>
      <c r="EC134" s="226"/>
      <c r="ED134" s="226"/>
      <c r="EE134" s="226"/>
      <c r="EF134" s="226"/>
      <c r="EG134" s="226"/>
      <c r="EH134" s="226"/>
      <c r="EI134" s="226"/>
      <c r="EJ134" s="226"/>
      <c r="EK134" s="226"/>
      <c r="EL134" s="226"/>
      <c r="EM134" s="226"/>
      <c r="EN134" s="226"/>
      <c r="EO134" s="226"/>
      <c r="EP134" s="226"/>
      <c r="EQ134" s="226"/>
      <c r="ER134" s="226"/>
      <c r="ES134" s="226"/>
      <c r="ET134" s="226"/>
      <c r="EU134" s="226"/>
      <c r="EV134" s="226"/>
      <c r="EW134" s="226"/>
      <c r="EX134" s="226"/>
      <c r="EY134" s="226"/>
      <c r="EZ134" s="226"/>
      <c r="FA134" s="226"/>
      <c r="FB134" s="226"/>
      <c r="FC134" s="226"/>
      <c r="FD134" s="226"/>
      <c r="FE134" s="226"/>
      <c r="FF134" s="226"/>
      <c r="FG134" s="226"/>
      <c r="FH134" s="226"/>
      <c r="FI134" s="226"/>
      <c r="FJ134" s="226"/>
      <c r="FK134" s="226"/>
      <c r="FL134" s="226"/>
      <c r="FM134" s="226"/>
      <c r="FN134" s="226"/>
      <c r="FO134" s="226"/>
      <c r="FP134" s="226"/>
      <c r="FQ134" s="226"/>
      <c r="FR134" s="226"/>
      <c r="FS134" s="226"/>
      <c r="FT134" s="226"/>
      <c r="FU134" s="226"/>
      <c r="FV134" s="226"/>
      <c r="FW134" s="226"/>
      <c r="FX134" s="226"/>
      <c r="FY134" s="226"/>
      <c r="FZ134" s="226"/>
      <c r="GA134" s="226"/>
      <c r="GB134" s="226"/>
      <c r="GC134" s="226"/>
      <c r="GD134" s="226"/>
      <c r="GE134" s="226"/>
      <c r="GF134" s="226"/>
      <c r="GG134" s="226"/>
    </row>
    <row r="135" spans="1:189" s="225" customFormat="1">
      <c r="A135" s="765" t="e">
        <f>#REF!</f>
        <v>#REF!</v>
      </c>
      <c r="B135" s="1429" t="e">
        <f>#REF!</f>
        <v>#REF!</v>
      </c>
      <c r="C135" s="1408" t="e">
        <f>#REF!</f>
        <v>#REF!</v>
      </c>
      <c r="D135" s="733">
        <f>J135</f>
        <v>2905.0875000000001</v>
      </c>
      <c r="E135" s="527" t="e">
        <f>#REF!</f>
        <v>#REF!</v>
      </c>
      <c r="F135" s="741" t="e">
        <f>+D135*E135</f>
        <v>#REF!</v>
      </c>
      <c r="G135" s="417" t="e">
        <f>SUM(F134:F135)</f>
        <v>#REF!</v>
      </c>
      <c r="H135" s="259">
        <f>SUM(D126:D130)</f>
        <v>2766.75</v>
      </c>
      <c r="I135" s="265">
        <v>1.05</v>
      </c>
      <c r="J135" s="259">
        <f>H135*I135</f>
        <v>2905.0875000000001</v>
      </c>
      <c r="K135" s="226"/>
      <c r="L135" s="226"/>
      <c r="M135" s="226"/>
      <c r="N135" s="226"/>
      <c r="O135" s="226"/>
      <c r="P135" s="226"/>
      <c r="Q135" s="226"/>
      <c r="R135" s="226"/>
      <c r="S135" s="226"/>
      <c r="T135" s="226"/>
      <c r="U135" s="226"/>
      <c r="V135" s="226"/>
      <c r="W135" s="226"/>
      <c r="X135" s="226"/>
      <c r="Y135" s="226"/>
      <c r="Z135" s="226"/>
      <c r="AA135" s="226"/>
      <c r="AB135" s="226"/>
      <c r="AC135" s="226"/>
      <c r="AD135" s="226"/>
      <c r="AE135" s="226"/>
      <c r="AF135" s="226"/>
      <c r="AG135" s="226"/>
      <c r="AH135" s="226"/>
      <c r="AI135" s="226"/>
      <c r="AJ135" s="226"/>
      <c r="AK135" s="226"/>
      <c r="AL135" s="226"/>
      <c r="AM135" s="226"/>
      <c r="AN135" s="226"/>
      <c r="AO135" s="226"/>
      <c r="AP135" s="226"/>
      <c r="AQ135" s="226"/>
      <c r="AR135" s="226"/>
      <c r="AS135" s="226"/>
      <c r="AT135" s="226"/>
      <c r="AU135" s="226"/>
      <c r="AV135" s="226"/>
      <c r="AW135" s="226"/>
      <c r="AX135" s="226"/>
      <c r="AY135" s="226"/>
      <c r="AZ135" s="226"/>
      <c r="BA135" s="226"/>
      <c r="BB135" s="226"/>
      <c r="BC135" s="226"/>
      <c r="BD135" s="226"/>
      <c r="BE135" s="226"/>
      <c r="BF135" s="226"/>
      <c r="BG135" s="226"/>
      <c r="BH135" s="226"/>
      <c r="BI135" s="226"/>
      <c r="BJ135" s="226"/>
      <c r="BK135" s="226"/>
      <c r="BL135" s="226"/>
      <c r="BM135" s="226"/>
      <c r="BN135" s="226"/>
      <c r="BO135" s="226"/>
      <c r="BP135" s="226"/>
      <c r="BQ135" s="226"/>
      <c r="BR135" s="226"/>
      <c r="BS135" s="226"/>
      <c r="BT135" s="226"/>
      <c r="BU135" s="226"/>
      <c r="BV135" s="226"/>
      <c r="BW135" s="226"/>
      <c r="BX135" s="226"/>
      <c r="BY135" s="226"/>
      <c r="BZ135" s="226"/>
      <c r="CA135" s="226"/>
      <c r="CB135" s="226"/>
      <c r="CC135" s="226"/>
      <c r="CD135" s="226"/>
      <c r="CE135" s="226"/>
      <c r="CF135" s="226"/>
      <c r="CG135" s="226"/>
      <c r="CH135" s="226"/>
      <c r="CI135" s="226"/>
      <c r="CJ135" s="226"/>
      <c r="CK135" s="226"/>
      <c r="CL135" s="226"/>
      <c r="CM135" s="226"/>
      <c r="CN135" s="226"/>
      <c r="CO135" s="226"/>
      <c r="CP135" s="226"/>
      <c r="CQ135" s="226"/>
      <c r="CR135" s="226"/>
      <c r="CS135" s="226"/>
      <c r="CT135" s="226"/>
      <c r="CU135" s="226"/>
      <c r="CV135" s="226"/>
      <c r="CW135" s="226"/>
      <c r="CX135" s="226"/>
      <c r="CY135" s="226"/>
      <c r="CZ135" s="226"/>
      <c r="DA135" s="226"/>
      <c r="DB135" s="226"/>
      <c r="DC135" s="226"/>
      <c r="DD135" s="226"/>
      <c r="DE135" s="226"/>
      <c r="DF135" s="226"/>
      <c r="DG135" s="226"/>
      <c r="DH135" s="226"/>
      <c r="DI135" s="226"/>
      <c r="DJ135" s="226"/>
      <c r="DK135" s="226"/>
      <c r="DL135" s="226"/>
      <c r="DM135" s="226"/>
      <c r="DN135" s="226"/>
      <c r="DO135" s="226"/>
      <c r="DP135" s="226"/>
      <c r="DQ135" s="226"/>
      <c r="DR135" s="226"/>
      <c r="DS135" s="226"/>
      <c r="DT135" s="226"/>
      <c r="DU135" s="226"/>
      <c r="DV135" s="226"/>
      <c r="DW135" s="226"/>
      <c r="DX135" s="226"/>
      <c r="DY135" s="226"/>
      <c r="DZ135" s="226"/>
      <c r="EA135" s="226"/>
      <c r="EB135" s="226"/>
      <c r="EC135" s="226"/>
      <c r="ED135" s="226"/>
      <c r="EE135" s="226"/>
      <c r="EF135" s="226"/>
      <c r="EG135" s="226"/>
      <c r="EH135" s="226"/>
      <c r="EI135" s="226"/>
      <c r="EJ135" s="226"/>
      <c r="EK135" s="226"/>
      <c r="EL135" s="226"/>
      <c r="EM135" s="226"/>
      <c r="EN135" s="226"/>
      <c r="EO135" s="226"/>
      <c r="EP135" s="226"/>
      <c r="EQ135" s="226"/>
      <c r="ER135" s="226"/>
      <c r="ES135" s="226"/>
      <c r="ET135" s="226"/>
      <c r="EU135" s="226"/>
      <c r="EV135" s="226"/>
      <c r="EW135" s="226"/>
      <c r="EX135" s="226"/>
      <c r="EY135" s="226"/>
      <c r="EZ135" s="226"/>
      <c r="FA135" s="226"/>
      <c r="FB135" s="226"/>
      <c r="FC135" s="226"/>
      <c r="FD135" s="226"/>
      <c r="FE135" s="226"/>
      <c r="FF135" s="226"/>
      <c r="FG135" s="226"/>
      <c r="FH135" s="226"/>
      <c r="FI135" s="226"/>
      <c r="FJ135" s="226"/>
      <c r="FK135" s="226"/>
      <c r="FL135" s="226"/>
      <c r="FM135" s="226"/>
      <c r="FN135" s="226"/>
      <c r="FO135" s="226"/>
      <c r="FP135" s="226"/>
      <c r="FQ135" s="226"/>
      <c r="FR135" s="226"/>
      <c r="FS135" s="226"/>
      <c r="FT135" s="226"/>
      <c r="FU135" s="226"/>
      <c r="FV135" s="226"/>
      <c r="FW135" s="226"/>
      <c r="FX135" s="226"/>
      <c r="FY135" s="226"/>
      <c r="FZ135" s="226"/>
      <c r="GA135" s="226"/>
      <c r="GB135" s="226"/>
      <c r="GC135" s="226"/>
      <c r="GD135" s="226"/>
      <c r="GE135" s="226"/>
      <c r="GF135" s="226"/>
      <c r="GG135" s="226"/>
    </row>
    <row r="136" spans="1:189" s="225" customFormat="1">
      <c r="A136" s="689" t="e">
        <f>#REF!</f>
        <v>#REF!</v>
      </c>
      <c r="B136" s="711" t="e">
        <f>#REF!</f>
        <v>#REF!</v>
      </c>
      <c r="C136" s="1407"/>
      <c r="D136" s="1416"/>
      <c r="E136" s="641"/>
      <c r="F136" s="740"/>
      <c r="H136" s="259"/>
      <c r="I136" s="265"/>
      <c r="J136" s="259"/>
      <c r="K136" s="226"/>
      <c r="L136" s="226"/>
      <c r="M136" s="226"/>
      <c r="N136" s="226"/>
      <c r="O136" s="226"/>
      <c r="P136" s="226"/>
      <c r="Q136" s="226"/>
      <c r="R136" s="226"/>
      <c r="S136" s="226"/>
      <c r="T136" s="226"/>
      <c r="U136" s="226"/>
      <c r="V136" s="226"/>
      <c r="W136" s="226"/>
      <c r="X136" s="226"/>
      <c r="Y136" s="226"/>
      <c r="Z136" s="226"/>
      <c r="AA136" s="226"/>
      <c r="AB136" s="226"/>
      <c r="AC136" s="226"/>
      <c r="AD136" s="226"/>
      <c r="AE136" s="226"/>
      <c r="AF136" s="226"/>
      <c r="AG136" s="226"/>
      <c r="AH136" s="226"/>
      <c r="AI136" s="226"/>
      <c r="AJ136" s="226"/>
      <c r="AK136" s="226"/>
      <c r="AL136" s="226"/>
      <c r="AM136" s="226"/>
      <c r="AN136" s="226"/>
      <c r="AO136" s="226"/>
      <c r="AP136" s="226"/>
      <c r="AQ136" s="226"/>
      <c r="AR136" s="226"/>
      <c r="AS136" s="226"/>
      <c r="AT136" s="226"/>
      <c r="AU136" s="226"/>
      <c r="AV136" s="226"/>
      <c r="AW136" s="226"/>
      <c r="AX136" s="226"/>
      <c r="AY136" s="226"/>
      <c r="AZ136" s="226"/>
      <c r="BA136" s="226"/>
      <c r="BB136" s="226"/>
      <c r="BC136" s="226"/>
      <c r="BD136" s="226"/>
      <c r="BE136" s="226"/>
      <c r="BF136" s="226"/>
      <c r="BG136" s="226"/>
      <c r="BH136" s="226"/>
      <c r="BI136" s="226"/>
      <c r="BJ136" s="226"/>
      <c r="BK136" s="226"/>
      <c r="BL136" s="226"/>
      <c r="BM136" s="226"/>
      <c r="BN136" s="226"/>
      <c r="BO136" s="226"/>
      <c r="BP136" s="226"/>
      <c r="BQ136" s="226"/>
      <c r="BR136" s="226"/>
      <c r="BS136" s="226"/>
      <c r="BT136" s="226"/>
      <c r="BU136" s="226"/>
      <c r="BV136" s="226"/>
      <c r="BW136" s="226"/>
      <c r="BX136" s="226"/>
      <c r="BY136" s="226"/>
      <c r="BZ136" s="226"/>
      <c r="CA136" s="226"/>
      <c r="CB136" s="226"/>
      <c r="CC136" s="226"/>
      <c r="CD136" s="226"/>
      <c r="CE136" s="226"/>
      <c r="CF136" s="226"/>
      <c r="CG136" s="226"/>
      <c r="CH136" s="226"/>
      <c r="CI136" s="226"/>
      <c r="CJ136" s="226"/>
      <c r="CK136" s="226"/>
      <c r="CL136" s="226"/>
      <c r="CM136" s="226"/>
      <c r="CN136" s="226"/>
      <c r="CO136" s="226"/>
      <c r="CP136" s="226"/>
      <c r="CQ136" s="226"/>
      <c r="CR136" s="226"/>
      <c r="CS136" s="226"/>
      <c r="CT136" s="226"/>
      <c r="CU136" s="226"/>
      <c r="CV136" s="226"/>
      <c r="CW136" s="226"/>
      <c r="CX136" s="226"/>
      <c r="CY136" s="226"/>
      <c r="CZ136" s="226"/>
      <c r="DA136" s="226"/>
      <c r="DB136" s="226"/>
      <c r="DC136" s="226"/>
      <c r="DD136" s="226"/>
      <c r="DE136" s="226"/>
      <c r="DF136" s="226"/>
      <c r="DG136" s="226"/>
      <c r="DH136" s="226"/>
      <c r="DI136" s="226"/>
      <c r="DJ136" s="226"/>
      <c r="DK136" s="226"/>
      <c r="DL136" s="226"/>
      <c r="DM136" s="226"/>
      <c r="DN136" s="226"/>
      <c r="DO136" s="226"/>
      <c r="DP136" s="226"/>
      <c r="DQ136" s="226"/>
      <c r="DR136" s="226"/>
      <c r="DS136" s="226"/>
      <c r="DT136" s="226"/>
      <c r="DU136" s="226"/>
      <c r="DV136" s="226"/>
      <c r="DW136" s="226"/>
      <c r="DX136" s="226"/>
      <c r="DY136" s="226"/>
      <c r="DZ136" s="226"/>
      <c r="EA136" s="226"/>
      <c r="EB136" s="226"/>
      <c r="EC136" s="226"/>
      <c r="ED136" s="226"/>
      <c r="EE136" s="226"/>
      <c r="EF136" s="226"/>
      <c r="EG136" s="226"/>
      <c r="EH136" s="226"/>
      <c r="EI136" s="226"/>
      <c r="EJ136" s="226"/>
      <c r="EK136" s="226"/>
      <c r="EL136" s="226"/>
      <c r="EM136" s="226"/>
      <c r="EN136" s="226"/>
      <c r="EO136" s="226"/>
      <c r="EP136" s="226"/>
      <c r="EQ136" s="226"/>
      <c r="ER136" s="226"/>
      <c r="ES136" s="226"/>
      <c r="ET136" s="226"/>
      <c r="EU136" s="226"/>
      <c r="EV136" s="226"/>
      <c r="EW136" s="226"/>
      <c r="EX136" s="226"/>
      <c r="EY136" s="226"/>
      <c r="EZ136" s="226"/>
      <c r="FA136" s="226"/>
      <c r="FB136" s="226"/>
      <c r="FC136" s="226"/>
      <c r="FD136" s="226"/>
      <c r="FE136" s="226"/>
      <c r="FF136" s="226"/>
      <c r="FG136" s="226"/>
      <c r="FH136" s="226"/>
      <c r="FI136" s="226"/>
      <c r="FJ136" s="226"/>
      <c r="FK136" s="226"/>
      <c r="FL136" s="226"/>
      <c r="FM136" s="226"/>
      <c r="FN136" s="226"/>
      <c r="FO136" s="226"/>
      <c r="FP136" s="226"/>
      <c r="FQ136" s="226"/>
      <c r="FR136" s="226"/>
      <c r="FS136" s="226"/>
      <c r="FT136" s="226"/>
      <c r="FU136" s="226"/>
      <c r="FV136" s="226"/>
      <c r="FW136" s="226"/>
      <c r="FX136" s="226"/>
      <c r="FY136" s="226"/>
      <c r="FZ136" s="226"/>
      <c r="GA136" s="226"/>
      <c r="GB136" s="226"/>
      <c r="GC136" s="226"/>
      <c r="GD136" s="226"/>
      <c r="GE136" s="226"/>
      <c r="GF136" s="226"/>
      <c r="GG136" s="226"/>
    </row>
    <row r="137" spans="1:189" s="225" customFormat="1">
      <c r="A137" s="765" t="e">
        <f>#REF!</f>
        <v>#REF!</v>
      </c>
      <c r="B137" s="681" t="e">
        <f>#REF!</f>
        <v>#REF!</v>
      </c>
      <c r="C137" s="1408" t="e">
        <f>#REF!</f>
        <v>#REF!</v>
      </c>
      <c r="D137" s="733">
        <f>J137</f>
        <v>1982.4</v>
      </c>
      <c r="E137" s="527" t="e">
        <f>#REF!</f>
        <v>#REF!</v>
      </c>
      <c r="F137" s="741" t="e">
        <f>+D137*E137</f>
        <v>#REF!</v>
      </c>
      <c r="H137" s="259">
        <f>1588+300</f>
        <v>1888</v>
      </c>
      <c r="I137" s="265">
        <v>1.05</v>
      </c>
      <c r="J137" s="259">
        <f>H137*I137</f>
        <v>1982.4</v>
      </c>
      <c r="K137" s="226"/>
      <c r="L137" s="226"/>
      <c r="M137" s="226"/>
      <c r="N137" s="226"/>
      <c r="O137" s="226"/>
      <c r="P137" s="226"/>
      <c r="Q137" s="226"/>
      <c r="R137" s="226"/>
      <c r="S137" s="226"/>
      <c r="T137" s="226"/>
      <c r="U137" s="226"/>
      <c r="V137" s="226"/>
      <c r="W137" s="226"/>
      <c r="X137" s="226"/>
      <c r="Y137" s="226"/>
      <c r="Z137" s="226"/>
      <c r="AA137" s="226"/>
      <c r="AB137" s="226"/>
      <c r="AC137" s="226"/>
      <c r="AD137" s="226"/>
      <c r="AE137" s="226"/>
      <c r="AF137" s="226"/>
      <c r="AG137" s="226"/>
      <c r="AH137" s="226"/>
      <c r="AI137" s="226"/>
      <c r="AJ137" s="226"/>
      <c r="AK137" s="226"/>
      <c r="AL137" s="226"/>
      <c r="AM137" s="226"/>
      <c r="AN137" s="226"/>
      <c r="AO137" s="226"/>
      <c r="AP137" s="226"/>
      <c r="AQ137" s="226"/>
      <c r="AR137" s="226"/>
      <c r="AS137" s="226"/>
      <c r="AT137" s="226"/>
      <c r="AU137" s="226"/>
      <c r="AV137" s="226"/>
      <c r="AW137" s="226"/>
      <c r="AX137" s="226"/>
      <c r="AY137" s="226"/>
      <c r="AZ137" s="226"/>
      <c r="BA137" s="226"/>
      <c r="BB137" s="226"/>
      <c r="BC137" s="226"/>
      <c r="BD137" s="226"/>
      <c r="BE137" s="226"/>
      <c r="BF137" s="226"/>
      <c r="BG137" s="226"/>
      <c r="BH137" s="226"/>
      <c r="BI137" s="226"/>
      <c r="BJ137" s="226"/>
      <c r="BK137" s="226"/>
      <c r="BL137" s="226"/>
      <c r="BM137" s="226"/>
      <c r="BN137" s="226"/>
      <c r="BO137" s="226"/>
      <c r="BP137" s="226"/>
      <c r="BQ137" s="226"/>
      <c r="BR137" s="226"/>
      <c r="BS137" s="226"/>
      <c r="BT137" s="226"/>
      <c r="BU137" s="226"/>
      <c r="BV137" s="226"/>
      <c r="BW137" s="226"/>
      <c r="BX137" s="226"/>
      <c r="BY137" s="226"/>
      <c r="BZ137" s="226"/>
      <c r="CA137" s="226"/>
      <c r="CB137" s="226"/>
      <c r="CC137" s="226"/>
      <c r="CD137" s="226"/>
      <c r="CE137" s="226"/>
      <c r="CF137" s="226"/>
      <c r="CG137" s="226"/>
      <c r="CH137" s="226"/>
      <c r="CI137" s="226"/>
      <c r="CJ137" s="226"/>
      <c r="CK137" s="226"/>
      <c r="CL137" s="226"/>
      <c r="CM137" s="226"/>
      <c r="CN137" s="226"/>
      <c r="CO137" s="226"/>
      <c r="CP137" s="226"/>
      <c r="CQ137" s="226"/>
      <c r="CR137" s="226"/>
      <c r="CS137" s="226"/>
      <c r="CT137" s="226"/>
      <c r="CU137" s="226"/>
      <c r="CV137" s="226"/>
      <c r="CW137" s="226"/>
      <c r="CX137" s="226"/>
      <c r="CY137" s="226"/>
      <c r="CZ137" s="226"/>
      <c r="DA137" s="226"/>
      <c r="DB137" s="226"/>
      <c r="DC137" s="226"/>
      <c r="DD137" s="226"/>
      <c r="DE137" s="226"/>
      <c r="DF137" s="226"/>
      <c r="DG137" s="226"/>
      <c r="DH137" s="226"/>
      <c r="DI137" s="226"/>
      <c r="DJ137" s="226"/>
      <c r="DK137" s="226"/>
      <c r="DL137" s="226"/>
      <c r="DM137" s="226"/>
      <c r="DN137" s="226"/>
      <c r="DO137" s="226"/>
      <c r="DP137" s="226"/>
      <c r="DQ137" s="226"/>
      <c r="DR137" s="226"/>
      <c r="DS137" s="226"/>
      <c r="DT137" s="226"/>
      <c r="DU137" s="226"/>
      <c r="DV137" s="226"/>
      <c r="DW137" s="226"/>
      <c r="DX137" s="226"/>
      <c r="DY137" s="226"/>
      <c r="DZ137" s="226"/>
      <c r="EA137" s="226"/>
      <c r="EB137" s="226"/>
      <c r="EC137" s="226"/>
      <c r="ED137" s="226"/>
      <c r="EE137" s="226"/>
      <c r="EF137" s="226"/>
      <c r="EG137" s="226"/>
      <c r="EH137" s="226"/>
      <c r="EI137" s="226"/>
      <c r="EJ137" s="226"/>
      <c r="EK137" s="226"/>
      <c r="EL137" s="226"/>
      <c r="EM137" s="226"/>
      <c r="EN137" s="226"/>
      <c r="EO137" s="226"/>
      <c r="EP137" s="226"/>
      <c r="EQ137" s="226"/>
      <c r="ER137" s="226"/>
      <c r="ES137" s="226"/>
      <c r="ET137" s="226"/>
      <c r="EU137" s="226"/>
      <c r="EV137" s="226"/>
      <c r="EW137" s="226"/>
      <c r="EX137" s="226"/>
      <c r="EY137" s="226"/>
      <c r="EZ137" s="226"/>
      <c r="FA137" s="226"/>
      <c r="FB137" s="226"/>
      <c r="FC137" s="226"/>
      <c r="FD137" s="226"/>
      <c r="FE137" s="226"/>
      <c r="FF137" s="226"/>
      <c r="FG137" s="226"/>
      <c r="FH137" s="226"/>
      <c r="FI137" s="226"/>
      <c r="FJ137" s="226"/>
      <c r="FK137" s="226"/>
      <c r="FL137" s="226"/>
      <c r="FM137" s="226"/>
      <c r="FN137" s="226"/>
      <c r="FO137" s="226"/>
      <c r="FP137" s="226"/>
      <c r="FQ137" s="226"/>
      <c r="FR137" s="226"/>
      <c r="FS137" s="226"/>
      <c r="FT137" s="226"/>
      <c r="FU137" s="226"/>
      <c r="FV137" s="226"/>
      <c r="FW137" s="226"/>
      <c r="FX137" s="226"/>
      <c r="FY137" s="226"/>
      <c r="FZ137" s="226"/>
      <c r="GA137" s="226"/>
      <c r="GB137" s="226"/>
      <c r="GC137" s="226"/>
      <c r="GD137" s="226"/>
      <c r="GE137" s="226"/>
      <c r="GF137" s="226"/>
      <c r="GG137" s="226"/>
    </row>
    <row r="138" spans="1:189" s="225" customFormat="1">
      <c r="A138" s="745" t="e">
        <f>#REF!</f>
        <v>#REF!</v>
      </c>
      <c r="B138" s="830" t="e">
        <f>#REF!</f>
        <v>#REF!</v>
      </c>
      <c r="C138" s="1407"/>
      <c r="D138" s="1416"/>
      <c r="E138" s="641"/>
      <c r="F138" s="740"/>
      <c r="H138" s="259"/>
      <c r="I138" s="265"/>
      <c r="J138" s="259"/>
      <c r="K138" s="226"/>
      <c r="L138" s="226"/>
      <c r="M138" s="226"/>
      <c r="N138" s="226"/>
      <c r="O138" s="226"/>
      <c r="P138" s="226"/>
      <c r="Q138" s="226"/>
      <c r="R138" s="226"/>
      <c r="S138" s="226"/>
      <c r="T138" s="226"/>
      <c r="U138" s="226"/>
      <c r="V138" s="226"/>
      <c r="W138" s="226"/>
      <c r="X138" s="226"/>
      <c r="Y138" s="226"/>
      <c r="Z138" s="226"/>
      <c r="AA138" s="226"/>
      <c r="AB138" s="226"/>
      <c r="AC138" s="226"/>
      <c r="AD138" s="226"/>
      <c r="AE138" s="226"/>
      <c r="AF138" s="226"/>
      <c r="AG138" s="226"/>
      <c r="AH138" s="226"/>
      <c r="AI138" s="226"/>
      <c r="AJ138" s="226"/>
      <c r="AK138" s="226"/>
      <c r="AL138" s="226"/>
      <c r="AM138" s="226"/>
      <c r="AN138" s="226"/>
      <c r="AO138" s="226"/>
      <c r="AP138" s="226"/>
      <c r="AQ138" s="226"/>
      <c r="AR138" s="226"/>
      <c r="AS138" s="226"/>
      <c r="AT138" s="226"/>
      <c r="AU138" s="226"/>
      <c r="AV138" s="226"/>
      <c r="AW138" s="226"/>
      <c r="AX138" s="226"/>
      <c r="AY138" s="226"/>
      <c r="AZ138" s="226"/>
      <c r="BA138" s="226"/>
      <c r="BB138" s="226"/>
      <c r="BC138" s="226"/>
      <c r="BD138" s="226"/>
      <c r="BE138" s="226"/>
      <c r="BF138" s="226"/>
      <c r="BG138" s="226"/>
      <c r="BH138" s="226"/>
      <c r="BI138" s="226"/>
      <c r="BJ138" s="226"/>
      <c r="BK138" s="226"/>
      <c r="BL138" s="226"/>
      <c r="BM138" s="226"/>
      <c r="BN138" s="226"/>
      <c r="BO138" s="226"/>
      <c r="BP138" s="226"/>
      <c r="BQ138" s="226"/>
      <c r="BR138" s="226"/>
      <c r="BS138" s="226"/>
      <c r="BT138" s="226"/>
      <c r="BU138" s="226"/>
      <c r="BV138" s="226"/>
      <c r="BW138" s="226"/>
      <c r="BX138" s="226"/>
      <c r="BY138" s="226"/>
      <c r="BZ138" s="226"/>
      <c r="CA138" s="226"/>
      <c r="CB138" s="226"/>
      <c r="CC138" s="226"/>
      <c r="CD138" s="226"/>
      <c r="CE138" s="226"/>
      <c r="CF138" s="226"/>
      <c r="CG138" s="226"/>
      <c r="CH138" s="226"/>
      <c r="CI138" s="226"/>
      <c r="CJ138" s="226"/>
      <c r="CK138" s="226"/>
      <c r="CL138" s="226"/>
      <c r="CM138" s="226"/>
      <c r="CN138" s="226"/>
      <c r="CO138" s="226"/>
      <c r="CP138" s="226"/>
      <c r="CQ138" s="226"/>
      <c r="CR138" s="226"/>
      <c r="CS138" s="226"/>
      <c r="CT138" s="226"/>
      <c r="CU138" s="226"/>
      <c r="CV138" s="226"/>
      <c r="CW138" s="226"/>
      <c r="CX138" s="226"/>
      <c r="CY138" s="226"/>
      <c r="CZ138" s="226"/>
      <c r="DA138" s="226"/>
      <c r="DB138" s="226"/>
      <c r="DC138" s="226"/>
      <c r="DD138" s="226"/>
      <c r="DE138" s="226"/>
      <c r="DF138" s="226"/>
      <c r="DG138" s="226"/>
      <c r="DH138" s="226"/>
      <c r="DI138" s="226"/>
      <c r="DJ138" s="226"/>
      <c r="DK138" s="226"/>
      <c r="DL138" s="226"/>
      <c r="DM138" s="226"/>
      <c r="DN138" s="226"/>
      <c r="DO138" s="226"/>
      <c r="DP138" s="226"/>
      <c r="DQ138" s="226"/>
      <c r="DR138" s="226"/>
      <c r="DS138" s="226"/>
      <c r="DT138" s="226"/>
      <c r="DU138" s="226"/>
      <c r="DV138" s="226"/>
      <c r="DW138" s="226"/>
      <c r="DX138" s="226"/>
      <c r="DY138" s="226"/>
      <c r="DZ138" s="226"/>
      <c r="EA138" s="226"/>
      <c r="EB138" s="226"/>
      <c r="EC138" s="226"/>
      <c r="ED138" s="226"/>
      <c r="EE138" s="226"/>
      <c r="EF138" s="226"/>
      <c r="EG138" s="226"/>
      <c r="EH138" s="226"/>
      <c r="EI138" s="226"/>
      <c r="EJ138" s="226"/>
      <c r="EK138" s="226"/>
      <c r="EL138" s="226"/>
      <c r="EM138" s="226"/>
      <c r="EN138" s="226"/>
      <c r="EO138" s="226"/>
      <c r="EP138" s="226"/>
      <c r="EQ138" s="226"/>
      <c r="ER138" s="226"/>
      <c r="ES138" s="226"/>
      <c r="ET138" s="226"/>
      <c r="EU138" s="226"/>
      <c r="EV138" s="226"/>
      <c r="EW138" s="226"/>
      <c r="EX138" s="226"/>
      <c r="EY138" s="226"/>
      <c r="EZ138" s="226"/>
      <c r="FA138" s="226"/>
      <c r="FB138" s="226"/>
      <c r="FC138" s="226"/>
      <c r="FD138" s="226"/>
      <c r="FE138" s="226"/>
      <c r="FF138" s="226"/>
      <c r="FG138" s="226"/>
      <c r="FH138" s="226"/>
      <c r="FI138" s="226"/>
      <c r="FJ138" s="226"/>
      <c r="FK138" s="226"/>
      <c r="FL138" s="226"/>
      <c r="FM138" s="226"/>
      <c r="FN138" s="226"/>
      <c r="FO138" s="226"/>
      <c r="FP138" s="226"/>
      <c r="FQ138" s="226"/>
      <c r="FR138" s="226"/>
      <c r="FS138" s="226"/>
      <c r="FT138" s="226"/>
      <c r="FU138" s="226"/>
      <c r="FV138" s="226"/>
      <c r="FW138" s="226"/>
      <c r="FX138" s="226"/>
      <c r="FY138" s="226"/>
      <c r="FZ138" s="226"/>
      <c r="GA138" s="226"/>
      <c r="GB138" s="226"/>
      <c r="GC138" s="226"/>
      <c r="GD138" s="226"/>
      <c r="GE138" s="226"/>
      <c r="GF138" s="226"/>
      <c r="GG138" s="226"/>
    </row>
    <row r="139" spans="1:189" s="205" customFormat="1">
      <c r="A139" s="681" t="e">
        <f>#REF!</f>
        <v>#REF!</v>
      </c>
      <c r="B139" s="681" t="e">
        <f>#REF!</f>
        <v>#REF!</v>
      </c>
      <c r="C139" s="1523" t="e">
        <f>#REF!</f>
        <v>#REF!</v>
      </c>
      <c r="D139" s="1414">
        <f>J139</f>
        <v>304.5</v>
      </c>
      <c r="E139" s="547" t="e">
        <f>#REF!</f>
        <v>#REF!</v>
      </c>
      <c r="F139" s="963" t="e">
        <f>+D139*E139</f>
        <v>#REF!</v>
      </c>
      <c r="G139" s="935" t="e">
        <f>SUM(F139)</f>
        <v>#REF!</v>
      </c>
      <c r="H139" s="258">
        <v>290</v>
      </c>
      <c r="I139" s="264">
        <v>1.05</v>
      </c>
      <c r="J139" s="258">
        <f>H139*I139</f>
        <v>304.5</v>
      </c>
    </row>
    <row r="140" spans="1:189" ht="18.75">
      <c r="A140" s="736"/>
      <c r="B140" s="239"/>
      <c r="C140" s="686"/>
      <c r="D140" s="635"/>
      <c r="E140" s="636" t="s">
        <v>113</v>
      </c>
      <c r="F140" s="637" t="e">
        <f>SUM(F108:F139)</f>
        <v>#REF!</v>
      </c>
    </row>
    <row r="141" spans="1:189" s="129" customFormat="1" ht="15" customHeight="1">
      <c r="A141" s="406"/>
      <c r="B141" s="12"/>
      <c r="C141" s="13"/>
      <c r="D141" s="76"/>
      <c r="E141" s="142"/>
      <c r="F141" s="66"/>
      <c r="G141" s="142"/>
      <c r="H141" s="255"/>
      <c r="I141" s="262"/>
      <c r="J141" s="255"/>
      <c r="L141" s="129">
        <f>17500/22</f>
        <v>795.4545454545455</v>
      </c>
    </row>
    <row r="142" spans="1:189" s="129" customFormat="1" ht="24" customHeight="1">
      <c r="A142" s="1972" t="e">
        <f>#REF!</f>
        <v>#REF!</v>
      </c>
      <c r="B142" s="1973"/>
      <c r="C142" s="1973"/>
      <c r="D142" s="1973"/>
      <c r="E142" s="1973"/>
      <c r="F142" s="1974"/>
      <c r="G142" s="142"/>
      <c r="H142" s="255"/>
      <c r="I142" s="262"/>
      <c r="J142" s="255"/>
    </row>
    <row r="143" spans="1:189" s="1257" customFormat="1">
      <c r="A143" s="689" t="e">
        <f>#REF!</f>
        <v>#REF!</v>
      </c>
      <c r="B143" s="711" t="e">
        <f>#REF!</f>
        <v>#REF!</v>
      </c>
      <c r="C143" s="1478"/>
      <c r="D143" s="742"/>
      <c r="E143" s="641"/>
      <c r="F143" s="740"/>
      <c r="G143" s="500"/>
      <c r="H143" s="1254"/>
      <c r="I143" s="1256"/>
      <c r="J143" s="1254"/>
    </row>
    <row r="144" spans="1:189" s="1257" customFormat="1">
      <c r="A144" s="750" t="e">
        <f>#REF!</f>
        <v>#REF!</v>
      </c>
      <c r="B144" s="677" t="e">
        <f>#REF!</f>
        <v>#REF!</v>
      </c>
      <c r="C144" s="1525" t="e">
        <f>#REF!</f>
        <v>#REF!</v>
      </c>
      <c r="D144" s="827">
        <f>J144</f>
        <v>123</v>
      </c>
      <c r="E144" s="633" t="e">
        <f>#REF!</f>
        <v>#REF!</v>
      </c>
      <c r="F144" s="655" t="e">
        <f>+D144*E144</f>
        <v>#REF!</v>
      </c>
      <c r="G144" s="500"/>
      <c r="H144" s="1254">
        <f>F9/25</f>
        <v>117</v>
      </c>
      <c r="I144" s="1256">
        <v>1.05</v>
      </c>
      <c r="J144" s="1254">
        <f>ROUND(H144*I144,0)</f>
        <v>123</v>
      </c>
    </row>
    <row r="145" spans="1:10" s="1257" customFormat="1">
      <c r="A145" s="750" t="e">
        <f>#REF!</f>
        <v>#REF!</v>
      </c>
      <c r="B145" s="677" t="e">
        <f>#REF!</f>
        <v>#REF!</v>
      </c>
      <c r="C145" s="663" t="e">
        <f>#REF!</f>
        <v>#REF!</v>
      </c>
      <c r="D145" s="819"/>
      <c r="E145" s="633" t="e">
        <f>#REF!</f>
        <v>#REF!</v>
      </c>
      <c r="F145" s="655" t="e">
        <f>+D145*E145</f>
        <v>#REF!</v>
      </c>
      <c r="G145" s="500"/>
      <c r="H145" s="1254"/>
      <c r="I145" s="1256"/>
      <c r="J145" s="1254"/>
    </row>
    <row r="146" spans="1:10" s="1257" customFormat="1">
      <c r="A146" s="751" t="e">
        <f>#REF!</f>
        <v>#REF!</v>
      </c>
      <c r="B146" s="753" t="e">
        <f>#REF!</f>
        <v>#REF!</v>
      </c>
      <c r="C146" s="643" t="e">
        <f>#REF!</f>
        <v>#REF!</v>
      </c>
      <c r="D146" s="808">
        <v>1</v>
      </c>
      <c r="E146" s="527" t="e">
        <f>0.2*#REF!</f>
        <v>#REF!</v>
      </c>
      <c r="F146" s="741" t="e">
        <f>+D146*E146</f>
        <v>#REF!</v>
      </c>
      <c r="G146" s="500"/>
      <c r="H146" s="1254"/>
      <c r="I146" s="1256"/>
      <c r="J146" s="1254"/>
    </row>
    <row r="147" spans="1:10" s="1257" customFormat="1">
      <c r="A147" s="689" t="e">
        <f>#REF!</f>
        <v>#REF!</v>
      </c>
      <c r="B147" s="711" t="e">
        <f>#REF!</f>
        <v>#REF!</v>
      </c>
      <c r="C147" s="1478"/>
      <c r="D147" s="742"/>
      <c r="E147" s="641"/>
      <c r="F147" s="740"/>
      <c r="G147" s="500"/>
      <c r="H147" s="1254"/>
      <c r="I147" s="1256"/>
      <c r="J147" s="1254"/>
    </row>
    <row r="148" spans="1:10" s="1257" customFormat="1">
      <c r="A148" s="753" t="e">
        <f>#REF!</f>
        <v>#REF!</v>
      </c>
      <c r="B148" s="753" t="e">
        <f>#REF!</f>
        <v>#REF!</v>
      </c>
      <c r="C148" s="1526" t="e">
        <f>#REF!</f>
        <v>#REF!</v>
      </c>
      <c r="D148" s="1419">
        <f>J148</f>
        <v>305</v>
      </c>
      <c r="E148" s="527" t="e">
        <f>#REF!</f>
        <v>#REF!</v>
      </c>
      <c r="F148" s="741" t="e">
        <f>+D148*E148</f>
        <v>#REF!</v>
      </c>
      <c r="G148" s="500"/>
      <c r="H148" s="1254">
        <f>F7</f>
        <v>290</v>
      </c>
      <c r="I148" s="1256">
        <v>1.05</v>
      </c>
      <c r="J148" s="1254">
        <f>ROUND(H148*I148,0)</f>
        <v>305</v>
      </c>
    </row>
    <row r="149" spans="1:10" s="1257" customFormat="1">
      <c r="A149" s="689" t="e">
        <f>#REF!</f>
        <v>#REF!</v>
      </c>
      <c r="B149" s="711" t="e">
        <f>#REF!</f>
        <v>#REF!</v>
      </c>
      <c r="C149" s="1478"/>
      <c r="D149" s="742"/>
      <c r="E149" s="641"/>
      <c r="F149" s="740"/>
      <c r="G149" s="500"/>
      <c r="H149" s="1254"/>
      <c r="I149" s="1256"/>
      <c r="J149" s="1254"/>
    </row>
    <row r="150" spans="1:10" s="1257" customFormat="1">
      <c r="A150" s="751" t="e">
        <f>#REF!</f>
        <v>#REF!</v>
      </c>
      <c r="B150" s="753" t="e">
        <f>#REF!</f>
        <v>#REF!</v>
      </c>
      <c r="C150" s="1526" t="e">
        <f>#REF!</f>
        <v>#REF!</v>
      </c>
      <c r="D150" s="1419">
        <f>D148</f>
        <v>305</v>
      </c>
      <c r="E150" s="527" t="e">
        <f>#REF!</f>
        <v>#REF!</v>
      </c>
      <c r="F150" s="741" t="e">
        <f>+D150*E150</f>
        <v>#REF!</v>
      </c>
      <c r="G150" s="500"/>
      <c r="H150" s="1254">
        <f>F7</f>
        <v>290</v>
      </c>
      <c r="I150" s="1256">
        <v>1.05</v>
      </c>
      <c r="J150" s="1254">
        <f>ROUND(H150*I150,0)</f>
        <v>305</v>
      </c>
    </row>
    <row r="151" spans="1:10" s="1257" customFormat="1">
      <c r="A151" s="678" t="e">
        <f>+#REF!</f>
        <v>#REF!</v>
      </c>
      <c r="B151" s="678" t="e">
        <f>+#REF!</f>
        <v>#REF!</v>
      </c>
      <c r="C151" s="1690"/>
      <c r="D151" s="827"/>
      <c r="E151" s="633"/>
      <c r="F151" s="655"/>
      <c r="G151" s="500"/>
      <c r="H151" s="1254"/>
      <c r="I151" s="1256"/>
      <c r="J151" s="1254"/>
    </row>
    <row r="152" spans="1:10" s="1257" customFormat="1">
      <c r="A152" s="677" t="e">
        <f>+#REF!</f>
        <v>#REF!</v>
      </c>
      <c r="B152" s="677" t="e">
        <f>+#REF!</f>
        <v>#REF!</v>
      </c>
      <c r="C152" s="1690" t="s">
        <v>27</v>
      </c>
      <c r="D152" s="827">
        <v>14</v>
      </c>
      <c r="E152" s="633" t="e">
        <f>+#REF!</f>
        <v>#REF!</v>
      </c>
      <c r="F152" s="655" t="e">
        <f>+D152*E152</f>
        <v>#REF!</v>
      </c>
      <c r="G152" s="500"/>
      <c r="H152" s="1254"/>
      <c r="I152" s="1256"/>
      <c r="J152" s="1254"/>
    </row>
    <row r="153" spans="1:10" s="1257" customFormat="1">
      <c r="A153" s="677" t="e">
        <f>+#REF!</f>
        <v>#REF!</v>
      </c>
      <c r="B153" s="677" t="e">
        <f>+#REF!</f>
        <v>#REF!</v>
      </c>
      <c r="C153" s="1690" t="s">
        <v>27</v>
      </c>
      <c r="D153" s="827"/>
      <c r="E153" s="633" t="e">
        <f>+#REF!</f>
        <v>#REF!</v>
      </c>
      <c r="F153" s="655" t="e">
        <f>+D153*E153</f>
        <v>#REF!</v>
      </c>
      <c r="G153" s="500"/>
      <c r="H153" s="1254"/>
      <c r="I153" s="1256"/>
      <c r="J153" s="1254"/>
    </row>
    <row r="154" spans="1:10" s="1257" customFormat="1">
      <c r="A154" s="689" t="e">
        <f>#REF!</f>
        <v>#REF!</v>
      </c>
      <c r="B154" s="711" t="e">
        <f>#REF!</f>
        <v>#REF!</v>
      </c>
      <c r="C154" s="641"/>
      <c r="D154" s="807"/>
      <c r="E154" s="641"/>
      <c r="F154" s="740"/>
      <c r="G154" s="500"/>
      <c r="H154" s="1254"/>
      <c r="I154" s="1256"/>
      <c r="J154" s="1254"/>
    </row>
    <row r="155" spans="1:10" s="1257" customFormat="1">
      <c r="A155" s="751"/>
      <c r="B155" s="753"/>
      <c r="C155" s="1523" t="e">
        <f>#REF!</f>
        <v>#REF!</v>
      </c>
      <c r="D155" s="808">
        <f>J155</f>
        <v>168</v>
      </c>
      <c r="E155" s="527" t="e">
        <f>#REF!</f>
        <v>#REF!</v>
      </c>
      <c r="F155" s="741" t="e">
        <f>+D155*E155</f>
        <v>#REF!</v>
      </c>
      <c r="G155" s="500"/>
      <c r="H155" s="1256">
        <f>20*4*2</f>
        <v>160</v>
      </c>
      <c r="I155" s="1256">
        <v>1.05</v>
      </c>
      <c r="J155" s="1254">
        <f>ROUND(H155*I155,0)</f>
        <v>168</v>
      </c>
    </row>
    <row r="156" spans="1:10" s="1257" customFormat="1">
      <c r="A156" s="689" t="e">
        <f>#REF!</f>
        <v>#REF!</v>
      </c>
      <c r="B156" s="711" t="e">
        <f>#REF!</f>
        <v>#REF!</v>
      </c>
      <c r="C156" s="641"/>
      <c r="D156" s="807"/>
      <c r="E156" s="641"/>
      <c r="F156" s="740"/>
      <c r="G156" s="500"/>
      <c r="H156" s="1254"/>
      <c r="I156" s="1256"/>
      <c r="J156" s="1254"/>
    </row>
    <row r="157" spans="1:10" s="950" customFormat="1">
      <c r="A157" s="639"/>
      <c r="B157" s="681"/>
      <c r="C157" s="1523" t="e">
        <f>#REF!</f>
        <v>#REF!</v>
      </c>
      <c r="D157" s="808">
        <f>+D139</f>
        <v>304.5</v>
      </c>
      <c r="E157" s="527" t="e">
        <f>+#REF!</f>
        <v>#REF!</v>
      </c>
      <c r="F157" s="741" t="e">
        <f>+D157*E157</f>
        <v>#REF!</v>
      </c>
      <c r="H157" s="1444"/>
      <c r="I157" s="1445"/>
      <c r="J157" s="1444"/>
    </row>
    <row r="158" spans="1:10" s="950" customFormat="1">
      <c r="A158" s="689" t="e">
        <f>+#REF!</f>
        <v>#REF!</v>
      </c>
      <c r="B158" s="711" t="e">
        <f>+#REF!</f>
        <v>#REF!</v>
      </c>
      <c r="C158" s="641"/>
      <c r="D158" s="807"/>
      <c r="E158" s="641"/>
      <c r="F158" s="740"/>
    </row>
    <row r="159" spans="1:10" s="950" customFormat="1">
      <c r="A159" s="639" t="e">
        <f>+#REF!</f>
        <v>#REF!</v>
      </c>
      <c r="B159" s="681" t="e">
        <f>+#REF!</f>
        <v>#REF!</v>
      </c>
      <c r="C159" s="1689" t="s">
        <v>27</v>
      </c>
      <c r="D159" s="808">
        <f>+J159</f>
        <v>12.18</v>
      </c>
      <c r="E159" s="527" t="e">
        <f>+#REF!</f>
        <v>#REF!</v>
      </c>
      <c r="F159" s="741" t="e">
        <f>+D159*E159</f>
        <v>#REF!</v>
      </c>
      <c r="H159" s="1444">
        <f>+F7/25</f>
        <v>11.6</v>
      </c>
      <c r="I159" s="1445">
        <v>1.05</v>
      </c>
      <c r="J159" s="1444">
        <f>+H159*I159</f>
        <v>12.18</v>
      </c>
    </row>
    <row r="160" spans="1:10" s="1257" customFormat="1" ht="18.75">
      <c r="A160" s="1426"/>
      <c r="B160" s="500"/>
      <c r="C160" s="686"/>
      <c r="D160" s="635"/>
      <c r="E160" s="636" t="s">
        <v>112</v>
      </c>
      <c r="F160" s="1122" t="e">
        <f>SUM(F143:F159)</f>
        <v>#REF!</v>
      </c>
      <c r="G160" s="500"/>
      <c r="H160" s="500"/>
      <c r="I160" s="1256"/>
      <c r="J160" s="1254"/>
    </row>
    <row r="161" spans="1:189" s="1257" customFormat="1" ht="15" customHeight="1">
      <c r="A161" s="1426"/>
      <c r="B161" s="500"/>
      <c r="C161" s="500"/>
      <c r="D161" s="737"/>
      <c r="E161" s="500"/>
      <c r="F161" s="1491"/>
      <c r="G161" s="500"/>
      <c r="H161" s="1254"/>
      <c r="I161" s="1256"/>
      <c r="J161" s="1254"/>
    </row>
    <row r="162" spans="1:189" s="1257" customFormat="1" ht="24.95" customHeight="1">
      <c r="A162" s="1426"/>
      <c r="B162" s="500"/>
      <c r="C162" s="686"/>
      <c r="D162" s="635"/>
      <c r="E162" s="636" t="s">
        <v>299</v>
      </c>
      <c r="F162" s="1122" t="e">
        <f>+F58+F69+F105+F140+F160</f>
        <v>#REF!</v>
      </c>
      <c r="G162" s="500"/>
      <c r="H162" s="1254"/>
      <c r="I162" s="500"/>
      <c r="J162" s="1254"/>
    </row>
    <row r="163" spans="1:189" s="500" customFormat="1" ht="15" customHeight="1">
      <c r="A163" s="1426"/>
      <c r="F163" s="1491"/>
      <c r="H163" s="1254"/>
      <c r="I163" s="1256"/>
      <c r="J163" s="1254"/>
      <c r="K163" s="1257"/>
      <c r="L163" s="1257"/>
      <c r="M163" s="1257"/>
      <c r="N163" s="1257"/>
      <c r="O163" s="1257"/>
      <c r="P163" s="1257"/>
      <c r="Q163" s="1257"/>
      <c r="R163" s="1257"/>
      <c r="S163" s="1257"/>
      <c r="T163" s="1257"/>
      <c r="U163" s="1257"/>
      <c r="V163" s="1257"/>
      <c r="W163" s="1257"/>
      <c r="X163" s="1257"/>
      <c r="Y163" s="1257"/>
      <c r="Z163" s="1257"/>
      <c r="AA163" s="1257"/>
      <c r="AB163" s="1257"/>
      <c r="AC163" s="1257"/>
      <c r="AD163" s="1257"/>
      <c r="AE163" s="1257"/>
      <c r="AF163" s="1257"/>
      <c r="AG163" s="1257"/>
      <c r="AH163" s="1257"/>
      <c r="AI163" s="1257"/>
      <c r="AJ163" s="1257"/>
      <c r="AK163" s="1257"/>
      <c r="AL163" s="1257"/>
      <c r="AM163" s="1257"/>
      <c r="AN163" s="1257"/>
      <c r="AO163" s="1257"/>
      <c r="AP163" s="1257"/>
      <c r="AQ163" s="1257"/>
      <c r="AR163" s="1257"/>
      <c r="AS163" s="1257"/>
      <c r="AT163" s="1257"/>
      <c r="AU163" s="1257"/>
      <c r="AV163" s="1257"/>
      <c r="AW163" s="1257"/>
      <c r="AX163" s="1257"/>
      <c r="AY163" s="1257"/>
      <c r="AZ163" s="1257"/>
      <c r="BA163" s="1257"/>
      <c r="BB163" s="1257"/>
      <c r="BC163" s="1257"/>
      <c r="BD163" s="1257"/>
      <c r="BE163" s="1257"/>
      <c r="BF163" s="1257"/>
      <c r="BG163" s="1257"/>
      <c r="BH163" s="1257"/>
      <c r="BI163" s="1257"/>
      <c r="BJ163" s="1257"/>
      <c r="BK163" s="1257"/>
      <c r="BL163" s="1257"/>
      <c r="BM163" s="1257"/>
      <c r="BN163" s="1257"/>
      <c r="BO163" s="1257"/>
      <c r="BP163" s="1257"/>
      <c r="BQ163" s="1257"/>
      <c r="BR163" s="1257"/>
      <c r="BS163" s="1257"/>
      <c r="BT163" s="1257"/>
      <c r="BU163" s="1257"/>
      <c r="BV163" s="1257"/>
      <c r="BW163" s="1257"/>
      <c r="BX163" s="1257"/>
      <c r="BY163" s="1257"/>
      <c r="BZ163" s="1257"/>
      <c r="CA163" s="1257"/>
      <c r="CB163" s="1257"/>
      <c r="CC163" s="1257"/>
      <c r="CD163" s="1257"/>
      <c r="CE163" s="1257"/>
      <c r="CF163" s="1257"/>
      <c r="CG163" s="1257"/>
      <c r="CH163" s="1257"/>
      <c r="CI163" s="1257"/>
      <c r="CJ163" s="1257"/>
      <c r="CK163" s="1257"/>
      <c r="CL163" s="1257"/>
      <c r="CM163" s="1257"/>
      <c r="CN163" s="1257"/>
      <c r="CO163" s="1257"/>
      <c r="CP163" s="1257"/>
      <c r="CQ163" s="1257"/>
      <c r="CR163" s="1257"/>
      <c r="CS163" s="1257"/>
      <c r="CT163" s="1257"/>
      <c r="CU163" s="1257"/>
      <c r="CV163" s="1257"/>
      <c r="CW163" s="1257"/>
      <c r="CX163" s="1257"/>
      <c r="CY163" s="1257"/>
      <c r="CZ163" s="1257"/>
      <c r="DA163" s="1257"/>
      <c r="DB163" s="1257"/>
      <c r="DC163" s="1257"/>
      <c r="DD163" s="1257"/>
      <c r="DE163" s="1257"/>
      <c r="DF163" s="1257"/>
      <c r="DG163" s="1257"/>
      <c r="DH163" s="1257"/>
      <c r="DI163" s="1257"/>
      <c r="DJ163" s="1257"/>
      <c r="DK163" s="1257"/>
      <c r="DL163" s="1257"/>
      <c r="DM163" s="1257"/>
      <c r="DN163" s="1257"/>
      <c r="DO163" s="1257"/>
      <c r="DP163" s="1257"/>
      <c r="DQ163" s="1257"/>
      <c r="DR163" s="1257"/>
      <c r="DS163" s="1257"/>
      <c r="DT163" s="1257"/>
      <c r="DU163" s="1257"/>
      <c r="DV163" s="1257"/>
      <c r="DW163" s="1257"/>
      <c r="DX163" s="1257"/>
      <c r="DY163" s="1257"/>
      <c r="DZ163" s="1257"/>
      <c r="EA163" s="1257"/>
      <c r="EB163" s="1257"/>
      <c r="EC163" s="1257"/>
      <c r="ED163" s="1257"/>
      <c r="EE163" s="1257"/>
      <c r="EF163" s="1257"/>
      <c r="EG163" s="1257"/>
      <c r="EH163" s="1257"/>
      <c r="EI163" s="1257"/>
      <c r="EJ163" s="1257"/>
      <c r="EK163" s="1257"/>
      <c r="EL163" s="1257"/>
      <c r="EM163" s="1257"/>
      <c r="EN163" s="1257"/>
      <c r="EO163" s="1257"/>
      <c r="EP163" s="1257"/>
      <c r="EQ163" s="1257"/>
      <c r="ER163" s="1257"/>
      <c r="ES163" s="1257"/>
      <c r="ET163" s="1257"/>
      <c r="EU163" s="1257"/>
      <c r="EV163" s="1257"/>
      <c r="EW163" s="1257"/>
      <c r="EX163" s="1257"/>
      <c r="EY163" s="1257"/>
      <c r="EZ163" s="1257"/>
      <c r="FA163" s="1257"/>
      <c r="FB163" s="1257"/>
      <c r="FC163" s="1257"/>
      <c r="FD163" s="1257"/>
      <c r="FE163" s="1257"/>
      <c r="FF163" s="1257"/>
      <c r="FG163" s="1257"/>
      <c r="FH163" s="1257"/>
      <c r="FI163" s="1257"/>
      <c r="FJ163" s="1257"/>
      <c r="FK163" s="1257"/>
      <c r="FL163" s="1257"/>
      <c r="FM163" s="1257"/>
      <c r="FN163" s="1257"/>
      <c r="FO163" s="1257"/>
      <c r="FP163" s="1257"/>
      <c r="FQ163" s="1257"/>
      <c r="FR163" s="1257"/>
      <c r="FS163" s="1257"/>
      <c r="FT163" s="1257"/>
      <c r="FU163" s="1257"/>
      <c r="FV163" s="1257"/>
      <c r="FW163" s="1257"/>
      <c r="FX163" s="1257"/>
      <c r="FY163" s="1257"/>
      <c r="FZ163" s="1257"/>
      <c r="GA163" s="1257"/>
      <c r="GB163" s="1257"/>
      <c r="GC163" s="1257"/>
      <c r="GD163" s="1257"/>
      <c r="GE163" s="1257"/>
      <c r="GF163" s="1257"/>
      <c r="GG163" s="1257"/>
    </row>
    <row r="164" spans="1:189" s="1257" customFormat="1" ht="24.95" customHeight="1">
      <c r="A164" s="1426"/>
      <c r="B164" s="500"/>
      <c r="C164" s="686"/>
      <c r="D164" s="635"/>
      <c r="E164" s="636" t="s">
        <v>300</v>
      </c>
      <c r="F164" s="1122" t="e">
        <f>F162+F34</f>
        <v>#REF!</v>
      </c>
      <c r="G164" s="500"/>
      <c r="H164" s="1254"/>
      <c r="I164" s="1256"/>
      <c r="J164" s="1254"/>
    </row>
    <row r="169" spans="1:189">
      <c r="F169" s="149">
        <v>3308098116.5952501</v>
      </c>
    </row>
    <row r="175" spans="1:189" ht="19.5">
      <c r="A175" s="434"/>
      <c r="D175" s="62"/>
      <c r="E175" s="62"/>
      <c r="F175" s="99"/>
    </row>
    <row r="176" spans="1:189" ht="26.25">
      <c r="B176" s="1859"/>
      <c r="C176" s="1859"/>
      <c r="D176" s="1859"/>
      <c r="E176" s="1859"/>
      <c r="F176" s="1859"/>
    </row>
  </sheetData>
  <mergeCells count="10">
    <mergeCell ref="A2:F2"/>
    <mergeCell ref="B176:F176"/>
    <mergeCell ref="A1:F1"/>
    <mergeCell ref="A12:F12"/>
    <mergeCell ref="A19:F19"/>
    <mergeCell ref="A36:F36"/>
    <mergeCell ref="A60:F60"/>
    <mergeCell ref="A71:F71"/>
    <mergeCell ref="A107:F107"/>
    <mergeCell ref="A142:F142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  <rowBreaks count="1" manualBreakCount="1">
    <brk id="69" max="6" man="1"/>
  </rowBreaks>
  <colBreaks count="1" manualBreakCount="1">
    <brk id="6" max="1048575" man="1"/>
  </colBreak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7030A0"/>
  </sheetPr>
  <dimension ref="A1:GG200"/>
  <sheetViews>
    <sheetView zoomScale="80" zoomScaleNormal="80" workbookViewId="0">
      <selection activeCell="E14" sqref="E14"/>
    </sheetView>
  </sheetViews>
  <sheetFormatPr baseColWidth="10" defaultColWidth="9.140625" defaultRowHeight="15"/>
  <cols>
    <col min="1" max="1" width="14.7109375" style="142" customWidth="1"/>
    <col min="2" max="2" width="89" style="142" customWidth="1"/>
    <col min="3" max="3" width="12.5703125" style="142" customWidth="1"/>
    <col min="4" max="4" width="14.5703125" style="142" customWidth="1"/>
    <col min="5" max="5" width="20" style="142" customWidth="1"/>
    <col min="6" max="6" width="26.85546875" style="142" customWidth="1"/>
    <col min="7" max="7" width="9.140625" style="142"/>
    <col min="8" max="8" width="16" style="255" bestFit="1" customWidth="1"/>
    <col min="9" max="9" width="15" style="262" bestFit="1" customWidth="1"/>
    <col min="10" max="10" width="16" style="255" bestFit="1" customWidth="1"/>
    <col min="11" max="11" width="9.140625" style="129"/>
    <col min="12" max="12" width="9.28515625" style="129" bestFit="1" customWidth="1"/>
    <col min="13" max="189" width="9.140625" style="129"/>
    <col min="190" max="16384" width="9.140625" style="142"/>
  </cols>
  <sheetData>
    <row r="1" spans="1:11" ht="20.25" thickBot="1">
      <c r="A1" s="90" t="s">
        <v>184</v>
      </c>
      <c r="D1" s="62"/>
      <c r="E1" s="62"/>
      <c r="F1" s="99"/>
    </row>
    <row r="2" spans="1:11" ht="25.5" thickBot="1">
      <c r="A2" s="1856" t="s">
        <v>334</v>
      </c>
      <c r="B2" s="1857"/>
      <c r="C2" s="1857"/>
      <c r="D2" s="1857"/>
      <c r="E2" s="1857"/>
      <c r="F2" s="1858"/>
      <c r="G2" s="119"/>
    </row>
    <row r="3" spans="1:11" s="129" customFormat="1" ht="15.95" customHeight="1">
      <c r="A3" s="90"/>
      <c r="B3" s="515"/>
      <c r="C3" s="515"/>
      <c r="D3" s="534"/>
      <c r="E3" s="144" t="s">
        <v>335</v>
      </c>
      <c r="F3" s="534">
        <v>330</v>
      </c>
      <c r="G3" s="142"/>
      <c r="H3" s="255"/>
      <c r="I3" s="262"/>
      <c r="J3" s="255"/>
    </row>
    <row r="4" spans="1:11" s="129" customFormat="1" ht="15.95" customHeight="1">
      <c r="A4" s="90"/>
      <c r="B4" s="515"/>
      <c r="C4" s="515"/>
      <c r="D4" s="534"/>
      <c r="E4" s="144" t="s">
        <v>626</v>
      </c>
      <c r="F4" s="534">
        <f>465-330</f>
        <v>135</v>
      </c>
      <c r="G4" s="142"/>
      <c r="H4" s="255"/>
      <c r="I4" s="262"/>
      <c r="J4" s="255"/>
    </row>
    <row r="5" spans="1:11" s="129" customFormat="1" ht="15.95" customHeight="1">
      <c r="A5" s="90"/>
      <c r="B5" s="515"/>
      <c r="C5" s="515"/>
      <c r="D5" s="534"/>
      <c r="E5" s="144" t="s">
        <v>332</v>
      </c>
      <c r="F5" s="615">
        <v>4800</v>
      </c>
      <c r="G5" s="142" t="s">
        <v>336</v>
      </c>
      <c r="H5" s="255"/>
      <c r="I5" s="262"/>
      <c r="J5" s="255"/>
    </row>
    <row r="6" spans="1:11" s="129" customFormat="1" ht="15.95" customHeight="1">
      <c r="A6" s="90"/>
      <c r="B6" s="515"/>
      <c r="C6" s="515"/>
      <c r="D6" s="534"/>
      <c r="E6" s="144" t="s">
        <v>613</v>
      </c>
      <c r="F6" s="534">
        <f>F3+F5+F4</f>
        <v>5265</v>
      </c>
      <c r="G6" s="142"/>
      <c r="H6" s="255"/>
      <c r="I6" s="262"/>
      <c r="J6" s="255"/>
      <c r="K6" s="129">
        <f>877*25/10</f>
        <v>2192.5</v>
      </c>
    </row>
    <row r="7" spans="1:11" s="129" customFormat="1" ht="15.95" customHeight="1">
      <c r="A7" s="90"/>
      <c r="B7" s="515"/>
      <c r="C7" s="515"/>
      <c r="D7" s="534"/>
      <c r="E7" s="571"/>
      <c r="F7" s="534"/>
      <c r="G7" s="142"/>
      <c r="H7" s="255"/>
      <c r="I7" s="262"/>
      <c r="J7" s="255"/>
    </row>
    <row r="8" spans="1:11" s="129" customFormat="1" ht="24.95" customHeight="1">
      <c r="A8" s="1410" t="s">
        <v>661</v>
      </c>
      <c r="B8" s="1411" t="s">
        <v>584</v>
      </c>
      <c r="C8" s="1409" t="s">
        <v>98</v>
      </c>
      <c r="D8" s="1402" t="s">
        <v>99</v>
      </c>
      <c r="E8" s="1403" t="s">
        <v>100</v>
      </c>
      <c r="F8" s="1403" t="s">
        <v>114</v>
      </c>
      <c r="G8" s="142"/>
      <c r="H8" s="255"/>
      <c r="I8" s="262"/>
      <c r="J8" s="255"/>
    </row>
    <row r="9" spans="1:11" s="129" customFormat="1" ht="24.95" customHeight="1">
      <c r="A9" s="1863" t="e">
        <f>+#REF!</f>
        <v>#REF!</v>
      </c>
      <c r="B9" s="1864"/>
      <c r="C9" s="1864"/>
      <c r="D9" s="1864"/>
      <c r="E9" s="1864"/>
      <c r="F9" s="1865"/>
      <c r="G9" s="142"/>
      <c r="H9" s="255"/>
      <c r="I9" s="262"/>
      <c r="J9" s="255"/>
    </row>
    <row r="10" spans="1:11" s="495" customFormat="1" ht="30" customHeight="1">
      <c r="A10" s="682" t="e">
        <f>+#REF!</f>
        <v>#REF!</v>
      </c>
      <c r="B10" s="687" t="e">
        <f>+#REF!</f>
        <v>#REF!</v>
      </c>
      <c r="C10" s="543"/>
      <c r="D10" s="543"/>
      <c r="E10" s="1492"/>
      <c r="F10" s="544"/>
      <c r="G10" s="456"/>
      <c r="H10" s="493"/>
      <c r="I10" s="494"/>
      <c r="J10" s="493"/>
    </row>
    <row r="11" spans="1:11" s="495" customFormat="1">
      <c r="A11" s="746"/>
      <c r="B11" s="461"/>
      <c r="C11" s="546" t="e">
        <f>#REF!</f>
        <v>#REF!</v>
      </c>
      <c r="D11" s="546">
        <v>1</v>
      </c>
      <c r="E11" s="547" t="e">
        <f>J11</f>
        <v>#REF!</v>
      </c>
      <c r="F11" s="547" t="e">
        <f>+D11*E11</f>
        <v>#REF!</v>
      </c>
      <c r="G11" s="456"/>
      <c r="H11" s="770" t="e">
        <f>10%*F166</f>
        <v>#REF!</v>
      </c>
      <c r="I11" s="494">
        <v>1</v>
      </c>
      <c r="J11" s="493" t="e">
        <f>ROUND(H11*I11,0)</f>
        <v>#REF!</v>
      </c>
    </row>
    <row r="12" spans="1:11" s="495" customFormat="1">
      <c r="A12" s="1510" t="e">
        <f>+#REF!</f>
        <v>#REF!</v>
      </c>
      <c r="B12" s="684" t="e">
        <f>+#REF!</f>
        <v>#REF!</v>
      </c>
      <c r="C12" s="543"/>
      <c r="D12" s="543"/>
      <c r="E12" s="633"/>
      <c r="F12" s="633"/>
      <c r="G12" s="456"/>
      <c r="H12" s="493"/>
      <c r="I12" s="494"/>
      <c r="J12" s="493">
        <f>ROUND(H12*I12,0)</f>
        <v>0</v>
      </c>
    </row>
    <row r="13" spans="1:11" s="495" customFormat="1">
      <c r="A13" s="1508"/>
      <c r="B13" s="679"/>
      <c r="C13" s="1509" t="e">
        <f>#REF!</f>
        <v>#REF!</v>
      </c>
      <c r="D13" s="1509">
        <v>1</v>
      </c>
      <c r="E13" s="761" t="e">
        <f>+E11*0.15</f>
        <v>#REF!</v>
      </c>
      <c r="F13" s="761" t="e">
        <f>+D13*E13</f>
        <v>#REF!</v>
      </c>
      <c r="G13" s="456"/>
      <c r="H13" s="493">
        <f>F6</f>
        <v>5265</v>
      </c>
      <c r="I13" s="494">
        <v>1.05</v>
      </c>
      <c r="J13" s="493">
        <f>ROUND(H13*I13,0)</f>
        <v>5528</v>
      </c>
    </row>
    <row r="14" spans="1:11" s="495" customFormat="1" ht="18.75">
      <c r="A14" s="747"/>
      <c r="B14" s="458"/>
      <c r="C14" s="686"/>
      <c r="D14" s="635"/>
      <c r="E14" s="636" t="s">
        <v>108</v>
      </c>
      <c r="F14" s="1122" t="e">
        <f>SUM(F10:F13)</f>
        <v>#REF!</v>
      </c>
      <c r="G14" s="456"/>
      <c r="H14" s="493"/>
      <c r="I14" s="494"/>
      <c r="J14" s="493"/>
    </row>
    <row r="15" spans="1:11" s="129" customFormat="1" ht="15.95" customHeight="1">
      <c r="A15" s="142"/>
      <c r="B15" s="142"/>
      <c r="C15" s="142"/>
      <c r="D15" s="75"/>
      <c r="E15" s="62"/>
      <c r="F15" s="62"/>
      <c r="G15" s="142"/>
      <c r="H15" s="255"/>
      <c r="I15" s="262"/>
      <c r="J15" s="255"/>
    </row>
    <row r="16" spans="1:11" s="129" customFormat="1" ht="24.95" customHeight="1">
      <c r="A16" s="1863" t="e">
        <f>+#REF!</f>
        <v>#REF!</v>
      </c>
      <c r="B16" s="1864"/>
      <c r="C16" s="1864"/>
      <c r="D16" s="1864"/>
      <c r="E16" s="1864"/>
      <c r="F16" s="1865"/>
      <c r="G16" s="142"/>
      <c r="H16" s="255"/>
      <c r="I16" s="262"/>
      <c r="J16" s="255"/>
    </row>
    <row r="17" spans="1:189" s="129" customFormat="1">
      <c r="A17" s="683" t="e">
        <f>+#REF!</f>
        <v>#REF!</v>
      </c>
      <c r="B17" s="683" t="e">
        <f>+#REF!</f>
        <v>#REF!</v>
      </c>
      <c r="C17" s="640"/>
      <c r="D17" s="641"/>
      <c r="E17" s="641"/>
      <c r="F17" s="641"/>
      <c r="G17" s="142"/>
      <c r="H17" s="255"/>
      <c r="I17" s="262"/>
      <c r="J17" s="255"/>
      <c r="N17" s="129">
        <f>1.7*3</f>
        <v>5.0999999999999996</v>
      </c>
    </row>
    <row r="18" spans="1:189" s="129" customFormat="1">
      <c r="A18" s="771"/>
      <c r="B18" s="753"/>
      <c r="C18" s="643" t="e">
        <f>#REF!</f>
        <v>#REF!</v>
      </c>
      <c r="D18" s="527">
        <v>1</v>
      </c>
      <c r="E18" s="527">
        <f>7191036+4311835</f>
        <v>11502871</v>
      </c>
      <c r="F18" s="527">
        <f>+D18*E18</f>
        <v>11502871</v>
      </c>
      <c r="G18" s="142"/>
      <c r="H18" s="255"/>
      <c r="I18" s="262"/>
      <c r="J18" s="255"/>
    </row>
    <row r="19" spans="1:189" s="225" customFormat="1">
      <c r="A19" s="683" t="e">
        <f>+#REF!</f>
        <v>#REF!</v>
      </c>
      <c r="B19" s="683" t="e">
        <f>+#REF!</f>
        <v>#REF!</v>
      </c>
      <c r="C19" s="640"/>
      <c r="D19" s="660"/>
      <c r="E19" s="641"/>
      <c r="F19" s="641"/>
      <c r="H19" s="259"/>
      <c r="I19" s="265"/>
      <c r="J19" s="259"/>
      <c r="K19" s="226"/>
      <c r="L19" s="226"/>
      <c r="M19" s="226"/>
      <c r="N19" s="226"/>
      <c r="O19" s="226"/>
      <c r="P19" s="226"/>
      <c r="Q19" s="226"/>
      <c r="R19" s="226"/>
      <c r="S19" s="226"/>
      <c r="T19" s="226"/>
      <c r="U19" s="226"/>
      <c r="V19" s="226"/>
      <c r="W19" s="226"/>
      <c r="X19" s="226"/>
      <c r="Y19" s="226"/>
      <c r="Z19" s="226"/>
      <c r="AA19" s="226"/>
      <c r="AB19" s="226"/>
      <c r="AC19" s="226"/>
      <c r="AD19" s="226"/>
      <c r="AE19" s="226"/>
      <c r="AF19" s="226"/>
      <c r="AG19" s="226"/>
      <c r="AH19" s="226"/>
      <c r="AI19" s="226"/>
      <c r="AJ19" s="226"/>
      <c r="AK19" s="226"/>
      <c r="AL19" s="226"/>
      <c r="AM19" s="226"/>
      <c r="AN19" s="226"/>
      <c r="AO19" s="226"/>
      <c r="AP19" s="226"/>
      <c r="AQ19" s="226"/>
      <c r="AR19" s="226"/>
      <c r="AS19" s="226"/>
      <c r="AT19" s="226"/>
      <c r="AU19" s="226"/>
      <c r="AV19" s="226"/>
      <c r="AW19" s="226"/>
      <c r="AX19" s="226"/>
      <c r="AY19" s="226"/>
      <c r="AZ19" s="226"/>
      <c r="BA19" s="226"/>
      <c r="BB19" s="226"/>
      <c r="BC19" s="226"/>
      <c r="BD19" s="226"/>
      <c r="BE19" s="226"/>
      <c r="BF19" s="226"/>
      <c r="BG19" s="226"/>
      <c r="BH19" s="226"/>
      <c r="BI19" s="226"/>
      <c r="BJ19" s="226"/>
      <c r="BK19" s="226"/>
      <c r="BL19" s="226"/>
      <c r="BM19" s="226"/>
      <c r="BN19" s="226"/>
      <c r="BO19" s="226"/>
      <c r="BP19" s="226"/>
      <c r="BQ19" s="226"/>
      <c r="BR19" s="226"/>
      <c r="BS19" s="226"/>
      <c r="BT19" s="226"/>
      <c r="BU19" s="226"/>
      <c r="BV19" s="226"/>
      <c r="BW19" s="226"/>
      <c r="BX19" s="226"/>
      <c r="BY19" s="226"/>
      <c r="BZ19" s="226"/>
      <c r="CA19" s="226"/>
      <c r="CB19" s="226"/>
      <c r="CC19" s="226"/>
      <c r="CD19" s="226"/>
      <c r="CE19" s="226"/>
      <c r="CF19" s="226"/>
      <c r="CG19" s="226"/>
      <c r="CH19" s="226"/>
      <c r="CI19" s="226"/>
      <c r="CJ19" s="226"/>
      <c r="CK19" s="226"/>
      <c r="CL19" s="226"/>
      <c r="CM19" s="226"/>
      <c r="CN19" s="226"/>
      <c r="CO19" s="226"/>
      <c r="CP19" s="226"/>
      <c r="CQ19" s="226"/>
      <c r="CR19" s="226"/>
      <c r="CS19" s="226"/>
      <c r="CT19" s="226"/>
      <c r="CU19" s="226"/>
      <c r="CV19" s="226"/>
      <c r="CW19" s="226"/>
      <c r="CX19" s="226"/>
      <c r="CY19" s="226"/>
      <c r="CZ19" s="226"/>
      <c r="DA19" s="226"/>
      <c r="DB19" s="226"/>
      <c r="DC19" s="226"/>
      <c r="DD19" s="226"/>
      <c r="DE19" s="226"/>
      <c r="DF19" s="226"/>
      <c r="DG19" s="226"/>
      <c r="DH19" s="226"/>
      <c r="DI19" s="226"/>
      <c r="DJ19" s="226"/>
      <c r="DK19" s="226"/>
      <c r="DL19" s="226"/>
      <c r="DM19" s="226"/>
      <c r="DN19" s="226"/>
      <c r="DO19" s="226"/>
      <c r="DP19" s="226"/>
      <c r="DQ19" s="226"/>
      <c r="DR19" s="226"/>
      <c r="DS19" s="226"/>
      <c r="DT19" s="226"/>
      <c r="DU19" s="226"/>
      <c r="DV19" s="226"/>
      <c r="DW19" s="226"/>
      <c r="DX19" s="226"/>
      <c r="DY19" s="226"/>
      <c r="DZ19" s="226"/>
      <c r="EA19" s="226"/>
      <c r="EB19" s="226"/>
      <c r="EC19" s="226"/>
      <c r="ED19" s="226"/>
      <c r="EE19" s="226"/>
      <c r="EF19" s="226"/>
      <c r="EG19" s="226"/>
      <c r="EH19" s="226"/>
      <c r="EI19" s="226"/>
      <c r="EJ19" s="226"/>
      <c r="EK19" s="226"/>
      <c r="EL19" s="226"/>
      <c r="EM19" s="226"/>
      <c r="EN19" s="226"/>
      <c r="EO19" s="226"/>
      <c r="EP19" s="226"/>
      <c r="EQ19" s="226"/>
      <c r="ER19" s="226"/>
      <c r="ES19" s="226"/>
      <c r="ET19" s="226"/>
      <c r="EU19" s="226"/>
      <c r="EV19" s="226"/>
      <c r="EW19" s="226"/>
      <c r="EX19" s="226"/>
      <c r="EY19" s="226"/>
      <c r="EZ19" s="226"/>
      <c r="FA19" s="226"/>
      <c r="FB19" s="226"/>
      <c r="FC19" s="226"/>
      <c r="FD19" s="226"/>
      <c r="FE19" s="226"/>
      <c r="FF19" s="226"/>
      <c r="FG19" s="226"/>
      <c r="FH19" s="226"/>
      <c r="FI19" s="226"/>
      <c r="FJ19" s="226"/>
      <c r="FK19" s="226"/>
      <c r="FL19" s="226"/>
      <c r="FM19" s="226"/>
      <c r="FN19" s="226"/>
      <c r="FO19" s="226"/>
      <c r="FP19" s="226"/>
      <c r="FQ19" s="226"/>
      <c r="FR19" s="226"/>
      <c r="FS19" s="226"/>
      <c r="FT19" s="226"/>
      <c r="FU19" s="226"/>
      <c r="FV19" s="226"/>
      <c r="FW19" s="226"/>
      <c r="FX19" s="226"/>
      <c r="FY19" s="226"/>
      <c r="FZ19" s="226"/>
      <c r="GA19" s="226"/>
      <c r="GB19" s="226"/>
      <c r="GC19" s="226"/>
      <c r="GD19" s="226"/>
      <c r="GE19" s="226"/>
      <c r="GF19" s="226"/>
      <c r="GG19" s="226"/>
    </row>
    <row r="20" spans="1:189" s="225" customFormat="1">
      <c r="A20" s="771"/>
      <c r="B20" s="753"/>
      <c r="C20" s="643" t="e">
        <f>#REF!</f>
        <v>#REF!</v>
      </c>
      <c r="D20" s="546">
        <v>1</v>
      </c>
      <c r="E20" s="527"/>
      <c r="F20" s="527">
        <f>+D20*E20</f>
        <v>0</v>
      </c>
      <c r="H20" s="259">
        <f>E20*1.1</f>
        <v>0</v>
      </c>
      <c r="I20" s="265">
        <v>1.05</v>
      </c>
      <c r="J20" s="259">
        <f>H20*I20</f>
        <v>0</v>
      </c>
      <c r="K20" s="226"/>
      <c r="L20" s="226"/>
      <c r="M20" s="226"/>
      <c r="N20" s="226"/>
      <c r="O20" s="226"/>
      <c r="P20" s="226"/>
      <c r="Q20" s="226"/>
      <c r="R20" s="226"/>
      <c r="S20" s="226"/>
      <c r="T20" s="226"/>
      <c r="U20" s="226"/>
      <c r="V20" s="226"/>
      <c r="W20" s="226"/>
      <c r="X20" s="226"/>
      <c r="Y20" s="226"/>
      <c r="Z20" s="226"/>
      <c r="AA20" s="226"/>
      <c r="AB20" s="226"/>
      <c r="AC20" s="226"/>
      <c r="AD20" s="226"/>
      <c r="AE20" s="226"/>
      <c r="AF20" s="226"/>
      <c r="AG20" s="226"/>
      <c r="AH20" s="226"/>
      <c r="AI20" s="226"/>
      <c r="AJ20" s="226"/>
      <c r="AK20" s="226"/>
      <c r="AL20" s="226"/>
      <c r="AM20" s="226"/>
      <c r="AN20" s="226"/>
      <c r="AO20" s="226"/>
      <c r="AP20" s="226"/>
      <c r="AQ20" s="226"/>
      <c r="AR20" s="226"/>
      <c r="AS20" s="226"/>
      <c r="AT20" s="226"/>
      <c r="AU20" s="226"/>
      <c r="AV20" s="226"/>
      <c r="AW20" s="226"/>
      <c r="AX20" s="226"/>
      <c r="AY20" s="226"/>
      <c r="AZ20" s="226"/>
      <c r="BA20" s="226"/>
      <c r="BB20" s="226"/>
      <c r="BC20" s="226"/>
      <c r="BD20" s="226"/>
      <c r="BE20" s="226"/>
      <c r="BF20" s="226"/>
      <c r="BG20" s="226"/>
      <c r="BH20" s="226"/>
      <c r="BI20" s="226"/>
      <c r="BJ20" s="226"/>
      <c r="BK20" s="226"/>
      <c r="BL20" s="226"/>
      <c r="BM20" s="226"/>
      <c r="BN20" s="226"/>
      <c r="BO20" s="226"/>
      <c r="BP20" s="226"/>
      <c r="BQ20" s="226"/>
      <c r="BR20" s="226"/>
      <c r="BS20" s="226"/>
      <c r="BT20" s="226"/>
      <c r="BU20" s="226"/>
      <c r="BV20" s="226"/>
      <c r="BW20" s="226"/>
      <c r="BX20" s="226"/>
      <c r="BY20" s="226"/>
      <c r="BZ20" s="226"/>
      <c r="CA20" s="226"/>
      <c r="CB20" s="226"/>
      <c r="CC20" s="226"/>
      <c r="CD20" s="226"/>
      <c r="CE20" s="226"/>
      <c r="CF20" s="226"/>
      <c r="CG20" s="226"/>
      <c r="CH20" s="226"/>
      <c r="CI20" s="226"/>
      <c r="CJ20" s="226"/>
      <c r="CK20" s="226"/>
      <c r="CL20" s="226"/>
      <c r="CM20" s="226"/>
      <c r="CN20" s="226"/>
      <c r="CO20" s="226"/>
      <c r="CP20" s="226"/>
      <c r="CQ20" s="226"/>
      <c r="CR20" s="226"/>
      <c r="CS20" s="226"/>
      <c r="CT20" s="226"/>
      <c r="CU20" s="226"/>
      <c r="CV20" s="226"/>
      <c r="CW20" s="226"/>
      <c r="CX20" s="226"/>
      <c r="CY20" s="226"/>
      <c r="CZ20" s="226"/>
      <c r="DA20" s="226"/>
      <c r="DB20" s="226"/>
      <c r="DC20" s="226"/>
      <c r="DD20" s="226"/>
      <c r="DE20" s="226"/>
      <c r="DF20" s="226"/>
      <c r="DG20" s="226"/>
      <c r="DH20" s="226"/>
      <c r="DI20" s="226"/>
      <c r="DJ20" s="226"/>
      <c r="DK20" s="226"/>
      <c r="DL20" s="226"/>
      <c r="DM20" s="226"/>
      <c r="DN20" s="226"/>
      <c r="DO20" s="226"/>
      <c r="DP20" s="226"/>
      <c r="DQ20" s="226"/>
      <c r="DR20" s="226"/>
      <c r="DS20" s="226"/>
      <c r="DT20" s="226"/>
      <c r="DU20" s="226"/>
      <c r="DV20" s="226"/>
      <c r="DW20" s="226"/>
      <c r="DX20" s="226"/>
      <c r="DY20" s="226"/>
      <c r="DZ20" s="226"/>
      <c r="EA20" s="226"/>
      <c r="EB20" s="226"/>
      <c r="EC20" s="226"/>
      <c r="ED20" s="226"/>
      <c r="EE20" s="226"/>
      <c r="EF20" s="226"/>
      <c r="EG20" s="226"/>
      <c r="EH20" s="226"/>
      <c r="EI20" s="226"/>
      <c r="EJ20" s="226"/>
      <c r="EK20" s="226"/>
      <c r="EL20" s="226"/>
      <c r="EM20" s="226"/>
      <c r="EN20" s="226"/>
      <c r="EO20" s="226"/>
      <c r="EP20" s="226"/>
      <c r="EQ20" s="226"/>
      <c r="ER20" s="226"/>
      <c r="ES20" s="226"/>
      <c r="ET20" s="226"/>
      <c r="EU20" s="226"/>
      <c r="EV20" s="226"/>
      <c r="EW20" s="226"/>
      <c r="EX20" s="226"/>
      <c r="EY20" s="226"/>
      <c r="EZ20" s="226"/>
      <c r="FA20" s="226"/>
      <c r="FB20" s="226"/>
      <c r="FC20" s="226"/>
      <c r="FD20" s="226"/>
      <c r="FE20" s="226"/>
      <c r="FF20" s="226"/>
      <c r="FG20" s="226"/>
      <c r="FH20" s="226"/>
      <c r="FI20" s="226"/>
      <c r="FJ20" s="226"/>
      <c r="FK20" s="226"/>
      <c r="FL20" s="226"/>
      <c r="FM20" s="226"/>
      <c r="FN20" s="226"/>
      <c r="FO20" s="226"/>
      <c r="FP20" s="226"/>
      <c r="FQ20" s="226"/>
      <c r="FR20" s="226"/>
      <c r="FS20" s="226"/>
      <c r="FT20" s="226"/>
      <c r="FU20" s="226"/>
      <c r="FV20" s="226"/>
      <c r="FW20" s="226"/>
      <c r="FX20" s="226"/>
      <c r="FY20" s="226"/>
      <c r="FZ20" s="226"/>
      <c r="GA20" s="226"/>
      <c r="GB20" s="226"/>
      <c r="GC20" s="226"/>
      <c r="GD20" s="226"/>
      <c r="GE20" s="226"/>
      <c r="GF20" s="226"/>
      <c r="GG20" s="226"/>
    </row>
    <row r="21" spans="1:189">
      <c r="A21" s="683" t="e">
        <f>+#REF!</f>
        <v>#REF!</v>
      </c>
      <c r="B21" s="683" t="e">
        <f>+#REF!</f>
        <v>#REF!</v>
      </c>
      <c r="C21" s="640"/>
      <c r="D21" s="660"/>
      <c r="E21" s="641"/>
      <c r="F21" s="641"/>
    </row>
    <row r="22" spans="1:189">
      <c r="A22" s="771"/>
      <c r="B22" s="753"/>
      <c r="C22" s="643" t="e">
        <f>#REF!</f>
        <v>#REF!</v>
      </c>
      <c r="D22" s="546">
        <v>1</v>
      </c>
      <c r="E22" s="527">
        <f>33225108+17063933</f>
        <v>50289041</v>
      </c>
      <c r="F22" s="527">
        <f>+D22*E22</f>
        <v>50289041</v>
      </c>
      <c r="I22" s="265">
        <v>1.05</v>
      </c>
      <c r="J22" s="259">
        <f>H22*I22</f>
        <v>0</v>
      </c>
    </row>
    <row r="23" spans="1:189">
      <c r="A23" s="683" t="e">
        <f>+#REF!</f>
        <v>#REF!</v>
      </c>
      <c r="B23" s="683" t="e">
        <f>+#REF!</f>
        <v>#REF!</v>
      </c>
      <c r="C23" s="640"/>
      <c r="D23" s="660"/>
      <c r="E23" s="641"/>
      <c r="F23" s="641"/>
      <c r="I23" s="265">
        <v>1.05</v>
      </c>
      <c r="J23" s="259">
        <f>H23*I23</f>
        <v>0</v>
      </c>
    </row>
    <row r="24" spans="1:189">
      <c r="A24" s="771"/>
      <c r="B24" s="753"/>
      <c r="C24" s="643" t="e">
        <f>#REF!</f>
        <v>#REF!</v>
      </c>
      <c r="D24" s="546">
        <v>0</v>
      </c>
      <c r="E24" s="527">
        <v>15000000</v>
      </c>
      <c r="F24" s="527">
        <f>+D24*E24</f>
        <v>0</v>
      </c>
      <c r="I24" s="265">
        <v>1.05</v>
      </c>
      <c r="J24" s="259">
        <f>H24*I24</f>
        <v>0</v>
      </c>
    </row>
    <row r="25" spans="1:189">
      <c r="A25" s="683" t="e">
        <f>+#REF!</f>
        <v>#REF!</v>
      </c>
      <c r="B25" s="683" t="e">
        <f>+#REF!</f>
        <v>#REF!</v>
      </c>
      <c r="C25" s="640"/>
      <c r="D25" s="660"/>
      <c r="E25" s="641"/>
      <c r="F25" s="641"/>
    </row>
    <row r="26" spans="1:189">
      <c r="A26" s="771"/>
      <c r="B26" s="753"/>
      <c r="C26" s="643" t="e">
        <f>#REF!</f>
        <v>#REF!</v>
      </c>
      <c r="D26" s="546">
        <v>1</v>
      </c>
      <c r="E26" s="527">
        <f>SUM(F18:F24)*G26</f>
        <v>12358382.4</v>
      </c>
      <c r="F26" s="527">
        <f>+D26*E26</f>
        <v>12358382.4</v>
      </c>
      <c r="G26" s="557">
        <v>0.2</v>
      </c>
      <c r="H26" s="255">
        <f>30%*F3</f>
        <v>99</v>
      </c>
      <c r="I26" s="265">
        <v>1.05</v>
      </c>
      <c r="J26" s="255">
        <f>ROUND(H26*I26,0)</f>
        <v>104</v>
      </c>
    </row>
    <row r="27" spans="1:189">
      <c r="A27" s="683" t="e">
        <f>+#REF!</f>
        <v>#REF!</v>
      </c>
      <c r="B27" s="683" t="e">
        <f>+#REF!</f>
        <v>#REF!</v>
      </c>
      <c r="C27" s="640"/>
      <c r="D27" s="660"/>
      <c r="E27" s="641"/>
      <c r="F27" s="641"/>
    </row>
    <row r="28" spans="1:189">
      <c r="A28" s="771"/>
      <c r="B28" s="753"/>
      <c r="C28" s="643" t="e">
        <f>#REF!</f>
        <v>#REF!</v>
      </c>
      <c r="D28" s="546">
        <v>0</v>
      </c>
      <c r="E28" s="527" t="e">
        <f>+#REF!</f>
        <v>#REF!</v>
      </c>
      <c r="F28" s="527" t="e">
        <f t="shared" ref="F28" si="0">+D28*E28</f>
        <v>#REF!</v>
      </c>
    </row>
    <row r="29" spans="1:189" ht="18.75">
      <c r="A29" s="456"/>
      <c r="B29" s="456"/>
      <c r="C29" s="686"/>
      <c r="D29" s="635"/>
      <c r="E29" s="636" t="s">
        <v>106</v>
      </c>
      <c r="F29" s="1122" t="e">
        <f>SUM(F17:F28)</f>
        <v>#REF!</v>
      </c>
    </row>
    <row r="30" spans="1:189" ht="15" customHeight="1">
      <c r="A30" s="456"/>
      <c r="B30" s="456"/>
      <c r="C30" s="456"/>
      <c r="D30" s="456"/>
      <c r="E30" s="456"/>
      <c r="F30" s="456"/>
    </row>
    <row r="31" spans="1:189" ht="18.75">
      <c r="A31" s="456"/>
      <c r="B31" s="456"/>
      <c r="C31" s="686"/>
      <c r="D31" s="635"/>
      <c r="E31" s="636" t="s">
        <v>107</v>
      </c>
      <c r="F31" s="1122" t="e">
        <f>+F14+F29</f>
        <v>#REF!</v>
      </c>
    </row>
    <row r="32" spans="1:189" s="114" customFormat="1" ht="15" customHeight="1">
      <c r="A32" s="462"/>
      <c r="B32" s="462"/>
      <c r="C32" s="950"/>
      <c r="D32" s="953"/>
      <c r="E32" s="1504"/>
      <c r="F32" s="1505"/>
      <c r="H32" s="257"/>
      <c r="I32" s="263"/>
      <c r="J32" s="257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29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  <c r="FF32" s="129"/>
      <c r="FG32" s="129"/>
      <c r="FH32" s="129"/>
      <c r="FI32" s="129"/>
      <c r="FJ32" s="129"/>
      <c r="FK32" s="129"/>
      <c r="FL32" s="129"/>
      <c r="FM32" s="129"/>
      <c r="FN32" s="129"/>
      <c r="FO32" s="129"/>
      <c r="FP32" s="129"/>
      <c r="FQ32" s="129"/>
      <c r="FR32" s="129"/>
      <c r="FS32" s="129"/>
      <c r="FT32" s="129"/>
      <c r="FU32" s="129"/>
      <c r="FV32" s="129"/>
      <c r="FW32" s="129"/>
      <c r="FX32" s="129"/>
      <c r="FY32" s="129"/>
      <c r="FZ32" s="129"/>
      <c r="GA32" s="129"/>
      <c r="GB32" s="129"/>
      <c r="GC32" s="129"/>
      <c r="GD32" s="129"/>
      <c r="GE32" s="129"/>
      <c r="GF32" s="129"/>
      <c r="GG32" s="129"/>
    </row>
    <row r="33" spans="1:10" ht="23.25" customHeight="1">
      <c r="A33" s="1" t="s">
        <v>41</v>
      </c>
      <c r="B33" s="3"/>
      <c r="C33" s="52" t="s">
        <v>98</v>
      </c>
      <c r="D33" s="86" t="s">
        <v>99</v>
      </c>
      <c r="E33" s="86" t="s">
        <v>100</v>
      </c>
      <c r="F33" s="86" t="s">
        <v>114</v>
      </c>
    </row>
    <row r="34" spans="1:10" ht="15.95" customHeight="1">
      <c r="A34" s="4" t="s">
        <v>2</v>
      </c>
      <c r="B34" s="669" t="s">
        <v>627</v>
      </c>
      <c r="C34" s="7"/>
      <c r="D34" s="74"/>
      <c r="E34" s="109"/>
      <c r="F34" s="65"/>
    </row>
    <row r="35" spans="1:10" ht="15.95" customHeight="1">
      <c r="A35" s="8"/>
      <c r="B35" s="9"/>
      <c r="C35" s="53" t="s">
        <v>19</v>
      </c>
      <c r="D35" s="77">
        <v>1</v>
      </c>
      <c r="E35" s="107">
        <v>15672373</v>
      </c>
      <c r="F35" s="64">
        <f>+D35*E35</f>
        <v>15672373</v>
      </c>
    </row>
    <row r="36" spans="1:10" ht="15.95" customHeight="1">
      <c r="A36" s="4" t="s">
        <v>3</v>
      </c>
      <c r="B36" s="669" t="s">
        <v>628</v>
      </c>
      <c r="C36" s="54"/>
      <c r="D36" s="78"/>
      <c r="E36" s="109"/>
      <c r="F36" s="65"/>
    </row>
    <row r="37" spans="1:10" ht="15.95" customHeight="1">
      <c r="A37" s="22" t="s">
        <v>39</v>
      </c>
      <c r="B37" s="240" t="s">
        <v>40</v>
      </c>
      <c r="C37" s="395" t="s">
        <v>94</v>
      </c>
      <c r="D37" s="399">
        <f>J37*0</f>
        <v>0</v>
      </c>
      <c r="E37" s="391" t="e">
        <f>#REF!</f>
        <v>#REF!</v>
      </c>
      <c r="F37" s="335" t="e">
        <f>+D37*E37</f>
        <v>#REF!</v>
      </c>
      <c r="H37" s="255">
        <f>F6*30</f>
        <v>157950</v>
      </c>
      <c r="I37" s="262">
        <v>1</v>
      </c>
      <c r="J37" s="255">
        <f>ROUND(H37*I37,0)</f>
        <v>157950</v>
      </c>
    </row>
    <row r="38" spans="1:10" ht="15.95" customHeight="1">
      <c r="A38" s="17">
        <v>203</v>
      </c>
      <c r="B38" s="669" t="s">
        <v>629</v>
      </c>
      <c r="C38" s="54"/>
      <c r="D38" s="78"/>
      <c r="E38" s="109"/>
      <c r="F38" s="63"/>
    </row>
    <row r="39" spans="1:10" ht="15.95" customHeight="1">
      <c r="A39" s="22"/>
      <c r="B39" s="38"/>
      <c r="C39" s="53" t="s">
        <v>27</v>
      </c>
      <c r="D39" s="77">
        <f>J39</f>
        <v>20</v>
      </c>
      <c r="E39" s="107" t="e">
        <f>#REF!</f>
        <v>#REF!</v>
      </c>
      <c r="F39" s="64" t="e">
        <f>+D39*E39</f>
        <v>#REF!</v>
      </c>
      <c r="H39" s="255">
        <v>20</v>
      </c>
      <c r="I39" s="262">
        <v>1</v>
      </c>
      <c r="J39" s="255">
        <f>H39*I39</f>
        <v>20</v>
      </c>
    </row>
    <row r="40" spans="1:10" ht="15.95" customHeight="1">
      <c r="A40" s="87" t="s">
        <v>4</v>
      </c>
      <c r="B40" s="549" t="s">
        <v>43</v>
      </c>
      <c r="C40" s="57"/>
      <c r="D40" s="81"/>
      <c r="E40" s="109"/>
      <c r="F40" s="63"/>
    </row>
    <row r="41" spans="1:10" ht="15.95" customHeight="1">
      <c r="A41" s="616" t="s">
        <v>44</v>
      </c>
      <c r="B41" s="617" t="s">
        <v>46</v>
      </c>
      <c r="C41" s="562" t="s">
        <v>618</v>
      </c>
      <c r="D41" s="618">
        <f>J41</f>
        <v>1</v>
      </c>
      <c r="E41" s="324" t="e">
        <f>#REF!</f>
        <v>#REF!</v>
      </c>
      <c r="F41" s="325" t="e">
        <f>+D41*E41</f>
        <v>#REF!</v>
      </c>
      <c r="H41" s="262">
        <v>1</v>
      </c>
      <c r="I41" s="262">
        <v>1</v>
      </c>
      <c r="J41" s="262">
        <f>H41*I41</f>
        <v>1</v>
      </c>
    </row>
    <row r="42" spans="1:10" ht="15.95" customHeight="1">
      <c r="A42" s="616" t="s">
        <v>45</v>
      </c>
      <c r="B42" s="617" t="s">
        <v>47</v>
      </c>
      <c r="C42" s="562" t="s">
        <v>618</v>
      </c>
      <c r="D42" s="618">
        <f>J42</f>
        <v>1</v>
      </c>
      <c r="E42" s="324" t="e">
        <f>#REF!</f>
        <v>#REF!</v>
      </c>
      <c r="F42" s="325" t="e">
        <f>+D42*E42</f>
        <v>#REF!</v>
      </c>
      <c r="H42" s="262">
        <v>1</v>
      </c>
      <c r="I42" s="262">
        <v>1</v>
      </c>
      <c r="J42" s="262">
        <f>H42*I42</f>
        <v>1</v>
      </c>
    </row>
    <row r="43" spans="1:10" ht="15.95" customHeight="1">
      <c r="A43" s="616" t="s">
        <v>48</v>
      </c>
      <c r="B43" s="617" t="s">
        <v>204</v>
      </c>
      <c r="C43" s="562" t="s">
        <v>205</v>
      </c>
      <c r="D43" s="323">
        <f>J43</f>
        <v>504</v>
      </c>
      <c r="E43" s="324" t="e">
        <f>#REF!</f>
        <v>#REF!</v>
      </c>
      <c r="F43" s="325" t="e">
        <f>+D43*E43</f>
        <v>#REF!</v>
      </c>
      <c r="H43" s="262">
        <f>10%*F5</f>
        <v>480</v>
      </c>
      <c r="I43" s="262">
        <f>1.05</f>
        <v>1.05</v>
      </c>
      <c r="J43" s="262">
        <f>H43*I43</f>
        <v>504</v>
      </c>
    </row>
    <row r="44" spans="1:10" ht="15.95" customHeight="1">
      <c r="A44" s="619" t="s">
        <v>203</v>
      </c>
      <c r="B44" s="563" t="s">
        <v>49</v>
      </c>
      <c r="C44" s="395" t="s">
        <v>618</v>
      </c>
      <c r="D44" s="620">
        <v>1</v>
      </c>
      <c r="E44" s="391">
        <v>3241004</v>
      </c>
      <c r="F44" s="335">
        <f>+D44*E44</f>
        <v>3241004</v>
      </c>
      <c r="H44" s="262">
        <f>H42</f>
        <v>1</v>
      </c>
      <c r="I44" s="262">
        <v>1</v>
      </c>
      <c r="J44" s="262">
        <f>H44*I44</f>
        <v>1</v>
      </c>
    </row>
    <row r="45" spans="1:10" s="129" customFormat="1" ht="15.95" customHeight="1">
      <c r="A45" s="17">
        <v>206</v>
      </c>
      <c r="B45" s="669" t="s">
        <v>123</v>
      </c>
      <c r="C45" s="56"/>
      <c r="D45" s="80"/>
      <c r="E45" s="109"/>
      <c r="F45" s="65"/>
      <c r="G45" s="142"/>
      <c r="H45" s="255"/>
      <c r="I45" s="262"/>
      <c r="J45" s="255"/>
    </row>
    <row r="46" spans="1:10" s="129" customFormat="1" ht="15.95" customHeight="1">
      <c r="A46" s="8"/>
      <c r="B46" s="16"/>
      <c r="C46" s="53" t="s">
        <v>94</v>
      </c>
      <c r="D46" s="77">
        <v>510</v>
      </c>
      <c r="E46" s="107" t="e">
        <f>#REF!</f>
        <v>#REF!</v>
      </c>
      <c r="F46" s="64" t="e">
        <f>+D46*E46</f>
        <v>#REF!</v>
      </c>
      <c r="G46" s="142"/>
      <c r="H46" s="255"/>
      <c r="I46" s="262"/>
      <c r="J46" s="255"/>
    </row>
    <row r="47" spans="1:10" s="129" customFormat="1" ht="15.95" customHeight="1">
      <c r="A47" s="41" t="s">
        <v>50</v>
      </c>
      <c r="B47" s="554" t="s">
        <v>51</v>
      </c>
      <c r="C47" s="57"/>
      <c r="D47" s="81"/>
      <c r="E47" s="109"/>
      <c r="F47" s="63"/>
      <c r="G47" s="142"/>
      <c r="H47" s="255"/>
      <c r="I47" s="262"/>
      <c r="J47" s="255"/>
    </row>
    <row r="48" spans="1:10" s="129" customFormat="1" ht="15.95" customHeight="1">
      <c r="A48" s="8"/>
      <c r="B48" s="16"/>
      <c r="C48" s="53" t="s">
        <v>1</v>
      </c>
      <c r="D48" s="77">
        <v>240</v>
      </c>
      <c r="E48" s="107" t="e">
        <f>#REF!</f>
        <v>#REF!</v>
      </c>
      <c r="F48" s="64" t="e">
        <f>+D48*E48</f>
        <v>#REF!</v>
      </c>
      <c r="G48" s="142"/>
      <c r="H48" s="255"/>
      <c r="I48" s="262"/>
      <c r="J48" s="255"/>
    </row>
    <row r="49" spans="1:10" s="129" customFormat="1" ht="15.95" customHeight="1">
      <c r="A49" s="41" t="s">
        <v>52</v>
      </c>
      <c r="B49" s="554" t="s">
        <v>53</v>
      </c>
      <c r="C49" s="57"/>
      <c r="D49" s="81"/>
      <c r="E49" s="109"/>
      <c r="F49" s="63"/>
      <c r="G49" s="142"/>
      <c r="H49" s="255"/>
      <c r="I49" s="262"/>
      <c r="J49" s="255"/>
    </row>
    <row r="50" spans="1:10" s="129" customFormat="1" ht="15.95" customHeight="1">
      <c r="A50" s="17" t="s">
        <v>54</v>
      </c>
      <c r="B50" s="39" t="s">
        <v>97</v>
      </c>
      <c r="C50" s="50" t="s">
        <v>1</v>
      </c>
      <c r="D50" s="83">
        <f>J50</f>
        <v>6445</v>
      </c>
      <c r="E50" s="108" t="e">
        <f>#REF!</f>
        <v>#REF!</v>
      </c>
      <c r="F50" s="65" t="e">
        <f>+D50*E50</f>
        <v>#REF!</v>
      </c>
      <c r="G50" s="142"/>
      <c r="H50" s="255">
        <f>190*2+150*2+404+457*2+528+385+248+115*2+356*2+370*2+317*2+485*2</f>
        <v>6445</v>
      </c>
      <c r="I50" s="262">
        <v>1</v>
      </c>
      <c r="J50" s="255">
        <f>H50*I50</f>
        <v>6445</v>
      </c>
    </row>
    <row r="51" spans="1:10" s="129" customFormat="1" ht="15.95" customHeight="1">
      <c r="A51" s="17" t="s">
        <v>56</v>
      </c>
      <c r="B51" s="39" t="s">
        <v>55</v>
      </c>
      <c r="C51" s="50" t="s">
        <v>1</v>
      </c>
      <c r="D51" s="83">
        <f>J51</f>
        <v>0</v>
      </c>
      <c r="E51" s="108" t="e">
        <f>#REF!</f>
        <v>#REF!</v>
      </c>
      <c r="F51" s="64" t="e">
        <f>+D51*E51</f>
        <v>#REF!</v>
      </c>
      <c r="G51" s="142"/>
      <c r="H51" s="255">
        <v>0</v>
      </c>
      <c r="I51" s="262">
        <v>1</v>
      </c>
      <c r="J51" s="255">
        <f>H51*I51</f>
        <v>0</v>
      </c>
    </row>
    <row r="52" spans="1:10" s="226" customFormat="1" ht="15.95" customHeight="1">
      <c r="A52" s="631" t="e">
        <f>+#REF!</f>
        <v>#REF!</v>
      </c>
      <c r="B52" s="631" t="e">
        <f>+#REF!</f>
        <v>#REF!</v>
      </c>
      <c r="C52" s="623"/>
      <c r="D52" s="624"/>
      <c r="E52" s="529"/>
      <c r="F52" s="530"/>
      <c r="G52" s="225"/>
      <c r="H52" s="259"/>
      <c r="I52" s="265"/>
      <c r="J52" s="259"/>
    </row>
    <row r="53" spans="1:10" s="226" customFormat="1" ht="15.95" customHeight="1">
      <c r="A53" s="631" t="e">
        <f>+#REF!</f>
        <v>#REF!</v>
      </c>
      <c r="B53" s="631" t="e">
        <f>+#REF!</f>
        <v>#REF!</v>
      </c>
      <c r="C53" s="428" t="s">
        <v>1</v>
      </c>
      <c r="D53" s="630">
        <f>+J53</f>
        <v>1003.2</v>
      </c>
      <c r="E53" s="324" t="e">
        <f>+#REF!</f>
        <v>#REF!</v>
      </c>
      <c r="F53" s="325" t="e">
        <f>+D53*E53</f>
        <v>#REF!</v>
      </c>
      <c r="G53" s="225"/>
      <c r="H53" s="259">
        <v>912</v>
      </c>
      <c r="I53" s="265">
        <v>1.1000000000000001</v>
      </c>
      <c r="J53" s="259">
        <f>H53*I53</f>
        <v>1003.2</v>
      </c>
    </row>
    <row r="54" spans="1:10" s="226" customFormat="1" ht="15.95" customHeight="1">
      <c r="A54" s="631" t="e">
        <f>+#REF!</f>
        <v>#REF!</v>
      </c>
      <c r="B54" s="631" t="e">
        <f>+#REF!</f>
        <v>#REF!</v>
      </c>
      <c r="C54" s="625" t="s">
        <v>1</v>
      </c>
      <c r="D54" s="393">
        <f>J54</f>
        <v>3502.4</v>
      </c>
      <c r="E54" s="324" t="e">
        <f>+#REF!</f>
        <v>#REF!</v>
      </c>
      <c r="F54" s="325" t="e">
        <f>+D54*E54</f>
        <v>#REF!</v>
      </c>
      <c r="G54" s="225"/>
      <c r="H54" s="259">
        <f>1208+1976</f>
        <v>3184</v>
      </c>
      <c r="I54" s="265">
        <v>1.1000000000000001</v>
      </c>
      <c r="J54" s="259">
        <f>H54*I54</f>
        <v>3502.4</v>
      </c>
    </row>
    <row r="55" spans="1:10" s="129" customFormat="1" ht="15.95" customHeight="1">
      <c r="A55" s="41">
        <v>210</v>
      </c>
      <c r="B55" s="554" t="s">
        <v>57</v>
      </c>
      <c r="C55" s="57"/>
      <c r="D55" s="84"/>
      <c r="E55" s="109"/>
      <c r="F55" s="63"/>
      <c r="G55" s="142"/>
      <c r="H55" s="255"/>
      <c r="I55" s="262"/>
      <c r="J55" s="255"/>
    </row>
    <row r="56" spans="1:10" s="129" customFormat="1" ht="15.95" customHeight="1">
      <c r="A56" s="8"/>
      <c r="B56" s="16"/>
      <c r="C56" s="53" t="s">
        <v>94</v>
      </c>
      <c r="D56" s="150">
        <v>0</v>
      </c>
      <c r="E56" s="107" t="e">
        <f>#REF!</f>
        <v>#REF!</v>
      </c>
      <c r="F56" s="64" t="e">
        <f>+D56*E56</f>
        <v>#REF!</v>
      </c>
      <c r="G56" s="142"/>
      <c r="H56" s="255"/>
      <c r="I56" s="262"/>
      <c r="J56" s="255"/>
    </row>
    <row r="57" spans="1:10" s="129" customFormat="1" ht="15.95" customHeight="1">
      <c r="A57" s="41">
        <v>211</v>
      </c>
      <c r="B57" s="554" t="s">
        <v>129</v>
      </c>
      <c r="C57" s="57"/>
      <c r="D57" s="84"/>
      <c r="E57" s="109"/>
      <c r="F57" s="63"/>
      <c r="G57" s="142"/>
      <c r="H57" s="255"/>
      <c r="I57" s="262"/>
      <c r="J57" s="255"/>
    </row>
    <row r="58" spans="1:10" s="129" customFormat="1" ht="15.95" customHeight="1">
      <c r="A58" s="8"/>
      <c r="B58" s="16"/>
      <c r="C58" s="53" t="s">
        <v>94</v>
      </c>
      <c r="D58" s="77">
        <v>0</v>
      </c>
      <c r="E58" s="107" t="e">
        <f>#REF!</f>
        <v>#REF!</v>
      </c>
      <c r="F58" s="64" t="e">
        <f>+D58*E58</f>
        <v>#REF!</v>
      </c>
      <c r="G58" s="142"/>
      <c r="H58" s="255"/>
      <c r="I58" s="262"/>
      <c r="J58" s="255"/>
    </row>
    <row r="59" spans="1:10" s="129" customFormat="1" ht="15.95" customHeight="1">
      <c r="A59" s="41">
        <v>212</v>
      </c>
      <c r="B59" s="554" t="s">
        <v>58</v>
      </c>
      <c r="C59" s="57"/>
      <c r="D59" s="84"/>
      <c r="E59" s="109"/>
      <c r="F59" s="63"/>
      <c r="G59" s="142"/>
      <c r="H59" s="255"/>
      <c r="I59" s="262"/>
      <c r="J59" s="255"/>
    </row>
    <row r="60" spans="1:10" s="129" customFormat="1" ht="15.95" customHeight="1">
      <c r="A60" s="8"/>
      <c r="B60" s="16"/>
      <c r="C60" s="53" t="s">
        <v>94</v>
      </c>
      <c r="D60" s="77">
        <f>J60</f>
        <v>0</v>
      </c>
      <c r="E60" s="107" t="e">
        <f>#REF!</f>
        <v>#REF!</v>
      </c>
      <c r="F60" s="64" t="e">
        <f>+D60*E60</f>
        <v>#REF!</v>
      </c>
      <c r="G60" s="142"/>
      <c r="H60" s="255">
        <f>9*10*2*0</f>
        <v>0</v>
      </c>
      <c r="I60" s="262">
        <v>1.1000000000000001</v>
      </c>
      <c r="J60" s="255">
        <f>H60*I60</f>
        <v>0</v>
      </c>
    </row>
    <row r="61" spans="1:10" s="129" customFormat="1" ht="15.95" customHeight="1">
      <c r="A61" s="41">
        <v>215</v>
      </c>
      <c r="B61" s="554" t="s">
        <v>59</v>
      </c>
      <c r="C61" s="57"/>
      <c r="D61" s="84"/>
      <c r="E61" s="109"/>
      <c r="F61" s="63"/>
      <c r="G61" s="142"/>
      <c r="H61" s="255"/>
      <c r="I61" s="262"/>
      <c r="J61" s="255"/>
    </row>
    <row r="62" spans="1:10" s="129" customFormat="1" ht="15.95" customHeight="1">
      <c r="A62" s="8"/>
      <c r="B62" s="16"/>
      <c r="C62" s="53" t="s">
        <v>1</v>
      </c>
      <c r="D62" s="77">
        <f>J62</f>
        <v>0</v>
      </c>
      <c r="E62" s="107" t="e">
        <f>#REF!</f>
        <v>#REF!</v>
      </c>
      <c r="F62" s="64" t="e">
        <f>+D62*E62</f>
        <v>#REF!</v>
      </c>
      <c r="G62" s="142"/>
      <c r="H62" s="255">
        <v>0</v>
      </c>
      <c r="I62" s="262">
        <v>1.1000000000000001</v>
      </c>
      <c r="J62" s="255">
        <f>H62*I62</f>
        <v>0</v>
      </c>
    </row>
    <row r="63" spans="1:10" s="129" customFormat="1" ht="25.5" customHeight="1">
      <c r="A63" s="10"/>
      <c r="B63" s="40"/>
      <c r="C63" s="95"/>
      <c r="D63" s="92"/>
      <c r="E63" s="93" t="s">
        <v>111</v>
      </c>
      <c r="F63" s="94" t="e">
        <f>SUM(F34:F62)</f>
        <v>#REF!</v>
      </c>
      <c r="G63" s="142"/>
      <c r="H63" s="255"/>
      <c r="I63" s="262"/>
      <c r="J63" s="255"/>
    </row>
    <row r="64" spans="1:10" s="129" customFormat="1" ht="15.95" customHeight="1">
      <c r="A64" s="10"/>
      <c r="B64" s="40"/>
      <c r="C64" s="51"/>
      <c r="D64" s="76"/>
      <c r="E64" s="66"/>
      <c r="F64" s="66"/>
      <c r="G64" s="142"/>
      <c r="H64" s="255"/>
      <c r="I64" s="262"/>
      <c r="J64" s="255"/>
    </row>
    <row r="65" spans="1:11" s="129" customFormat="1" ht="23.25" customHeight="1">
      <c r="A65" s="1" t="s">
        <v>5</v>
      </c>
      <c r="B65" s="3"/>
      <c r="C65" s="52" t="s">
        <v>98</v>
      </c>
      <c r="D65" s="86" t="s">
        <v>99</v>
      </c>
      <c r="E65" s="71" t="s">
        <v>100</v>
      </c>
      <c r="F65" s="71" t="s">
        <v>114</v>
      </c>
      <c r="G65" s="142"/>
      <c r="H65" s="255"/>
      <c r="I65" s="262"/>
      <c r="J65" s="255"/>
    </row>
    <row r="66" spans="1:11" s="129" customFormat="1" ht="15.95" customHeight="1">
      <c r="A66" s="4" t="s">
        <v>6</v>
      </c>
      <c r="B66" s="558" t="s">
        <v>60</v>
      </c>
      <c r="C66" s="7"/>
      <c r="D66" s="84"/>
      <c r="E66" s="109"/>
      <c r="F66" s="63"/>
      <c r="G66" s="142"/>
      <c r="H66" s="255"/>
      <c r="I66" s="262"/>
      <c r="J66" s="255"/>
    </row>
    <row r="67" spans="1:11" s="129" customFormat="1" ht="15.95" customHeight="1">
      <c r="A67" s="22" t="s">
        <v>61</v>
      </c>
      <c r="B67" s="9" t="s">
        <v>62</v>
      </c>
      <c r="C67" s="55" t="s">
        <v>95</v>
      </c>
      <c r="D67" s="77">
        <f>J67</f>
        <v>0</v>
      </c>
      <c r="E67" s="107" t="e">
        <f>#REF!</f>
        <v>#REF!</v>
      </c>
      <c r="F67" s="64" t="e">
        <f>+D67*E67</f>
        <v>#REF!</v>
      </c>
      <c r="G67" s="142"/>
      <c r="H67" s="255">
        <v>0</v>
      </c>
      <c r="I67" s="262">
        <f>1.15</f>
        <v>1.1499999999999999</v>
      </c>
      <c r="J67" s="255">
        <f>H67*I67</f>
        <v>0</v>
      </c>
    </row>
    <row r="68" spans="1:11" s="129" customFormat="1" ht="15.95" customHeight="1">
      <c r="A68" s="4" t="s">
        <v>7</v>
      </c>
      <c r="B68" s="669" t="s">
        <v>63</v>
      </c>
      <c r="C68" s="56"/>
      <c r="D68" s="84"/>
      <c r="E68" s="108"/>
      <c r="F68" s="65"/>
      <c r="G68" s="142"/>
      <c r="H68" s="255"/>
      <c r="I68" s="262"/>
      <c r="J68" s="255">
        <f>J67*0</f>
        <v>0</v>
      </c>
    </row>
    <row r="69" spans="1:11" s="129" customFormat="1" ht="15.95" customHeight="1">
      <c r="A69" s="8"/>
      <c r="B69" s="16"/>
      <c r="C69" s="53" t="s">
        <v>95</v>
      </c>
      <c r="D69" s="77">
        <f>D67*0.1</f>
        <v>0</v>
      </c>
      <c r="E69" s="107" t="e">
        <f>#REF!</f>
        <v>#REF!</v>
      </c>
      <c r="F69" s="64" t="e">
        <f>+D69*E69</f>
        <v>#REF!</v>
      </c>
      <c r="G69" s="142"/>
      <c r="H69" s="255"/>
      <c r="I69" s="262"/>
      <c r="J69" s="255"/>
    </row>
    <row r="70" spans="1:11" s="129" customFormat="1" ht="15.95" customHeight="1">
      <c r="A70" s="4" t="s">
        <v>8</v>
      </c>
      <c r="B70" s="669" t="s">
        <v>64</v>
      </c>
      <c r="C70" s="56"/>
      <c r="D70" s="84"/>
      <c r="E70" s="109"/>
      <c r="F70" s="63"/>
      <c r="G70" s="142"/>
      <c r="H70" s="255"/>
      <c r="I70" s="262"/>
      <c r="J70" s="255"/>
    </row>
    <row r="71" spans="1:11" s="129" customFormat="1" ht="15.95" customHeight="1">
      <c r="A71" s="8"/>
      <c r="B71" s="20"/>
      <c r="C71" s="53" t="s">
        <v>95</v>
      </c>
      <c r="D71" s="77">
        <f>J73+K71</f>
        <v>0</v>
      </c>
      <c r="E71" s="107" t="e">
        <f>#REF!</f>
        <v>#REF!</v>
      </c>
      <c r="F71" s="64" t="e">
        <f>+D71*E71</f>
        <v>#REF!</v>
      </c>
      <c r="G71" s="142"/>
      <c r="H71" s="255">
        <v>0</v>
      </c>
      <c r="I71" s="262">
        <f>1.15</f>
        <v>1.1499999999999999</v>
      </c>
      <c r="J71" s="255">
        <f>H71*I71</f>
        <v>0</v>
      </c>
      <c r="K71" s="129">
        <f>J71-J68</f>
        <v>0</v>
      </c>
    </row>
    <row r="72" spans="1:11" s="205" customFormat="1" ht="15.95" customHeight="1">
      <c r="A72" s="181" t="s">
        <v>189</v>
      </c>
      <c r="B72" s="670" t="s">
        <v>132</v>
      </c>
      <c r="C72" s="203"/>
      <c r="D72" s="84"/>
      <c r="E72" s="161"/>
      <c r="F72" s="204"/>
      <c r="H72" s="258"/>
      <c r="I72" s="264"/>
      <c r="J72" s="258"/>
    </row>
    <row r="73" spans="1:11" s="205" customFormat="1" ht="15.95" customHeight="1">
      <c r="A73" s="206"/>
      <c r="B73" s="207"/>
      <c r="C73" s="191" t="s">
        <v>95</v>
      </c>
      <c r="D73" s="77">
        <f>J73</f>
        <v>0</v>
      </c>
      <c r="E73" s="185" t="e">
        <f>#REF!</f>
        <v>#REF!</v>
      </c>
      <c r="F73" s="208" t="e">
        <f>+D73*E73</f>
        <v>#REF!</v>
      </c>
      <c r="H73" s="258">
        <v>0</v>
      </c>
      <c r="I73" s="264">
        <f>1.1</f>
        <v>1.1000000000000001</v>
      </c>
      <c r="J73" s="258">
        <f>H73*I73</f>
        <v>0</v>
      </c>
      <c r="K73" s="205" t="s">
        <v>272</v>
      </c>
    </row>
    <row r="74" spans="1:11" s="129" customFormat="1" ht="27" customHeight="1">
      <c r="A74" s="142"/>
      <c r="B74" s="18"/>
      <c r="C74" s="95"/>
      <c r="D74" s="92"/>
      <c r="E74" s="93" t="s">
        <v>110</v>
      </c>
      <c r="F74" s="94" t="e">
        <f>SUM(F66:F73)</f>
        <v>#REF!</v>
      </c>
      <c r="G74" s="142"/>
      <c r="H74" s="255"/>
      <c r="I74" s="262"/>
      <c r="J74" s="255"/>
    </row>
    <row r="75" spans="1:11" s="129" customFormat="1" ht="15.95" customHeight="1">
      <c r="A75" s="142"/>
      <c r="B75" s="18"/>
      <c r="C75" s="48"/>
      <c r="D75" s="111"/>
      <c r="E75" s="142"/>
      <c r="F75" s="112"/>
      <c r="G75" s="142"/>
      <c r="H75" s="255"/>
      <c r="I75" s="262"/>
      <c r="J75" s="255"/>
    </row>
    <row r="76" spans="1:11" s="129" customFormat="1" ht="23.25" customHeight="1">
      <c r="A76" s="1" t="s">
        <v>9</v>
      </c>
      <c r="B76" s="3"/>
      <c r="C76" s="52" t="s">
        <v>98</v>
      </c>
      <c r="D76" s="86" t="s">
        <v>99</v>
      </c>
      <c r="E76" s="71" t="s">
        <v>100</v>
      </c>
      <c r="F76" s="71" t="s">
        <v>114</v>
      </c>
      <c r="G76" s="142"/>
      <c r="H76" s="255">
        <v>0</v>
      </c>
      <c r="I76" s="262">
        <f>1.1</f>
        <v>1.1000000000000001</v>
      </c>
      <c r="J76" s="255">
        <f>H76*I76</f>
        <v>0</v>
      </c>
    </row>
    <row r="77" spans="1:11" s="129" customFormat="1" ht="29.25" customHeight="1">
      <c r="A77" s="46" t="s">
        <v>10</v>
      </c>
      <c r="B77" s="558" t="s">
        <v>65</v>
      </c>
      <c r="C77" s="209"/>
      <c r="D77" s="210"/>
      <c r="E77" s="161"/>
      <c r="F77" s="204"/>
      <c r="G77" s="142"/>
      <c r="H77" s="255"/>
      <c r="I77" s="262"/>
      <c r="J77" s="255"/>
      <c r="K77" s="129" t="s">
        <v>273</v>
      </c>
    </row>
    <row r="78" spans="1:11" s="129" customFormat="1" ht="15.95" customHeight="1">
      <c r="A78" s="8" t="s">
        <v>66</v>
      </c>
      <c r="B78" s="24" t="s">
        <v>67</v>
      </c>
      <c r="C78" s="211" t="s">
        <v>95</v>
      </c>
      <c r="D78" s="147">
        <f>J78</f>
        <v>0</v>
      </c>
      <c r="E78" s="185" t="e">
        <f>#REF!</f>
        <v>#REF!</v>
      </c>
      <c r="F78" s="208" t="e">
        <f>+D78*E78</f>
        <v>#REF!</v>
      </c>
      <c r="G78" s="142"/>
      <c r="H78" s="145">
        <v>0</v>
      </c>
      <c r="I78" s="262">
        <f>1.1</f>
        <v>1.1000000000000001</v>
      </c>
      <c r="J78" s="255">
        <f>H78*I78</f>
        <v>0</v>
      </c>
    </row>
    <row r="79" spans="1:11" s="129" customFormat="1" ht="15.95" customHeight="1">
      <c r="A79" s="4" t="s">
        <v>11</v>
      </c>
      <c r="B79" s="558" t="s">
        <v>68</v>
      </c>
      <c r="C79" s="23"/>
      <c r="D79" s="284"/>
      <c r="E79" s="109"/>
      <c r="F79" s="63"/>
      <c r="G79" s="142"/>
      <c r="H79" s="255"/>
      <c r="I79" s="262"/>
      <c r="J79" s="255"/>
    </row>
    <row r="80" spans="1:11" s="129" customFormat="1" ht="15.95" customHeight="1">
      <c r="A80" s="8"/>
      <c r="B80" s="24"/>
      <c r="C80" s="59" t="s">
        <v>94</v>
      </c>
      <c r="D80" s="82">
        <f>J80</f>
        <v>0</v>
      </c>
      <c r="E80" s="107" t="e">
        <f>#REF!</f>
        <v>#REF!</v>
      </c>
      <c r="F80" s="64" t="e">
        <f>+D80*E80</f>
        <v>#REF!</v>
      </c>
      <c r="G80" s="142"/>
      <c r="H80" s="255">
        <v>0</v>
      </c>
      <c r="I80" s="262">
        <f>1.05</f>
        <v>1.05</v>
      </c>
      <c r="J80" s="255">
        <f>H80*I80</f>
        <v>0</v>
      </c>
    </row>
    <row r="81" spans="1:10" s="129" customFormat="1" ht="15.95" customHeight="1">
      <c r="A81" s="17">
        <v>404</v>
      </c>
      <c r="B81" s="558" t="s">
        <v>69</v>
      </c>
      <c r="C81" s="23"/>
      <c r="D81" s="72"/>
      <c r="E81" s="109"/>
      <c r="F81" s="63"/>
      <c r="G81" s="142"/>
      <c r="H81" s="255"/>
      <c r="I81" s="262"/>
      <c r="J81" s="255"/>
    </row>
    <row r="82" spans="1:10" s="129" customFormat="1" ht="15.95" customHeight="1">
      <c r="A82" s="28"/>
      <c r="B82" s="24"/>
      <c r="C82" s="59" t="s">
        <v>94</v>
      </c>
      <c r="D82" s="82">
        <f>+D80</f>
        <v>0</v>
      </c>
      <c r="E82" s="107" t="e">
        <f>#REF!</f>
        <v>#REF!</v>
      </c>
      <c r="F82" s="64" t="e">
        <f>+D82*E82</f>
        <v>#REF!</v>
      </c>
      <c r="G82" s="142"/>
      <c r="H82" s="255"/>
      <c r="I82" s="262"/>
      <c r="J82" s="255"/>
    </row>
    <row r="83" spans="1:10" s="129" customFormat="1" ht="15.95" customHeight="1">
      <c r="A83" s="17">
        <v>405</v>
      </c>
      <c r="B83" s="558" t="s">
        <v>70</v>
      </c>
      <c r="C83" s="23"/>
      <c r="D83" s="284"/>
      <c r="E83" s="109"/>
      <c r="F83" s="63"/>
      <c r="G83" s="142"/>
      <c r="H83" s="255"/>
      <c r="I83" s="262"/>
      <c r="J83" s="255"/>
    </row>
    <row r="84" spans="1:10" s="129" customFormat="1" ht="15.95" customHeight="1">
      <c r="A84" s="8"/>
      <c r="B84" s="24"/>
      <c r="C84" s="59" t="s">
        <v>14</v>
      </c>
      <c r="D84" s="147">
        <f>J84</f>
        <v>0</v>
      </c>
      <c r="E84" s="107" t="e">
        <f>#REF!</f>
        <v>#REF!</v>
      </c>
      <c r="F84" s="64" t="e">
        <f>+D84*E84</f>
        <v>#REF!</v>
      </c>
      <c r="G84" s="142"/>
      <c r="H84" s="255">
        <f>H76*1950*5%</f>
        <v>0</v>
      </c>
      <c r="I84" s="262">
        <v>1.1000000000000001</v>
      </c>
      <c r="J84" s="255">
        <f>H84*I84</f>
        <v>0</v>
      </c>
    </row>
    <row r="85" spans="1:10" s="129" customFormat="1" ht="15.95" customHeight="1">
      <c r="A85" s="45">
        <v>407</v>
      </c>
      <c r="B85" s="560" t="s">
        <v>160</v>
      </c>
      <c r="C85" s="60"/>
      <c r="D85" s="79"/>
      <c r="E85" s="109"/>
      <c r="F85" s="67"/>
      <c r="G85" s="142"/>
      <c r="H85" s="255"/>
      <c r="I85" s="262"/>
      <c r="J85" s="255"/>
    </row>
    <row r="86" spans="1:10" s="129" customFormat="1" ht="15.95" customHeight="1">
      <c r="A86" s="45" t="s">
        <v>161</v>
      </c>
      <c r="B86" s="12" t="s">
        <v>71</v>
      </c>
      <c r="C86" s="54" t="s">
        <v>94</v>
      </c>
      <c r="D86" s="138">
        <f>J86</f>
        <v>0</v>
      </c>
      <c r="E86" s="137" t="e">
        <f>#REF!</f>
        <v>#REF!</v>
      </c>
      <c r="F86" s="65" t="e">
        <f>+D86*E86</f>
        <v>#REF!</v>
      </c>
      <c r="G86" s="142"/>
      <c r="H86" s="255">
        <v>0</v>
      </c>
      <c r="I86" s="262">
        <f>1.1</f>
        <v>1.1000000000000001</v>
      </c>
      <c r="J86" s="255">
        <f>H86*I86</f>
        <v>0</v>
      </c>
    </row>
    <row r="87" spans="1:10" s="129" customFormat="1" ht="15.95" customHeight="1">
      <c r="A87" s="28" t="s">
        <v>173</v>
      </c>
      <c r="B87" s="24" t="s">
        <v>72</v>
      </c>
      <c r="C87" s="53" t="s">
        <v>94</v>
      </c>
      <c r="D87" s="82">
        <f>J87</f>
        <v>0</v>
      </c>
      <c r="E87" s="137" t="e">
        <f>#REF!</f>
        <v>#REF!</v>
      </c>
      <c r="F87" s="65" t="e">
        <f>+D87*E87</f>
        <v>#REF!</v>
      </c>
      <c r="G87" s="142"/>
      <c r="H87" s="255">
        <v>0</v>
      </c>
      <c r="I87" s="262">
        <f>1.1</f>
        <v>1.1000000000000001</v>
      </c>
      <c r="J87" s="255">
        <f>H87*I87</f>
        <v>0</v>
      </c>
    </row>
    <row r="88" spans="1:10" s="129" customFormat="1" ht="15.95" customHeight="1">
      <c r="A88" s="41">
        <v>408</v>
      </c>
      <c r="B88" s="671" t="s">
        <v>163</v>
      </c>
      <c r="C88" s="88"/>
      <c r="D88" s="285"/>
      <c r="E88" s="109"/>
      <c r="F88" s="63"/>
      <c r="G88" s="142"/>
      <c r="H88" s="255"/>
      <c r="I88" s="262"/>
      <c r="J88" s="255"/>
    </row>
    <row r="89" spans="1:10" s="129" customFormat="1" ht="15.95" customHeight="1">
      <c r="A89" s="45" t="s">
        <v>162</v>
      </c>
      <c r="B89" s="123" t="s">
        <v>190</v>
      </c>
      <c r="C89" s="146" t="s">
        <v>1</v>
      </c>
      <c r="D89" s="155">
        <f>J89</f>
        <v>0</v>
      </c>
      <c r="E89" s="108" t="e">
        <f>#REF!</f>
        <v>#REF!</v>
      </c>
      <c r="F89" s="65" t="e">
        <f>+D89*E89</f>
        <v>#REF!</v>
      </c>
      <c r="G89" s="142"/>
      <c r="H89" s="255">
        <v>0</v>
      </c>
      <c r="I89" s="262">
        <f>1.1</f>
        <v>1.1000000000000001</v>
      </c>
      <c r="J89" s="255">
        <f>H89*I89</f>
        <v>0</v>
      </c>
    </row>
    <row r="90" spans="1:10" s="129" customFormat="1" ht="15.95" customHeight="1">
      <c r="A90" s="45" t="s">
        <v>174</v>
      </c>
      <c r="B90" s="123" t="s">
        <v>191</v>
      </c>
      <c r="C90" s="146" t="s">
        <v>1</v>
      </c>
      <c r="D90" s="155">
        <f>J90</f>
        <v>0</v>
      </c>
      <c r="E90" s="108" t="e">
        <f>#REF!</f>
        <v>#REF!</v>
      </c>
      <c r="F90" s="65" t="e">
        <f>+D90*E90</f>
        <v>#REF!</v>
      </c>
      <c r="G90" s="142"/>
      <c r="H90" s="255">
        <v>0</v>
      </c>
      <c r="I90" s="262">
        <f>1.1</f>
        <v>1.1000000000000001</v>
      </c>
      <c r="J90" s="255">
        <f>H90*I90</f>
        <v>0</v>
      </c>
    </row>
    <row r="91" spans="1:10" s="129" customFormat="1" ht="15.95" customHeight="1">
      <c r="A91" s="28" t="s">
        <v>233</v>
      </c>
      <c r="B91" s="24" t="s">
        <v>234</v>
      </c>
      <c r="C91" s="286" t="s">
        <v>1</v>
      </c>
      <c r="D91" s="156">
        <f>J91</f>
        <v>0</v>
      </c>
      <c r="E91" s="107" t="e">
        <f>#REF!</f>
        <v>#REF!</v>
      </c>
      <c r="F91" s="64" t="e">
        <f>+D91*E91</f>
        <v>#REF!</v>
      </c>
      <c r="G91" s="142"/>
      <c r="H91" s="256">
        <v>0</v>
      </c>
      <c r="I91" s="262">
        <f>1.1</f>
        <v>1.1000000000000001</v>
      </c>
      <c r="J91" s="255">
        <f>H91*I91</f>
        <v>0</v>
      </c>
    </row>
    <row r="92" spans="1:10" s="129" customFormat="1" ht="15.95" customHeight="1">
      <c r="A92" s="406" t="e">
        <f>+#REF!</f>
        <v>#REF!</v>
      </c>
      <c r="B92" s="12" t="e">
        <f>+#REF!</f>
        <v>#REF!</v>
      </c>
      <c r="C92" s="472"/>
      <c r="D92" s="473"/>
      <c r="E92" s="420"/>
      <c r="F92" s="474"/>
      <c r="G92" s="142"/>
      <c r="H92" s="256"/>
      <c r="I92" s="262"/>
      <c r="J92" s="255"/>
    </row>
    <row r="93" spans="1:10" s="129" customFormat="1" ht="15.95" customHeight="1">
      <c r="A93" s="406" t="e">
        <f>+#REF!</f>
        <v>#REF!</v>
      </c>
      <c r="B93" s="12" t="e">
        <f>+#REF!</f>
        <v>#REF!</v>
      </c>
      <c r="C93" s="472" t="s">
        <v>616</v>
      </c>
      <c r="D93" s="473">
        <f>+D78*0.1</f>
        <v>0</v>
      </c>
      <c r="E93" s="420" t="e">
        <f>+#REF!</f>
        <v>#REF!</v>
      </c>
      <c r="F93" s="474" t="e">
        <f>+D93*E93</f>
        <v>#REF!</v>
      </c>
      <c r="G93" s="142"/>
      <c r="H93" s="256"/>
      <c r="I93" s="262"/>
      <c r="J93" s="255"/>
    </row>
    <row r="94" spans="1:10" s="129" customFormat="1" ht="15.95" customHeight="1">
      <c r="A94" s="406" t="e">
        <f>+#REF!</f>
        <v>#REF!</v>
      </c>
      <c r="B94" s="12" t="e">
        <f>+#REF!</f>
        <v>#REF!</v>
      </c>
      <c r="C94" s="472" t="s">
        <v>616</v>
      </c>
      <c r="D94" s="473">
        <f>+D93</f>
        <v>0</v>
      </c>
      <c r="E94" s="420" t="e">
        <f>+#REF!</f>
        <v>#REF!</v>
      </c>
      <c r="F94" s="474" t="e">
        <f>+D94*E94</f>
        <v>#REF!</v>
      </c>
      <c r="G94" s="142"/>
      <c r="H94" s="256"/>
      <c r="I94" s="262"/>
      <c r="J94" s="255"/>
    </row>
    <row r="95" spans="1:10" s="129" customFormat="1" ht="15.95" customHeight="1">
      <c r="A95" s="406"/>
      <c r="B95" s="12"/>
      <c r="C95" s="472"/>
      <c r="D95" s="473"/>
      <c r="E95" s="420"/>
      <c r="F95" s="474"/>
      <c r="G95" s="142"/>
      <c r="H95" s="256"/>
      <c r="I95" s="262"/>
      <c r="J95" s="255"/>
    </row>
    <row r="96" spans="1:10" s="129" customFormat="1" ht="30" customHeight="1">
      <c r="A96" s="10"/>
      <c r="B96" s="12"/>
      <c r="C96" s="95"/>
      <c r="D96" s="92"/>
      <c r="E96" s="93" t="s">
        <v>109</v>
      </c>
      <c r="F96" s="94" t="e">
        <f>SUM(F77:F91)</f>
        <v>#REF!</v>
      </c>
      <c r="G96" s="142"/>
      <c r="H96" s="255"/>
      <c r="I96" s="262"/>
      <c r="J96" s="255"/>
    </row>
    <row r="97" spans="1:14" s="129" customFormat="1" ht="15.95" customHeight="1">
      <c r="A97" s="10"/>
      <c r="B97" s="12"/>
      <c r="C97" s="51"/>
      <c r="D97" s="76"/>
      <c r="E97" s="91"/>
      <c r="F97" s="91"/>
      <c r="G97" s="142"/>
      <c r="H97" s="255"/>
      <c r="I97" s="262"/>
      <c r="J97" s="255"/>
      <c r="L97" s="129">
        <f>5.9/2</f>
        <v>2.95</v>
      </c>
    </row>
    <row r="98" spans="1:14" s="129" customFormat="1" ht="26.25" customHeight="1">
      <c r="A98" s="1" t="s">
        <v>73</v>
      </c>
      <c r="B98" s="3"/>
      <c r="C98" s="52" t="s">
        <v>98</v>
      </c>
      <c r="D98" s="86" t="s">
        <v>99</v>
      </c>
      <c r="E98" s="71" t="s">
        <v>100</v>
      </c>
      <c r="F98" s="71" t="s">
        <v>114</v>
      </c>
      <c r="G98" s="142"/>
      <c r="H98" s="255"/>
      <c r="I98" s="262"/>
      <c r="J98" s="255"/>
      <c r="L98" s="129">
        <f>2.95*2</f>
        <v>5.9</v>
      </c>
    </row>
    <row r="99" spans="1:14" s="129" customFormat="1" ht="15.95" customHeight="1">
      <c r="A99" s="220">
        <v>501</v>
      </c>
      <c r="B99" s="216" t="s">
        <v>74</v>
      </c>
      <c r="C99" s="160"/>
      <c r="D99" s="213"/>
      <c r="E99" s="109"/>
      <c r="F99" s="69"/>
      <c r="G99" s="142"/>
      <c r="H99" s="255"/>
      <c r="I99" s="262"/>
      <c r="J99" s="255"/>
      <c r="L99" s="129">
        <v>6.1</v>
      </c>
    </row>
    <row r="100" spans="1:14" s="129" customFormat="1" ht="15.95" customHeight="1">
      <c r="A100" s="206"/>
      <c r="B100" s="207"/>
      <c r="C100" s="191" t="s">
        <v>95</v>
      </c>
      <c r="D100" s="150">
        <f>J100</f>
        <v>3834.6000000000004</v>
      </c>
      <c r="E100" s="107" t="e">
        <f>#REF!</f>
        <v>#REF!</v>
      </c>
      <c r="F100" s="64" t="e">
        <f>+D100*E100</f>
        <v>#REF!</v>
      </c>
      <c r="G100" s="142"/>
      <c r="H100" s="256">
        <f>((1+0.1*2+0.25*2+0.4*2)*(1.7+0.1+0.25*2)*F4+(1+0.1*2+0.25*2)*(1+0.1*2+0.25*2+0.4*2)*F3)*1.6</f>
        <v>3486</v>
      </c>
      <c r="I100" s="262">
        <v>1.1000000000000001</v>
      </c>
      <c r="J100" s="255">
        <f>H100*I100</f>
        <v>3834.6000000000004</v>
      </c>
      <c r="L100" s="129">
        <f>2*9</f>
        <v>18</v>
      </c>
    </row>
    <row r="101" spans="1:14" s="129" customFormat="1" ht="15.95" customHeight="1">
      <c r="A101" s="214">
        <v>502</v>
      </c>
      <c r="B101" s="216" t="s">
        <v>75</v>
      </c>
      <c r="C101" s="221"/>
      <c r="D101" s="212"/>
      <c r="E101" s="109"/>
      <c r="F101" s="69"/>
      <c r="G101" s="142"/>
      <c r="H101" s="255"/>
      <c r="I101" s="262"/>
      <c r="J101" s="255"/>
      <c r="L101" s="129">
        <f>2*2</f>
        <v>4</v>
      </c>
    </row>
    <row r="102" spans="1:14" s="129" customFormat="1" ht="15.95" customHeight="1">
      <c r="A102" s="217"/>
      <c r="B102" s="219"/>
      <c r="C102" s="191" t="s">
        <v>95</v>
      </c>
      <c r="D102" s="150">
        <f>J102</f>
        <v>3248.8500000000004</v>
      </c>
      <c r="E102" s="107" t="e">
        <f>#REF!</f>
        <v>#REF!</v>
      </c>
      <c r="F102" s="64" t="e">
        <f>+D102*E102</f>
        <v>#REF!</v>
      </c>
      <c r="G102" s="142"/>
      <c r="H102" s="256">
        <f>H100-(1*1*F3+1*1.5*F4)</f>
        <v>2953.5</v>
      </c>
      <c r="I102" s="262">
        <v>1.1000000000000001</v>
      </c>
      <c r="J102" s="255">
        <f>H102*I102</f>
        <v>3248.8500000000004</v>
      </c>
      <c r="L102" s="129">
        <f>2*3</f>
        <v>6</v>
      </c>
    </row>
    <row r="103" spans="1:14" s="129" customFormat="1" ht="15.95" customHeight="1">
      <c r="A103" s="46" t="s">
        <v>12</v>
      </c>
      <c r="B103" s="27" t="s">
        <v>101</v>
      </c>
      <c r="C103" s="160"/>
      <c r="D103" s="213"/>
      <c r="E103" s="109"/>
      <c r="F103" s="65"/>
      <c r="G103" s="142"/>
      <c r="H103" s="255"/>
      <c r="I103" s="262"/>
      <c r="J103" s="255"/>
    </row>
    <row r="104" spans="1:14" s="129" customFormat="1" ht="15.95" customHeight="1">
      <c r="A104" s="8"/>
      <c r="B104" s="9"/>
      <c r="C104" s="191" t="s">
        <v>95</v>
      </c>
      <c r="D104" s="150">
        <v>30</v>
      </c>
      <c r="E104" s="107" t="e">
        <f>#REF!</f>
        <v>#REF!</v>
      </c>
      <c r="F104" s="64" t="e">
        <f>+D104*E104</f>
        <v>#REF!</v>
      </c>
      <c r="G104" s="142"/>
      <c r="H104" s="255"/>
      <c r="I104" s="262"/>
      <c r="J104" s="255"/>
    </row>
    <row r="105" spans="1:14" s="129" customFormat="1" ht="15.95" customHeight="1">
      <c r="A105" s="87" t="s">
        <v>13</v>
      </c>
      <c r="B105" s="43" t="s">
        <v>77</v>
      </c>
      <c r="C105" s="88"/>
      <c r="D105" s="85"/>
      <c r="E105" s="109"/>
      <c r="F105" s="63"/>
      <c r="G105" s="142"/>
      <c r="H105" s="255"/>
      <c r="I105" s="262"/>
      <c r="J105" s="255"/>
    </row>
    <row r="106" spans="1:14" s="129" customFormat="1" ht="15.95" customHeight="1">
      <c r="A106" s="8"/>
      <c r="B106" s="9"/>
      <c r="C106" s="55" t="s">
        <v>94</v>
      </c>
      <c r="D106" s="82">
        <v>750</v>
      </c>
      <c r="E106" s="107" t="e">
        <f>#REF!</f>
        <v>#REF!</v>
      </c>
      <c r="F106" s="64" t="e">
        <f>+D106*E106</f>
        <v>#REF!</v>
      </c>
      <c r="G106" s="142"/>
      <c r="H106" s="255"/>
      <c r="I106" s="262"/>
      <c r="J106" s="255">
        <f>6.2+2</f>
        <v>8.1999999999999993</v>
      </c>
      <c r="K106" s="129">
        <f>2</f>
        <v>2</v>
      </c>
    </row>
    <row r="107" spans="1:14" s="129" customFormat="1" ht="15.95" customHeight="1">
      <c r="A107" s="17">
        <v>505</v>
      </c>
      <c r="B107" s="14" t="s">
        <v>76</v>
      </c>
      <c r="C107" s="56"/>
      <c r="D107" s="80"/>
      <c r="E107" s="109"/>
      <c r="F107" s="63"/>
      <c r="G107" s="142"/>
      <c r="H107" s="255"/>
      <c r="I107" s="262"/>
      <c r="J107" s="255"/>
      <c r="K107" s="129">
        <f>J106*K106/2</f>
        <v>8.1999999999999993</v>
      </c>
    </row>
    <row r="108" spans="1:14" s="129" customFormat="1" ht="15.95" customHeight="1">
      <c r="A108" s="17" t="s">
        <v>15</v>
      </c>
      <c r="B108" s="37" t="s">
        <v>78</v>
      </c>
      <c r="C108" s="50" t="s">
        <v>14</v>
      </c>
      <c r="D108" s="83">
        <f>(D113)*110</f>
        <v>11000</v>
      </c>
      <c r="E108" s="108" t="e">
        <f>#REF!</f>
        <v>#REF!</v>
      </c>
      <c r="F108" s="65" t="e">
        <f>+D108*E108</f>
        <v>#REF!</v>
      </c>
      <c r="G108" s="142"/>
      <c r="H108" s="255"/>
      <c r="I108" s="262"/>
      <c r="J108" s="255"/>
    </row>
    <row r="109" spans="1:14" s="129" customFormat="1" ht="15.95" customHeight="1">
      <c r="A109" s="36" t="s">
        <v>16</v>
      </c>
      <c r="B109" s="49" t="s">
        <v>79</v>
      </c>
      <c r="C109" s="53" t="s">
        <v>14</v>
      </c>
      <c r="D109" s="77">
        <v>0</v>
      </c>
      <c r="E109" s="108" t="e">
        <f>#REF!</f>
        <v>#REF!</v>
      </c>
      <c r="F109" s="64" t="e">
        <f>+D109*E109</f>
        <v>#REF!</v>
      </c>
      <c r="G109" s="142"/>
      <c r="H109" s="255"/>
      <c r="I109" s="262"/>
      <c r="J109" s="255"/>
    </row>
    <row r="110" spans="1:14" s="129" customFormat="1" ht="15.95" customHeight="1">
      <c r="A110" s="17">
        <v>506</v>
      </c>
      <c r="B110" s="26" t="s">
        <v>80</v>
      </c>
      <c r="C110" s="56"/>
      <c r="D110" s="80"/>
      <c r="E110" s="109"/>
      <c r="F110" s="63"/>
      <c r="G110" s="142"/>
      <c r="H110" s="255"/>
      <c r="I110" s="262"/>
      <c r="J110" s="255"/>
      <c r="L110" s="129">
        <f>0.1+0.25+0.25+0.25+0.1</f>
        <v>0.95</v>
      </c>
    </row>
    <row r="111" spans="1:14" s="129" customFormat="1" ht="15.95" customHeight="1">
      <c r="A111" s="28"/>
      <c r="B111" s="24"/>
      <c r="C111" s="53" t="s">
        <v>95</v>
      </c>
      <c r="D111" s="82">
        <v>90</v>
      </c>
      <c r="E111" s="98" t="e">
        <f>#REF!</f>
        <v>#REF!</v>
      </c>
      <c r="F111" s="64" t="e">
        <f>+D111*E111</f>
        <v>#REF!</v>
      </c>
      <c r="G111" s="142"/>
      <c r="H111" s="255"/>
      <c r="I111" s="262"/>
      <c r="J111" s="255"/>
      <c r="L111" s="129">
        <f>1*2+L110</f>
        <v>2.95</v>
      </c>
      <c r="N111" s="129">
        <f>0.1+0.25+1.8+0.25</f>
        <v>2.4</v>
      </c>
    </row>
    <row r="112" spans="1:14" s="129" customFormat="1" ht="15.95" customHeight="1">
      <c r="A112" s="17">
        <v>507</v>
      </c>
      <c r="B112" s="25" t="s">
        <v>81</v>
      </c>
      <c r="C112" s="56"/>
      <c r="D112" s="80"/>
      <c r="E112" s="109"/>
      <c r="F112" s="63"/>
      <c r="G112" s="142"/>
      <c r="H112" s="255"/>
      <c r="I112" s="262"/>
      <c r="J112" s="255"/>
    </row>
    <row r="113" spans="1:189" s="129" customFormat="1" ht="15.95" customHeight="1">
      <c r="A113" s="8"/>
      <c r="B113" s="24"/>
      <c r="C113" s="53" t="s">
        <v>95</v>
      </c>
      <c r="D113" s="78">
        <v>100</v>
      </c>
      <c r="E113" s="107" t="e">
        <f>#REF!</f>
        <v>#REF!</v>
      </c>
      <c r="F113" s="64" t="e">
        <f>+D113*E113</f>
        <v>#REF!</v>
      </c>
      <c r="G113" s="142"/>
      <c r="H113" s="255"/>
      <c r="I113" s="262"/>
      <c r="J113" s="255"/>
    </row>
    <row r="114" spans="1:189" s="129" customFormat="1" ht="15.95" customHeight="1">
      <c r="A114" s="41">
        <v>509</v>
      </c>
      <c r="B114" s="43" t="s">
        <v>139</v>
      </c>
      <c r="C114" s="57"/>
      <c r="D114" s="84"/>
      <c r="E114" s="109"/>
      <c r="F114" s="63"/>
      <c r="G114" s="142"/>
      <c r="H114" s="255"/>
      <c r="I114" s="262"/>
      <c r="J114" s="255"/>
    </row>
    <row r="115" spans="1:189" s="129" customFormat="1" ht="15.95" customHeight="1">
      <c r="A115" s="17" t="s">
        <v>140</v>
      </c>
      <c r="B115" s="39" t="s">
        <v>262</v>
      </c>
      <c r="C115" s="54" t="s">
        <v>94</v>
      </c>
      <c r="D115" s="83">
        <f>J115</f>
        <v>644.5</v>
      </c>
      <c r="E115" s="108" t="e">
        <f>#REF!</f>
        <v>#REF!</v>
      </c>
      <c r="F115" s="65" t="e">
        <f>+D115*E115</f>
        <v>#REF!</v>
      </c>
      <c r="G115" s="142"/>
      <c r="H115" s="255">
        <f>10%*J50</f>
        <v>644.5</v>
      </c>
      <c r="I115" s="262">
        <v>1</v>
      </c>
      <c r="J115" s="255">
        <f>H115*I115</f>
        <v>644.5</v>
      </c>
    </row>
    <row r="116" spans="1:189" s="129" customFormat="1" ht="15.95" customHeight="1">
      <c r="A116" s="17" t="s">
        <v>141</v>
      </c>
      <c r="B116" s="39" t="s">
        <v>263</v>
      </c>
      <c r="C116" s="54" t="s">
        <v>94</v>
      </c>
      <c r="D116" s="83">
        <f>J116</f>
        <v>128.9</v>
      </c>
      <c r="E116" s="108" t="e">
        <f>#REF!</f>
        <v>#REF!</v>
      </c>
      <c r="F116" s="65" t="e">
        <f>+D116*E116</f>
        <v>#REF!</v>
      </c>
      <c r="G116" s="142"/>
      <c r="H116" s="255">
        <f>2%*H50</f>
        <v>128.9</v>
      </c>
      <c r="I116" s="262">
        <v>1</v>
      </c>
      <c r="J116" s="255">
        <f>H116*I116</f>
        <v>128.9</v>
      </c>
    </row>
    <row r="117" spans="1:189" s="129" customFormat="1" ht="15.95" customHeight="1">
      <c r="A117" s="22" t="s">
        <v>142</v>
      </c>
      <c r="B117" s="49" t="s">
        <v>281</v>
      </c>
      <c r="C117" s="53" t="s">
        <v>94</v>
      </c>
      <c r="D117" s="155">
        <f>H117</f>
        <v>10</v>
      </c>
      <c r="E117" s="108" t="e">
        <f>#REF!</f>
        <v>#REF!</v>
      </c>
      <c r="F117" s="65" t="e">
        <f>+D117*E117</f>
        <v>#REF!</v>
      </c>
      <c r="G117" s="142"/>
      <c r="H117" s="255">
        <f>10</f>
        <v>10</v>
      </c>
      <c r="I117" s="262"/>
      <c r="J117" s="255"/>
    </row>
    <row r="118" spans="1:189" s="129" customFormat="1" ht="15.95" customHeight="1">
      <c r="A118" s="41">
        <v>510</v>
      </c>
      <c r="B118" s="43" t="s">
        <v>82</v>
      </c>
      <c r="C118" s="57"/>
      <c r="D118" s="84"/>
      <c r="E118" s="109"/>
      <c r="F118" s="63"/>
      <c r="G118" s="142"/>
      <c r="H118" s="255"/>
      <c r="I118" s="262"/>
      <c r="J118" s="255"/>
    </row>
    <row r="119" spans="1:189" s="129" customFormat="1" ht="15.95" customHeight="1">
      <c r="A119" s="17" t="s">
        <v>83</v>
      </c>
      <c r="B119" s="39" t="s">
        <v>88</v>
      </c>
      <c r="C119" s="58" t="s">
        <v>1</v>
      </c>
      <c r="D119" s="83">
        <v>0</v>
      </c>
      <c r="E119" s="108" t="e">
        <f>#REF!</f>
        <v>#REF!</v>
      </c>
      <c r="F119" s="65" t="e">
        <f>+D119*E119</f>
        <v>#REF!</v>
      </c>
      <c r="G119" s="142"/>
      <c r="H119" s="255"/>
      <c r="I119" s="262"/>
      <c r="J119" s="255"/>
    </row>
    <row r="120" spans="1:189" ht="15.95" customHeight="1">
      <c r="A120" s="17" t="s">
        <v>84</v>
      </c>
      <c r="B120" s="39" t="s">
        <v>89</v>
      </c>
      <c r="C120" s="58" t="s">
        <v>1</v>
      </c>
      <c r="D120" s="83">
        <v>0</v>
      </c>
      <c r="E120" s="108" t="e">
        <f>#REF!</f>
        <v>#REF!</v>
      </c>
      <c r="F120" s="65" t="e">
        <f>+D120*E120</f>
        <v>#REF!</v>
      </c>
    </row>
    <row r="121" spans="1:189" ht="15.95" customHeight="1">
      <c r="A121" s="17" t="s">
        <v>85</v>
      </c>
      <c r="B121" s="39" t="s">
        <v>90</v>
      </c>
      <c r="C121" s="58" t="s">
        <v>1</v>
      </c>
      <c r="D121" s="83">
        <v>0</v>
      </c>
      <c r="E121" s="108" t="e">
        <f>#REF!</f>
        <v>#REF!</v>
      </c>
      <c r="F121" s="65" t="e">
        <f>+D121*E121</f>
        <v>#REF!</v>
      </c>
    </row>
    <row r="122" spans="1:189" ht="15.95" customHeight="1">
      <c r="A122" s="17" t="s">
        <v>86</v>
      </c>
      <c r="B122" s="39" t="s">
        <v>91</v>
      </c>
      <c r="C122" s="58" t="s">
        <v>1</v>
      </c>
      <c r="D122" s="83">
        <v>0</v>
      </c>
      <c r="E122" s="108" t="e">
        <f>#REF!</f>
        <v>#REF!</v>
      </c>
      <c r="F122" s="65" t="e">
        <f>+D122*E122</f>
        <v>#REF!</v>
      </c>
    </row>
    <row r="123" spans="1:189" ht="15.95" customHeight="1">
      <c r="A123" s="17" t="s">
        <v>87</v>
      </c>
      <c r="B123" s="39" t="s">
        <v>92</v>
      </c>
      <c r="C123" s="124" t="s">
        <v>1</v>
      </c>
      <c r="D123" s="156">
        <v>0</v>
      </c>
      <c r="E123" s="108" t="e">
        <f>#REF!</f>
        <v>#REF!</v>
      </c>
      <c r="F123" s="64" t="e">
        <f>+D123*E123</f>
        <v>#REF!</v>
      </c>
      <c r="H123" s="255">
        <f>882-775</f>
        <v>107</v>
      </c>
      <c r="I123" s="262">
        <v>1.05</v>
      </c>
      <c r="J123" s="255">
        <f>H123*I123</f>
        <v>112.35000000000001</v>
      </c>
    </row>
    <row r="124" spans="1:189" s="225" customFormat="1" ht="15.95" customHeight="1">
      <c r="A124" s="223" t="e">
        <f>+#REF!</f>
        <v>#REF!</v>
      </c>
      <c r="B124" s="223" t="e">
        <f>+#REF!</f>
        <v>#REF!</v>
      </c>
      <c r="C124" s="224"/>
      <c r="D124" s="200"/>
      <c r="E124" s="109"/>
      <c r="F124" s="63"/>
      <c r="H124" s="259"/>
      <c r="I124" s="262">
        <v>1.05</v>
      </c>
      <c r="J124" s="259"/>
      <c r="K124" s="226"/>
      <c r="L124" s="226"/>
      <c r="M124" s="226"/>
      <c r="N124" s="226"/>
      <c r="O124" s="226"/>
      <c r="P124" s="226"/>
      <c r="Q124" s="226"/>
      <c r="R124" s="226"/>
      <c r="S124" s="226"/>
      <c r="T124" s="226"/>
      <c r="U124" s="226"/>
      <c r="V124" s="226"/>
      <c r="W124" s="226"/>
      <c r="X124" s="226"/>
      <c r="Y124" s="226"/>
      <c r="Z124" s="226"/>
      <c r="AA124" s="226"/>
      <c r="AB124" s="226"/>
      <c r="AC124" s="226"/>
      <c r="AD124" s="226"/>
      <c r="AE124" s="226"/>
      <c r="AF124" s="226"/>
      <c r="AG124" s="226"/>
      <c r="AH124" s="226"/>
      <c r="AI124" s="226"/>
      <c r="AJ124" s="226"/>
      <c r="AK124" s="226"/>
      <c r="AL124" s="226"/>
      <c r="AM124" s="226"/>
      <c r="AN124" s="226"/>
      <c r="AO124" s="226"/>
      <c r="AP124" s="226"/>
      <c r="AQ124" s="226"/>
      <c r="AR124" s="226"/>
      <c r="AS124" s="226"/>
      <c r="AT124" s="226"/>
      <c r="AU124" s="226"/>
      <c r="AV124" s="226"/>
      <c r="AW124" s="226"/>
      <c r="AX124" s="226"/>
      <c r="AY124" s="226"/>
      <c r="AZ124" s="226"/>
      <c r="BA124" s="226"/>
      <c r="BB124" s="226"/>
      <c r="BC124" s="226"/>
      <c r="BD124" s="226"/>
      <c r="BE124" s="226"/>
      <c r="BF124" s="226"/>
      <c r="BG124" s="226"/>
      <c r="BH124" s="226"/>
      <c r="BI124" s="226"/>
      <c r="BJ124" s="226"/>
      <c r="BK124" s="226"/>
      <c r="BL124" s="226"/>
      <c r="BM124" s="226"/>
      <c r="BN124" s="226"/>
      <c r="BO124" s="226"/>
      <c r="BP124" s="226"/>
      <c r="BQ124" s="226"/>
      <c r="BR124" s="226"/>
      <c r="BS124" s="226"/>
      <c r="BT124" s="226"/>
      <c r="BU124" s="226"/>
      <c r="BV124" s="226"/>
      <c r="BW124" s="226"/>
      <c r="BX124" s="226"/>
      <c r="BY124" s="226"/>
      <c r="BZ124" s="226"/>
      <c r="CA124" s="226"/>
      <c r="CB124" s="226"/>
      <c r="CC124" s="226"/>
      <c r="CD124" s="226"/>
      <c r="CE124" s="226"/>
      <c r="CF124" s="226"/>
      <c r="CG124" s="226"/>
      <c r="CH124" s="226"/>
      <c r="CI124" s="226"/>
      <c r="CJ124" s="226"/>
      <c r="CK124" s="226"/>
      <c r="CL124" s="226"/>
      <c r="CM124" s="226"/>
      <c r="CN124" s="226"/>
      <c r="CO124" s="226"/>
      <c r="CP124" s="226"/>
      <c r="CQ124" s="226"/>
      <c r="CR124" s="226"/>
      <c r="CS124" s="226"/>
      <c r="CT124" s="226"/>
      <c r="CU124" s="226"/>
      <c r="CV124" s="226"/>
      <c r="CW124" s="226"/>
      <c r="CX124" s="226"/>
      <c r="CY124" s="226"/>
      <c r="CZ124" s="226"/>
      <c r="DA124" s="226"/>
      <c r="DB124" s="226"/>
      <c r="DC124" s="226"/>
      <c r="DD124" s="226"/>
      <c r="DE124" s="226"/>
      <c r="DF124" s="226"/>
      <c r="DG124" s="226"/>
      <c r="DH124" s="226"/>
      <c r="DI124" s="226"/>
      <c r="DJ124" s="226"/>
      <c r="DK124" s="226"/>
      <c r="DL124" s="226"/>
      <c r="DM124" s="226"/>
      <c r="DN124" s="226"/>
      <c r="DO124" s="226"/>
      <c r="DP124" s="226"/>
      <c r="DQ124" s="226"/>
      <c r="DR124" s="226"/>
      <c r="DS124" s="226"/>
      <c r="DT124" s="226"/>
      <c r="DU124" s="226"/>
      <c r="DV124" s="226"/>
      <c r="DW124" s="226"/>
      <c r="DX124" s="226"/>
      <c r="DY124" s="226"/>
      <c r="DZ124" s="226"/>
      <c r="EA124" s="226"/>
      <c r="EB124" s="226"/>
      <c r="EC124" s="226"/>
      <c r="ED124" s="226"/>
      <c r="EE124" s="226"/>
      <c r="EF124" s="226"/>
      <c r="EG124" s="226"/>
      <c r="EH124" s="226"/>
      <c r="EI124" s="226"/>
      <c r="EJ124" s="226"/>
      <c r="EK124" s="226"/>
      <c r="EL124" s="226"/>
      <c r="EM124" s="226"/>
      <c r="EN124" s="226"/>
      <c r="EO124" s="226"/>
      <c r="EP124" s="226"/>
      <c r="EQ124" s="226"/>
      <c r="ER124" s="226"/>
      <c r="ES124" s="226"/>
      <c r="ET124" s="226"/>
      <c r="EU124" s="226"/>
      <c r="EV124" s="226"/>
      <c r="EW124" s="226"/>
      <c r="EX124" s="226"/>
      <c r="EY124" s="226"/>
      <c r="EZ124" s="226"/>
      <c r="FA124" s="226"/>
      <c r="FB124" s="226"/>
      <c r="FC124" s="226"/>
      <c r="FD124" s="226"/>
      <c r="FE124" s="226"/>
      <c r="FF124" s="226"/>
      <c r="FG124" s="226"/>
      <c r="FH124" s="226"/>
      <c r="FI124" s="226"/>
      <c r="FJ124" s="226"/>
      <c r="FK124" s="226"/>
      <c r="FL124" s="226"/>
      <c r="FM124" s="226"/>
      <c r="FN124" s="226"/>
      <c r="FO124" s="226"/>
      <c r="FP124" s="226"/>
      <c r="FQ124" s="226"/>
      <c r="FR124" s="226"/>
      <c r="FS124" s="226"/>
      <c r="FT124" s="226"/>
      <c r="FU124" s="226"/>
      <c r="FV124" s="226"/>
      <c r="FW124" s="226"/>
      <c r="FX124" s="226"/>
      <c r="FY124" s="226"/>
      <c r="FZ124" s="226"/>
      <c r="GA124" s="226"/>
      <c r="GB124" s="226"/>
      <c r="GC124" s="226"/>
      <c r="GD124" s="226"/>
      <c r="GE124" s="226"/>
      <c r="GF124" s="226"/>
      <c r="GG124" s="226"/>
    </row>
    <row r="125" spans="1:189" s="225" customFormat="1" ht="15.75" customHeight="1">
      <c r="A125" s="39" t="e">
        <f>+#REF!</f>
        <v>#REF!</v>
      </c>
      <c r="B125" s="39" t="e">
        <f>+#REF!</f>
        <v>#REF!</v>
      </c>
      <c r="C125" s="228" t="s">
        <v>1</v>
      </c>
      <c r="D125" s="138">
        <f>J125</f>
        <v>346.5</v>
      </c>
      <c r="E125" s="108" t="e">
        <f>+#REF!</f>
        <v>#REF!</v>
      </c>
      <c r="F125" s="65" t="e">
        <f>+D125*E125</f>
        <v>#REF!</v>
      </c>
      <c r="H125" s="259">
        <f>F3</f>
        <v>330</v>
      </c>
      <c r="I125" s="262">
        <v>1.05</v>
      </c>
      <c r="J125" s="259">
        <f>H125*I125</f>
        <v>346.5</v>
      </c>
      <c r="K125" s="226"/>
      <c r="L125" s="226"/>
      <c r="M125" s="226"/>
      <c r="N125" s="226"/>
      <c r="O125" s="226"/>
      <c r="P125" s="226"/>
      <c r="Q125" s="226"/>
      <c r="R125" s="226"/>
      <c r="S125" s="226"/>
      <c r="T125" s="226"/>
      <c r="U125" s="226"/>
      <c r="V125" s="226"/>
      <c r="W125" s="226"/>
      <c r="X125" s="226"/>
      <c r="Y125" s="226"/>
      <c r="Z125" s="226"/>
      <c r="AA125" s="226"/>
      <c r="AB125" s="226"/>
      <c r="AC125" s="226"/>
      <c r="AD125" s="226"/>
      <c r="AE125" s="226"/>
      <c r="AF125" s="226"/>
      <c r="AG125" s="226"/>
      <c r="AH125" s="226"/>
      <c r="AI125" s="226"/>
      <c r="AJ125" s="226"/>
      <c r="AK125" s="226"/>
      <c r="AL125" s="226"/>
      <c r="AM125" s="226"/>
      <c r="AN125" s="226"/>
      <c r="AO125" s="226"/>
      <c r="AP125" s="226"/>
      <c r="AQ125" s="226"/>
      <c r="AR125" s="226"/>
      <c r="AS125" s="226"/>
      <c r="AT125" s="226"/>
      <c r="AU125" s="226"/>
      <c r="AV125" s="226"/>
      <c r="AW125" s="226"/>
      <c r="AX125" s="226"/>
      <c r="AY125" s="226"/>
      <c r="AZ125" s="226"/>
      <c r="BA125" s="226"/>
      <c r="BB125" s="226"/>
      <c r="BC125" s="226"/>
      <c r="BD125" s="226"/>
      <c r="BE125" s="226"/>
      <c r="BF125" s="226"/>
      <c r="BG125" s="226"/>
      <c r="BH125" s="226"/>
      <c r="BI125" s="226"/>
      <c r="BJ125" s="226"/>
      <c r="BK125" s="226"/>
      <c r="BL125" s="226"/>
      <c r="BM125" s="226"/>
      <c r="BN125" s="226"/>
      <c r="BO125" s="226"/>
      <c r="BP125" s="226"/>
      <c r="BQ125" s="226"/>
      <c r="BR125" s="226"/>
      <c r="BS125" s="226"/>
      <c r="BT125" s="226"/>
      <c r="BU125" s="226"/>
      <c r="BV125" s="226"/>
      <c r="BW125" s="226"/>
      <c r="BX125" s="226"/>
      <c r="BY125" s="226"/>
      <c r="BZ125" s="226"/>
      <c r="CA125" s="226"/>
      <c r="CB125" s="226"/>
      <c r="CC125" s="226"/>
      <c r="CD125" s="226"/>
      <c r="CE125" s="226"/>
      <c r="CF125" s="226"/>
      <c r="CG125" s="226"/>
      <c r="CH125" s="226"/>
      <c r="CI125" s="226"/>
      <c r="CJ125" s="226"/>
      <c r="CK125" s="226"/>
      <c r="CL125" s="226"/>
      <c r="CM125" s="226"/>
      <c r="CN125" s="226"/>
      <c r="CO125" s="226"/>
      <c r="CP125" s="226"/>
      <c r="CQ125" s="226"/>
      <c r="CR125" s="226"/>
      <c r="CS125" s="226"/>
      <c r="CT125" s="226"/>
      <c r="CU125" s="226"/>
      <c r="CV125" s="226"/>
      <c r="CW125" s="226"/>
      <c r="CX125" s="226"/>
      <c r="CY125" s="226"/>
      <c r="CZ125" s="226"/>
      <c r="DA125" s="226"/>
      <c r="DB125" s="226"/>
      <c r="DC125" s="226"/>
      <c r="DD125" s="226"/>
      <c r="DE125" s="226"/>
      <c r="DF125" s="226"/>
      <c r="DG125" s="226"/>
      <c r="DH125" s="226"/>
      <c r="DI125" s="226"/>
      <c r="DJ125" s="226"/>
      <c r="DK125" s="226"/>
      <c r="DL125" s="226"/>
      <c r="DM125" s="226"/>
      <c r="DN125" s="226"/>
      <c r="DO125" s="226"/>
      <c r="DP125" s="226"/>
      <c r="DQ125" s="226"/>
      <c r="DR125" s="226"/>
      <c r="DS125" s="226"/>
      <c r="DT125" s="226"/>
      <c r="DU125" s="226"/>
      <c r="DV125" s="226"/>
      <c r="DW125" s="226"/>
      <c r="DX125" s="226"/>
      <c r="DY125" s="226"/>
      <c r="DZ125" s="226"/>
      <c r="EA125" s="226"/>
      <c r="EB125" s="226"/>
      <c r="EC125" s="226"/>
      <c r="ED125" s="226"/>
      <c r="EE125" s="226"/>
      <c r="EF125" s="226"/>
      <c r="EG125" s="226"/>
      <c r="EH125" s="226"/>
      <c r="EI125" s="226"/>
      <c r="EJ125" s="226"/>
      <c r="EK125" s="226"/>
      <c r="EL125" s="226"/>
      <c r="EM125" s="226"/>
      <c r="EN125" s="226"/>
      <c r="EO125" s="226"/>
      <c r="EP125" s="226"/>
      <c r="EQ125" s="226"/>
      <c r="ER125" s="226"/>
      <c r="ES125" s="226"/>
      <c r="ET125" s="226"/>
      <c r="EU125" s="226"/>
      <c r="EV125" s="226"/>
      <c r="EW125" s="226"/>
      <c r="EX125" s="226"/>
      <c r="EY125" s="226"/>
      <c r="EZ125" s="226"/>
      <c r="FA125" s="226"/>
      <c r="FB125" s="226"/>
      <c r="FC125" s="226"/>
      <c r="FD125" s="226"/>
      <c r="FE125" s="226"/>
      <c r="FF125" s="226"/>
      <c r="FG125" s="226"/>
      <c r="FH125" s="226"/>
      <c r="FI125" s="226"/>
      <c r="FJ125" s="226"/>
      <c r="FK125" s="226"/>
      <c r="FL125" s="226"/>
      <c r="FM125" s="226"/>
      <c r="FN125" s="226"/>
      <c r="FO125" s="226"/>
      <c r="FP125" s="226"/>
      <c r="FQ125" s="226"/>
      <c r="FR125" s="226"/>
      <c r="FS125" s="226"/>
      <c r="FT125" s="226"/>
      <c r="FU125" s="226"/>
      <c r="FV125" s="226"/>
      <c r="FW125" s="226"/>
      <c r="FX125" s="226"/>
      <c r="FY125" s="226"/>
      <c r="FZ125" s="226"/>
      <c r="GA125" s="226"/>
      <c r="GB125" s="226"/>
      <c r="GC125" s="226"/>
      <c r="GD125" s="226"/>
      <c r="GE125" s="226"/>
      <c r="GF125" s="226"/>
      <c r="GG125" s="226"/>
    </row>
    <row r="126" spans="1:189" s="225" customFormat="1" ht="15.95" customHeight="1">
      <c r="A126" s="26" t="e">
        <f>+#REF!</f>
        <v>#REF!</v>
      </c>
      <c r="B126" s="26" t="e">
        <f>+#REF!</f>
        <v>#REF!</v>
      </c>
      <c r="C126" s="228"/>
      <c r="D126" s="138"/>
      <c r="E126" s="108"/>
      <c r="F126" s="65"/>
      <c r="H126" s="259"/>
      <c r="I126" s="262">
        <v>1.05</v>
      </c>
      <c r="J126" s="259"/>
      <c r="K126" s="226"/>
      <c r="L126" s="226"/>
      <c r="M126" s="226"/>
      <c r="N126" s="226"/>
      <c r="O126" s="226"/>
      <c r="P126" s="226"/>
      <c r="Q126" s="226"/>
      <c r="R126" s="226"/>
      <c r="S126" s="226"/>
      <c r="T126" s="226"/>
      <c r="U126" s="226"/>
      <c r="V126" s="226"/>
      <c r="W126" s="226"/>
      <c r="X126" s="226"/>
      <c r="Y126" s="226"/>
      <c r="Z126" s="226"/>
      <c r="AA126" s="226"/>
      <c r="AB126" s="226"/>
      <c r="AC126" s="226"/>
      <c r="AD126" s="226"/>
      <c r="AE126" s="226"/>
      <c r="AF126" s="226"/>
      <c r="AG126" s="226"/>
      <c r="AH126" s="226"/>
      <c r="AI126" s="226"/>
      <c r="AJ126" s="226"/>
      <c r="AK126" s="226"/>
      <c r="AL126" s="226"/>
      <c r="AM126" s="226"/>
      <c r="AN126" s="226"/>
      <c r="AO126" s="226"/>
      <c r="AP126" s="226"/>
      <c r="AQ126" s="226"/>
      <c r="AR126" s="226"/>
      <c r="AS126" s="226"/>
      <c r="AT126" s="226"/>
      <c r="AU126" s="226"/>
      <c r="AV126" s="226"/>
      <c r="AW126" s="226"/>
      <c r="AX126" s="226"/>
      <c r="AY126" s="226"/>
      <c r="AZ126" s="226"/>
      <c r="BA126" s="226"/>
      <c r="BB126" s="226"/>
      <c r="BC126" s="226"/>
      <c r="BD126" s="226"/>
      <c r="BE126" s="226"/>
      <c r="BF126" s="226"/>
      <c r="BG126" s="226"/>
      <c r="BH126" s="226"/>
      <c r="BI126" s="226"/>
      <c r="BJ126" s="226"/>
      <c r="BK126" s="226"/>
      <c r="BL126" s="226"/>
      <c r="BM126" s="226"/>
      <c r="BN126" s="226"/>
      <c r="BO126" s="226"/>
      <c r="BP126" s="226"/>
      <c r="BQ126" s="226"/>
      <c r="BR126" s="226"/>
      <c r="BS126" s="226"/>
      <c r="BT126" s="226"/>
      <c r="BU126" s="226"/>
      <c r="BV126" s="226"/>
      <c r="BW126" s="226"/>
      <c r="BX126" s="226"/>
      <c r="BY126" s="226"/>
      <c r="BZ126" s="226"/>
      <c r="CA126" s="226"/>
      <c r="CB126" s="226"/>
      <c r="CC126" s="226"/>
      <c r="CD126" s="226"/>
      <c r="CE126" s="226"/>
      <c r="CF126" s="226"/>
      <c r="CG126" s="226"/>
      <c r="CH126" s="226"/>
      <c r="CI126" s="226"/>
      <c r="CJ126" s="226"/>
      <c r="CK126" s="226"/>
      <c r="CL126" s="226"/>
      <c r="CM126" s="226"/>
      <c r="CN126" s="226"/>
      <c r="CO126" s="226"/>
      <c r="CP126" s="226"/>
      <c r="CQ126" s="226"/>
      <c r="CR126" s="226"/>
      <c r="CS126" s="226"/>
      <c r="CT126" s="226"/>
      <c r="CU126" s="226"/>
      <c r="CV126" s="226"/>
      <c r="CW126" s="226"/>
      <c r="CX126" s="226"/>
      <c r="CY126" s="226"/>
      <c r="CZ126" s="226"/>
      <c r="DA126" s="226"/>
      <c r="DB126" s="226"/>
      <c r="DC126" s="226"/>
      <c r="DD126" s="226"/>
      <c r="DE126" s="226"/>
      <c r="DF126" s="226"/>
      <c r="DG126" s="226"/>
      <c r="DH126" s="226"/>
      <c r="DI126" s="226"/>
      <c r="DJ126" s="226"/>
      <c r="DK126" s="226"/>
      <c r="DL126" s="226"/>
      <c r="DM126" s="226"/>
      <c r="DN126" s="226"/>
      <c r="DO126" s="226"/>
      <c r="DP126" s="226"/>
      <c r="DQ126" s="226"/>
      <c r="DR126" s="226"/>
      <c r="DS126" s="226"/>
      <c r="DT126" s="226"/>
      <c r="DU126" s="226"/>
      <c r="DV126" s="226"/>
      <c r="DW126" s="226"/>
      <c r="DX126" s="226"/>
      <c r="DY126" s="226"/>
      <c r="DZ126" s="226"/>
      <c r="EA126" s="226"/>
      <c r="EB126" s="226"/>
      <c r="EC126" s="226"/>
      <c r="ED126" s="226"/>
      <c r="EE126" s="226"/>
      <c r="EF126" s="226"/>
      <c r="EG126" s="226"/>
      <c r="EH126" s="226"/>
      <c r="EI126" s="226"/>
      <c r="EJ126" s="226"/>
      <c r="EK126" s="226"/>
      <c r="EL126" s="226"/>
      <c r="EM126" s="226"/>
      <c r="EN126" s="226"/>
      <c r="EO126" s="226"/>
      <c r="EP126" s="226"/>
      <c r="EQ126" s="226"/>
      <c r="ER126" s="226"/>
      <c r="ES126" s="226"/>
      <c r="ET126" s="226"/>
      <c r="EU126" s="226"/>
      <c r="EV126" s="226"/>
      <c r="EW126" s="226"/>
      <c r="EX126" s="226"/>
      <c r="EY126" s="226"/>
      <c r="EZ126" s="226"/>
      <c r="FA126" s="226"/>
      <c r="FB126" s="226"/>
      <c r="FC126" s="226"/>
      <c r="FD126" s="226"/>
      <c r="FE126" s="226"/>
      <c r="FF126" s="226"/>
      <c r="FG126" s="226"/>
      <c r="FH126" s="226"/>
      <c r="FI126" s="226"/>
      <c r="FJ126" s="226"/>
      <c r="FK126" s="226"/>
      <c r="FL126" s="226"/>
      <c r="FM126" s="226"/>
      <c r="FN126" s="226"/>
      <c r="FO126" s="226"/>
      <c r="FP126" s="226"/>
      <c r="FQ126" s="226"/>
      <c r="FR126" s="226"/>
      <c r="FS126" s="226"/>
      <c r="FT126" s="226"/>
      <c r="FU126" s="226"/>
      <c r="FV126" s="226"/>
      <c r="FW126" s="226"/>
      <c r="FX126" s="226"/>
      <c r="FY126" s="226"/>
      <c r="FZ126" s="226"/>
      <c r="GA126" s="226"/>
      <c r="GB126" s="226"/>
      <c r="GC126" s="226"/>
      <c r="GD126" s="226"/>
      <c r="GE126" s="226"/>
      <c r="GF126" s="226"/>
      <c r="GG126" s="226"/>
    </row>
    <row r="127" spans="1:189" s="205" customFormat="1" ht="15.95" customHeight="1">
      <c r="A127" s="193" t="e">
        <f>+#REF!</f>
        <v>#REF!</v>
      </c>
      <c r="B127" s="193" t="e">
        <f>+#REF!</f>
        <v>#REF!</v>
      </c>
      <c r="C127" s="321" t="s">
        <v>1</v>
      </c>
      <c r="D127" s="274">
        <f>J127</f>
        <v>141.75</v>
      </c>
      <c r="E127" s="140" t="e">
        <f>+#REF!</f>
        <v>#REF!</v>
      </c>
      <c r="F127" s="314" t="e">
        <f>+D127*E127</f>
        <v>#REF!</v>
      </c>
      <c r="H127" s="258">
        <f>F4</f>
        <v>135</v>
      </c>
      <c r="I127" s="262">
        <v>1.05</v>
      </c>
      <c r="J127" s="258">
        <f>H127*I127</f>
        <v>141.75</v>
      </c>
    </row>
    <row r="128" spans="1:189" s="225" customFormat="1" ht="15.95" customHeight="1">
      <c r="A128" s="17"/>
      <c r="B128" s="39"/>
      <c r="C128" s="228"/>
      <c r="D128" s="138"/>
      <c r="E128" s="140"/>
      <c r="F128" s="65"/>
      <c r="H128" s="259"/>
      <c r="I128" s="262">
        <v>1.05</v>
      </c>
      <c r="J128" s="259"/>
      <c r="K128" s="226"/>
      <c r="L128" s="226"/>
      <c r="M128" s="226"/>
      <c r="N128" s="226"/>
      <c r="O128" s="226"/>
      <c r="P128" s="226"/>
      <c r="Q128" s="226"/>
      <c r="R128" s="226"/>
      <c r="S128" s="226"/>
      <c r="T128" s="226"/>
      <c r="U128" s="226"/>
      <c r="V128" s="226"/>
      <c r="W128" s="226"/>
      <c r="X128" s="226"/>
      <c r="Y128" s="226"/>
      <c r="Z128" s="226"/>
      <c r="AA128" s="226"/>
      <c r="AB128" s="226"/>
      <c r="AC128" s="226"/>
      <c r="AD128" s="226"/>
      <c r="AE128" s="226"/>
      <c r="AF128" s="226"/>
      <c r="AG128" s="226"/>
      <c r="AH128" s="226"/>
      <c r="AI128" s="226"/>
      <c r="AJ128" s="226"/>
      <c r="AK128" s="226"/>
      <c r="AL128" s="226"/>
      <c r="AM128" s="226"/>
      <c r="AN128" s="226"/>
      <c r="AO128" s="226"/>
      <c r="AP128" s="226"/>
      <c r="AQ128" s="226"/>
      <c r="AR128" s="226"/>
      <c r="AS128" s="226"/>
      <c r="AT128" s="226"/>
      <c r="AU128" s="226"/>
      <c r="AV128" s="226"/>
      <c r="AW128" s="226"/>
      <c r="AX128" s="226"/>
      <c r="AY128" s="226"/>
      <c r="AZ128" s="226"/>
      <c r="BA128" s="226"/>
      <c r="BB128" s="226"/>
      <c r="BC128" s="226"/>
      <c r="BD128" s="226"/>
      <c r="BE128" s="226"/>
      <c r="BF128" s="226"/>
      <c r="BG128" s="226"/>
      <c r="BH128" s="226"/>
      <c r="BI128" s="226"/>
      <c r="BJ128" s="226"/>
      <c r="BK128" s="226"/>
      <c r="BL128" s="226"/>
      <c r="BM128" s="226"/>
      <c r="BN128" s="226"/>
      <c r="BO128" s="226"/>
      <c r="BP128" s="226"/>
      <c r="BQ128" s="226"/>
      <c r="BR128" s="226"/>
      <c r="BS128" s="226"/>
      <c r="BT128" s="226"/>
      <c r="BU128" s="226"/>
      <c r="BV128" s="226"/>
      <c r="BW128" s="226"/>
      <c r="BX128" s="226"/>
      <c r="BY128" s="226"/>
      <c r="BZ128" s="226"/>
      <c r="CA128" s="226"/>
      <c r="CB128" s="226"/>
      <c r="CC128" s="226"/>
      <c r="CD128" s="226"/>
      <c r="CE128" s="226"/>
      <c r="CF128" s="226"/>
      <c r="CG128" s="226"/>
      <c r="CH128" s="226"/>
      <c r="CI128" s="226"/>
      <c r="CJ128" s="226"/>
      <c r="CK128" s="226"/>
      <c r="CL128" s="226"/>
      <c r="CM128" s="226"/>
      <c r="CN128" s="226"/>
      <c r="CO128" s="226"/>
      <c r="CP128" s="226"/>
      <c r="CQ128" s="226"/>
      <c r="CR128" s="226"/>
      <c r="CS128" s="226"/>
      <c r="CT128" s="226"/>
      <c r="CU128" s="226"/>
      <c r="CV128" s="226"/>
      <c r="CW128" s="226"/>
      <c r="CX128" s="226"/>
      <c r="CY128" s="226"/>
      <c r="CZ128" s="226"/>
      <c r="DA128" s="226"/>
      <c r="DB128" s="226"/>
      <c r="DC128" s="226"/>
      <c r="DD128" s="226"/>
      <c r="DE128" s="226"/>
      <c r="DF128" s="226"/>
      <c r="DG128" s="226"/>
      <c r="DH128" s="226"/>
      <c r="DI128" s="226"/>
      <c r="DJ128" s="226"/>
      <c r="DK128" s="226"/>
      <c r="DL128" s="226"/>
      <c r="DM128" s="226"/>
      <c r="DN128" s="226"/>
      <c r="DO128" s="226"/>
      <c r="DP128" s="226"/>
      <c r="DQ128" s="226"/>
      <c r="DR128" s="226"/>
      <c r="DS128" s="226"/>
      <c r="DT128" s="226"/>
      <c r="DU128" s="226"/>
      <c r="DV128" s="226"/>
      <c r="DW128" s="226"/>
      <c r="DX128" s="226"/>
      <c r="DY128" s="226"/>
      <c r="DZ128" s="226"/>
      <c r="EA128" s="226"/>
      <c r="EB128" s="226"/>
      <c r="EC128" s="226"/>
      <c r="ED128" s="226"/>
      <c r="EE128" s="226"/>
      <c r="EF128" s="226"/>
      <c r="EG128" s="226"/>
      <c r="EH128" s="226"/>
      <c r="EI128" s="226"/>
      <c r="EJ128" s="226"/>
      <c r="EK128" s="226"/>
      <c r="EL128" s="226"/>
      <c r="EM128" s="226"/>
      <c r="EN128" s="226"/>
      <c r="EO128" s="226"/>
      <c r="EP128" s="226"/>
      <c r="EQ128" s="226"/>
      <c r="ER128" s="226"/>
      <c r="ES128" s="226"/>
      <c r="ET128" s="226"/>
      <c r="EU128" s="226"/>
      <c r="EV128" s="226"/>
      <c r="EW128" s="226"/>
      <c r="EX128" s="226"/>
      <c r="EY128" s="226"/>
      <c r="EZ128" s="226"/>
      <c r="FA128" s="226"/>
      <c r="FB128" s="226"/>
      <c r="FC128" s="226"/>
      <c r="FD128" s="226"/>
      <c r="FE128" s="226"/>
      <c r="FF128" s="226"/>
      <c r="FG128" s="226"/>
      <c r="FH128" s="226"/>
      <c r="FI128" s="226"/>
      <c r="FJ128" s="226"/>
      <c r="FK128" s="226"/>
      <c r="FL128" s="226"/>
      <c r="FM128" s="226"/>
      <c r="FN128" s="226"/>
      <c r="FO128" s="226"/>
      <c r="FP128" s="226"/>
      <c r="FQ128" s="226"/>
      <c r="FR128" s="226"/>
      <c r="FS128" s="226"/>
      <c r="FT128" s="226"/>
      <c r="FU128" s="226"/>
      <c r="FV128" s="226"/>
      <c r="FW128" s="226"/>
      <c r="FX128" s="226"/>
      <c r="FY128" s="226"/>
      <c r="FZ128" s="226"/>
      <c r="GA128" s="226"/>
      <c r="GB128" s="226"/>
      <c r="GC128" s="226"/>
      <c r="GD128" s="226"/>
      <c r="GE128" s="226"/>
      <c r="GF128" s="226"/>
      <c r="GG128" s="226"/>
    </row>
    <row r="129" spans="1:189" s="198" customFormat="1" ht="15.95" customHeight="1">
      <c r="A129" s="432" t="e">
        <f>+#REF!</f>
        <v>#REF!</v>
      </c>
      <c r="B129" s="432" t="e">
        <f>+#REF!</f>
        <v>#REF!</v>
      </c>
      <c r="C129" s="224"/>
      <c r="D129" s="200"/>
      <c r="E129" s="109"/>
      <c r="F129" s="63"/>
      <c r="G129" s="225"/>
      <c r="H129" s="259"/>
      <c r="I129" s="262">
        <v>1.05</v>
      </c>
      <c r="J129" s="259"/>
      <c r="K129" s="199"/>
      <c r="L129" s="199"/>
      <c r="M129" s="199"/>
      <c r="N129" s="199"/>
      <c r="O129" s="199"/>
      <c r="P129" s="199"/>
      <c r="Q129" s="199"/>
      <c r="R129" s="199"/>
      <c r="S129" s="199"/>
      <c r="T129" s="199"/>
      <c r="U129" s="199"/>
      <c r="V129" s="199"/>
      <c r="W129" s="199"/>
      <c r="X129" s="199"/>
      <c r="Y129" s="199"/>
      <c r="Z129" s="199"/>
      <c r="AA129" s="199"/>
      <c r="AB129" s="199"/>
      <c r="AC129" s="199"/>
      <c r="AD129" s="199"/>
      <c r="AE129" s="199"/>
      <c r="AF129" s="199"/>
      <c r="AG129" s="199"/>
      <c r="AH129" s="199"/>
      <c r="AI129" s="199"/>
      <c r="AJ129" s="199"/>
      <c r="AK129" s="199"/>
      <c r="AL129" s="199"/>
      <c r="AM129" s="199"/>
      <c r="AN129" s="199"/>
      <c r="AO129" s="199"/>
      <c r="AP129" s="199"/>
      <c r="AQ129" s="199"/>
      <c r="AR129" s="199"/>
      <c r="AS129" s="199"/>
      <c r="AT129" s="199"/>
      <c r="AU129" s="199"/>
      <c r="AV129" s="199"/>
      <c r="AW129" s="199"/>
      <c r="AX129" s="199"/>
      <c r="AY129" s="199"/>
      <c r="AZ129" s="199"/>
      <c r="BA129" s="199"/>
      <c r="BB129" s="199"/>
      <c r="BC129" s="199"/>
      <c r="BD129" s="199"/>
      <c r="BE129" s="199"/>
      <c r="BF129" s="199"/>
      <c r="BG129" s="199"/>
      <c r="BH129" s="199"/>
      <c r="BI129" s="199"/>
      <c r="BJ129" s="199"/>
      <c r="BK129" s="199"/>
      <c r="BL129" s="199"/>
      <c r="BM129" s="199"/>
      <c r="BN129" s="199"/>
      <c r="BO129" s="199"/>
      <c r="BP129" s="199"/>
      <c r="BQ129" s="199"/>
      <c r="BR129" s="199"/>
      <c r="BS129" s="199"/>
      <c r="BT129" s="199"/>
      <c r="BU129" s="199"/>
      <c r="BV129" s="199"/>
      <c r="BW129" s="199"/>
      <c r="BX129" s="199"/>
      <c r="BY129" s="199"/>
      <c r="BZ129" s="199"/>
      <c r="CA129" s="199"/>
      <c r="CB129" s="199"/>
      <c r="CC129" s="199"/>
      <c r="CD129" s="199"/>
      <c r="CE129" s="199"/>
      <c r="CF129" s="199"/>
      <c r="CG129" s="199"/>
      <c r="CH129" s="199"/>
      <c r="CI129" s="199"/>
      <c r="CJ129" s="199"/>
      <c r="CK129" s="199"/>
      <c r="CL129" s="199"/>
      <c r="CM129" s="199"/>
      <c r="CN129" s="199"/>
      <c r="CO129" s="199"/>
      <c r="CP129" s="199"/>
      <c r="CQ129" s="199"/>
      <c r="CR129" s="199"/>
      <c r="CS129" s="199"/>
      <c r="CT129" s="199"/>
      <c r="CU129" s="199"/>
      <c r="CV129" s="199"/>
      <c r="CW129" s="199"/>
      <c r="CX129" s="199"/>
      <c r="CY129" s="199"/>
      <c r="CZ129" s="199"/>
      <c r="DA129" s="199"/>
      <c r="DB129" s="199"/>
      <c r="DC129" s="199"/>
      <c r="DD129" s="199"/>
      <c r="DE129" s="199"/>
      <c r="DF129" s="199"/>
      <c r="DG129" s="199"/>
      <c r="DH129" s="199"/>
      <c r="DI129" s="199"/>
      <c r="DJ129" s="199"/>
      <c r="DK129" s="199"/>
      <c r="DL129" s="199"/>
      <c r="DM129" s="199"/>
      <c r="DN129" s="199"/>
      <c r="DO129" s="199"/>
      <c r="DP129" s="199"/>
      <c r="DQ129" s="199"/>
      <c r="DR129" s="199"/>
      <c r="DS129" s="199"/>
      <c r="DT129" s="199"/>
      <c r="DU129" s="199"/>
      <c r="DV129" s="199"/>
      <c r="DW129" s="199"/>
      <c r="DX129" s="199"/>
      <c r="DY129" s="199"/>
      <c r="DZ129" s="199"/>
      <c r="EA129" s="199"/>
      <c r="EB129" s="199"/>
      <c r="EC129" s="199"/>
      <c r="ED129" s="199"/>
      <c r="EE129" s="199"/>
      <c r="EF129" s="199"/>
      <c r="EG129" s="199"/>
      <c r="EH129" s="199"/>
      <c r="EI129" s="199"/>
      <c r="EJ129" s="199"/>
      <c r="EK129" s="199"/>
      <c r="EL129" s="199"/>
      <c r="EM129" s="199"/>
      <c r="EN129" s="199"/>
      <c r="EO129" s="199"/>
      <c r="EP129" s="199"/>
      <c r="EQ129" s="199"/>
      <c r="ER129" s="199"/>
      <c r="ES129" s="199"/>
      <c r="ET129" s="199"/>
      <c r="EU129" s="199"/>
      <c r="EV129" s="199"/>
      <c r="EW129" s="199"/>
      <c r="EX129" s="199"/>
      <c r="EY129" s="199"/>
      <c r="EZ129" s="199"/>
      <c r="FA129" s="199"/>
      <c r="FB129" s="199"/>
      <c r="FC129" s="199"/>
      <c r="FD129" s="199"/>
      <c r="FE129" s="199"/>
      <c r="FF129" s="199"/>
      <c r="FG129" s="199"/>
      <c r="FH129" s="199"/>
      <c r="FI129" s="199"/>
      <c r="FJ129" s="199"/>
      <c r="FK129" s="199"/>
      <c r="FL129" s="199"/>
      <c r="FM129" s="199"/>
      <c r="FN129" s="199"/>
      <c r="FO129" s="199"/>
      <c r="FP129" s="199"/>
      <c r="FQ129" s="199"/>
      <c r="FR129" s="199"/>
      <c r="FS129" s="199"/>
      <c r="FT129" s="199"/>
      <c r="FU129" s="199"/>
      <c r="FV129" s="199"/>
      <c r="FW129" s="199"/>
      <c r="FX129" s="199"/>
      <c r="FY129" s="199"/>
      <c r="FZ129" s="199"/>
      <c r="GA129" s="199"/>
      <c r="GB129" s="199"/>
      <c r="GC129" s="199"/>
      <c r="GD129" s="199"/>
      <c r="GE129" s="199"/>
      <c r="GF129" s="199"/>
      <c r="GG129" s="199"/>
    </row>
    <row r="130" spans="1:189" s="225" customFormat="1" ht="15.95" customHeight="1">
      <c r="A130" s="39" t="e">
        <f>+#REF!</f>
        <v>#REF!</v>
      </c>
      <c r="B130" s="39" t="e">
        <f>+#REF!</f>
        <v>#REF!</v>
      </c>
      <c r="C130" s="228" t="s">
        <v>1</v>
      </c>
      <c r="D130" s="138">
        <f>J130</f>
        <v>29.400000000000002</v>
      </c>
      <c r="E130" s="140" t="e">
        <f>#REF!</f>
        <v>#REF!</v>
      </c>
      <c r="F130" s="65" t="e">
        <f>+D130*E130</f>
        <v>#REF!</v>
      </c>
      <c r="H130" s="259">
        <f>7*4</f>
        <v>28</v>
      </c>
      <c r="I130" s="262">
        <v>1.05</v>
      </c>
      <c r="J130" s="259">
        <f>H130*I130</f>
        <v>29.400000000000002</v>
      </c>
      <c r="K130" s="226"/>
      <c r="L130" s="226"/>
      <c r="M130" s="226"/>
      <c r="N130" s="226"/>
      <c r="O130" s="226"/>
      <c r="P130" s="226"/>
      <c r="Q130" s="226"/>
      <c r="R130" s="226"/>
      <c r="S130" s="226"/>
      <c r="T130" s="226"/>
      <c r="U130" s="226"/>
      <c r="V130" s="226"/>
      <c r="W130" s="226"/>
      <c r="X130" s="226"/>
      <c r="Y130" s="226"/>
      <c r="Z130" s="226"/>
      <c r="AA130" s="226"/>
      <c r="AB130" s="226"/>
      <c r="AC130" s="226"/>
      <c r="AD130" s="226"/>
      <c r="AE130" s="226"/>
      <c r="AF130" s="226"/>
      <c r="AG130" s="226"/>
      <c r="AH130" s="226"/>
      <c r="AI130" s="226"/>
      <c r="AJ130" s="226"/>
      <c r="AK130" s="226"/>
      <c r="AL130" s="226"/>
      <c r="AM130" s="226"/>
      <c r="AN130" s="226"/>
      <c r="AO130" s="226"/>
      <c r="AP130" s="226"/>
      <c r="AQ130" s="226"/>
      <c r="AR130" s="226"/>
      <c r="AS130" s="226"/>
      <c r="AT130" s="226"/>
      <c r="AU130" s="226"/>
      <c r="AV130" s="226"/>
      <c r="AW130" s="226"/>
      <c r="AX130" s="226"/>
      <c r="AY130" s="226"/>
      <c r="AZ130" s="226"/>
      <c r="BA130" s="226"/>
      <c r="BB130" s="226"/>
      <c r="BC130" s="226"/>
      <c r="BD130" s="226"/>
      <c r="BE130" s="226"/>
      <c r="BF130" s="226"/>
      <c r="BG130" s="226"/>
      <c r="BH130" s="226"/>
      <c r="BI130" s="226"/>
      <c r="BJ130" s="226"/>
      <c r="BK130" s="226"/>
      <c r="BL130" s="226"/>
      <c r="BM130" s="226"/>
      <c r="BN130" s="226"/>
      <c r="BO130" s="226"/>
      <c r="BP130" s="226"/>
      <c r="BQ130" s="226"/>
      <c r="BR130" s="226"/>
      <c r="BS130" s="226"/>
      <c r="BT130" s="226"/>
      <c r="BU130" s="226"/>
      <c r="BV130" s="226"/>
      <c r="BW130" s="226"/>
      <c r="BX130" s="226"/>
      <c r="BY130" s="226"/>
      <c r="BZ130" s="226"/>
      <c r="CA130" s="226"/>
      <c r="CB130" s="226"/>
      <c r="CC130" s="226"/>
      <c r="CD130" s="226"/>
      <c r="CE130" s="226"/>
      <c r="CF130" s="226"/>
      <c r="CG130" s="226"/>
      <c r="CH130" s="226"/>
      <c r="CI130" s="226"/>
      <c r="CJ130" s="226"/>
      <c r="CK130" s="226"/>
      <c r="CL130" s="226"/>
      <c r="CM130" s="226"/>
      <c r="CN130" s="226"/>
      <c r="CO130" s="226"/>
      <c r="CP130" s="226"/>
      <c r="CQ130" s="226"/>
      <c r="CR130" s="226"/>
      <c r="CS130" s="226"/>
      <c r="CT130" s="226"/>
      <c r="CU130" s="226"/>
      <c r="CV130" s="226"/>
      <c r="CW130" s="226"/>
      <c r="CX130" s="226"/>
      <c r="CY130" s="226"/>
      <c r="CZ130" s="226"/>
      <c r="DA130" s="226"/>
      <c r="DB130" s="226"/>
      <c r="DC130" s="226"/>
      <c r="DD130" s="226"/>
      <c r="DE130" s="226"/>
      <c r="DF130" s="226"/>
      <c r="DG130" s="226"/>
      <c r="DH130" s="226"/>
      <c r="DI130" s="226"/>
      <c r="DJ130" s="226"/>
      <c r="DK130" s="226"/>
      <c r="DL130" s="226"/>
      <c r="DM130" s="226"/>
      <c r="DN130" s="226"/>
      <c r="DO130" s="226"/>
      <c r="DP130" s="226"/>
      <c r="DQ130" s="226"/>
      <c r="DR130" s="226"/>
      <c r="DS130" s="226"/>
      <c r="DT130" s="226"/>
      <c r="DU130" s="226"/>
      <c r="DV130" s="226"/>
      <c r="DW130" s="226"/>
      <c r="DX130" s="226"/>
      <c r="DY130" s="226"/>
      <c r="DZ130" s="226"/>
      <c r="EA130" s="226"/>
      <c r="EB130" s="226"/>
      <c r="EC130" s="226"/>
      <c r="ED130" s="226"/>
      <c r="EE130" s="226"/>
      <c r="EF130" s="226"/>
      <c r="EG130" s="226"/>
      <c r="EH130" s="226"/>
      <c r="EI130" s="226"/>
      <c r="EJ130" s="226"/>
      <c r="EK130" s="226"/>
      <c r="EL130" s="226"/>
      <c r="EM130" s="226"/>
      <c r="EN130" s="226"/>
      <c r="EO130" s="226"/>
      <c r="EP130" s="226"/>
      <c r="EQ130" s="226"/>
      <c r="ER130" s="226"/>
      <c r="ES130" s="226"/>
      <c r="ET130" s="226"/>
      <c r="EU130" s="226"/>
      <c r="EV130" s="226"/>
      <c r="EW130" s="226"/>
      <c r="EX130" s="226"/>
      <c r="EY130" s="226"/>
      <c r="EZ130" s="226"/>
      <c r="FA130" s="226"/>
      <c r="FB130" s="226"/>
      <c r="FC130" s="226"/>
      <c r="FD130" s="226"/>
      <c r="FE130" s="226"/>
      <c r="FF130" s="226"/>
      <c r="FG130" s="226"/>
      <c r="FH130" s="226"/>
      <c r="FI130" s="226"/>
      <c r="FJ130" s="226"/>
      <c r="FK130" s="226"/>
      <c r="FL130" s="226"/>
      <c r="FM130" s="226"/>
      <c r="FN130" s="226"/>
      <c r="FO130" s="226"/>
      <c r="FP130" s="226"/>
      <c r="FQ130" s="226"/>
      <c r="FR130" s="226"/>
      <c r="FS130" s="226"/>
      <c r="FT130" s="226"/>
      <c r="FU130" s="226"/>
      <c r="FV130" s="226"/>
      <c r="FW130" s="226"/>
      <c r="FX130" s="226"/>
      <c r="FY130" s="226"/>
      <c r="FZ130" s="226"/>
      <c r="GA130" s="226"/>
      <c r="GB130" s="226"/>
      <c r="GC130" s="226"/>
      <c r="GD130" s="226"/>
      <c r="GE130" s="226"/>
      <c r="GF130" s="226"/>
      <c r="GG130" s="226"/>
    </row>
    <row r="131" spans="1:189" s="225" customFormat="1" ht="15.95" customHeight="1">
      <c r="A131" s="17"/>
      <c r="B131" s="39"/>
      <c r="C131" s="228"/>
      <c r="D131" s="138"/>
      <c r="E131" s="108"/>
      <c r="F131" s="65"/>
      <c r="H131" s="259"/>
      <c r="I131" s="265"/>
      <c r="J131" s="259"/>
      <c r="K131" s="226"/>
      <c r="L131" s="226"/>
      <c r="M131" s="226"/>
      <c r="N131" s="226"/>
      <c r="O131" s="226"/>
      <c r="P131" s="226"/>
      <c r="Q131" s="226"/>
      <c r="R131" s="226"/>
      <c r="S131" s="226"/>
      <c r="T131" s="226"/>
      <c r="U131" s="226"/>
      <c r="V131" s="226"/>
      <c r="W131" s="226"/>
      <c r="X131" s="226"/>
      <c r="Y131" s="226"/>
      <c r="Z131" s="226"/>
      <c r="AA131" s="226"/>
      <c r="AB131" s="226"/>
      <c r="AC131" s="226"/>
      <c r="AD131" s="226"/>
      <c r="AE131" s="226"/>
      <c r="AF131" s="226"/>
      <c r="AG131" s="226"/>
      <c r="AH131" s="226"/>
      <c r="AI131" s="226"/>
      <c r="AJ131" s="226"/>
      <c r="AK131" s="226"/>
      <c r="AL131" s="226"/>
      <c r="AM131" s="226"/>
      <c r="AN131" s="226"/>
      <c r="AO131" s="226"/>
      <c r="AP131" s="226"/>
      <c r="AQ131" s="226"/>
      <c r="AR131" s="226"/>
      <c r="AS131" s="226"/>
      <c r="AT131" s="226"/>
      <c r="AU131" s="226"/>
      <c r="AV131" s="226"/>
      <c r="AW131" s="226"/>
      <c r="AX131" s="226"/>
      <c r="AY131" s="226"/>
      <c r="AZ131" s="226"/>
      <c r="BA131" s="226"/>
      <c r="BB131" s="226"/>
      <c r="BC131" s="226"/>
      <c r="BD131" s="226"/>
      <c r="BE131" s="226"/>
      <c r="BF131" s="226"/>
      <c r="BG131" s="226"/>
      <c r="BH131" s="226"/>
      <c r="BI131" s="226"/>
      <c r="BJ131" s="226"/>
      <c r="BK131" s="226"/>
      <c r="BL131" s="226"/>
      <c r="BM131" s="226"/>
      <c r="BN131" s="226"/>
      <c r="BO131" s="226"/>
      <c r="BP131" s="226"/>
      <c r="BQ131" s="226"/>
      <c r="BR131" s="226"/>
      <c r="BS131" s="226"/>
      <c r="BT131" s="226"/>
      <c r="BU131" s="226"/>
      <c r="BV131" s="226"/>
      <c r="BW131" s="226"/>
      <c r="BX131" s="226"/>
      <c r="BY131" s="226"/>
      <c r="BZ131" s="226"/>
      <c r="CA131" s="226"/>
      <c r="CB131" s="226"/>
      <c r="CC131" s="226"/>
      <c r="CD131" s="226"/>
      <c r="CE131" s="226"/>
      <c r="CF131" s="226"/>
      <c r="CG131" s="226"/>
      <c r="CH131" s="226"/>
      <c r="CI131" s="226"/>
      <c r="CJ131" s="226"/>
      <c r="CK131" s="226"/>
      <c r="CL131" s="226"/>
      <c r="CM131" s="226"/>
      <c r="CN131" s="226"/>
      <c r="CO131" s="226"/>
      <c r="CP131" s="226"/>
      <c r="CQ131" s="226"/>
      <c r="CR131" s="226"/>
      <c r="CS131" s="226"/>
      <c r="CT131" s="226"/>
      <c r="CU131" s="226"/>
      <c r="CV131" s="226"/>
      <c r="CW131" s="226"/>
      <c r="CX131" s="226"/>
      <c r="CY131" s="226"/>
      <c r="CZ131" s="226"/>
      <c r="DA131" s="226"/>
      <c r="DB131" s="226"/>
      <c r="DC131" s="226"/>
      <c r="DD131" s="226"/>
      <c r="DE131" s="226"/>
      <c r="DF131" s="226"/>
      <c r="DG131" s="226"/>
      <c r="DH131" s="226"/>
      <c r="DI131" s="226"/>
      <c r="DJ131" s="226"/>
      <c r="DK131" s="226"/>
      <c r="DL131" s="226"/>
      <c r="DM131" s="226"/>
      <c r="DN131" s="226"/>
      <c r="DO131" s="226"/>
      <c r="DP131" s="226"/>
      <c r="DQ131" s="226"/>
      <c r="DR131" s="226"/>
      <c r="DS131" s="226"/>
      <c r="DT131" s="226"/>
      <c r="DU131" s="226"/>
      <c r="DV131" s="226"/>
      <c r="DW131" s="226"/>
      <c r="DX131" s="226"/>
      <c r="DY131" s="226"/>
      <c r="DZ131" s="226"/>
      <c r="EA131" s="226"/>
      <c r="EB131" s="226"/>
      <c r="EC131" s="226"/>
      <c r="ED131" s="226"/>
      <c r="EE131" s="226"/>
      <c r="EF131" s="226"/>
      <c r="EG131" s="226"/>
      <c r="EH131" s="226"/>
      <c r="EI131" s="226"/>
      <c r="EJ131" s="226"/>
      <c r="EK131" s="226"/>
      <c r="EL131" s="226"/>
      <c r="EM131" s="226"/>
      <c r="EN131" s="226"/>
      <c r="EO131" s="226"/>
      <c r="EP131" s="226"/>
      <c r="EQ131" s="226"/>
      <c r="ER131" s="226"/>
      <c r="ES131" s="226"/>
      <c r="ET131" s="226"/>
      <c r="EU131" s="226"/>
      <c r="EV131" s="226"/>
      <c r="EW131" s="226"/>
      <c r="EX131" s="226"/>
      <c r="EY131" s="226"/>
      <c r="EZ131" s="226"/>
      <c r="FA131" s="226"/>
      <c r="FB131" s="226"/>
      <c r="FC131" s="226"/>
      <c r="FD131" s="226"/>
      <c r="FE131" s="226"/>
      <c r="FF131" s="226"/>
      <c r="FG131" s="226"/>
      <c r="FH131" s="226"/>
      <c r="FI131" s="226"/>
      <c r="FJ131" s="226"/>
      <c r="FK131" s="226"/>
      <c r="FL131" s="226"/>
      <c r="FM131" s="226"/>
      <c r="FN131" s="226"/>
      <c r="FO131" s="226"/>
      <c r="FP131" s="226"/>
      <c r="FQ131" s="226"/>
      <c r="FR131" s="226"/>
      <c r="FS131" s="226"/>
      <c r="FT131" s="226"/>
      <c r="FU131" s="226"/>
      <c r="FV131" s="226"/>
      <c r="FW131" s="226"/>
      <c r="FX131" s="226"/>
      <c r="FY131" s="226"/>
      <c r="FZ131" s="226"/>
      <c r="GA131" s="226"/>
      <c r="GB131" s="226"/>
      <c r="GC131" s="226"/>
      <c r="GD131" s="226"/>
      <c r="GE131" s="226"/>
      <c r="GF131" s="226"/>
      <c r="GG131" s="226"/>
    </row>
    <row r="132" spans="1:189" s="198" customFormat="1" ht="15.95" customHeight="1">
      <c r="A132" s="247" t="s">
        <v>219</v>
      </c>
      <c r="B132" s="223" t="s">
        <v>220</v>
      </c>
      <c r="C132" s="224"/>
      <c r="D132" s="200"/>
      <c r="E132" s="109"/>
      <c r="F132" s="63"/>
      <c r="G132" s="225"/>
      <c r="H132" s="259"/>
      <c r="I132" s="265"/>
      <c r="J132" s="259"/>
      <c r="K132" s="199"/>
      <c r="L132" s="199"/>
      <c r="M132" s="199"/>
      <c r="N132" s="199"/>
      <c r="O132" s="199"/>
      <c r="P132" s="199"/>
      <c r="Q132" s="199"/>
      <c r="R132" s="199"/>
      <c r="S132" s="199"/>
      <c r="T132" s="199"/>
      <c r="U132" s="199"/>
      <c r="V132" s="199"/>
      <c r="W132" s="199"/>
      <c r="X132" s="199"/>
      <c r="Y132" s="199"/>
      <c r="Z132" s="199"/>
      <c r="AA132" s="199"/>
      <c r="AB132" s="199"/>
      <c r="AC132" s="199"/>
      <c r="AD132" s="199"/>
      <c r="AE132" s="199"/>
      <c r="AF132" s="199"/>
      <c r="AG132" s="199"/>
      <c r="AH132" s="199"/>
      <c r="AI132" s="199"/>
      <c r="AJ132" s="199"/>
      <c r="AK132" s="199"/>
      <c r="AL132" s="199"/>
      <c r="AM132" s="199"/>
      <c r="AN132" s="199"/>
      <c r="AO132" s="199"/>
      <c r="AP132" s="199"/>
      <c r="AQ132" s="199"/>
      <c r="AR132" s="199"/>
      <c r="AS132" s="199"/>
      <c r="AT132" s="199"/>
      <c r="AU132" s="199"/>
      <c r="AV132" s="199"/>
      <c r="AW132" s="199"/>
      <c r="AX132" s="199"/>
      <c r="AY132" s="199"/>
      <c r="AZ132" s="199"/>
      <c r="BA132" s="199"/>
      <c r="BB132" s="199"/>
      <c r="BC132" s="199"/>
      <c r="BD132" s="199"/>
      <c r="BE132" s="199"/>
      <c r="BF132" s="199"/>
      <c r="BG132" s="199"/>
      <c r="BH132" s="199"/>
      <c r="BI132" s="199"/>
      <c r="BJ132" s="199"/>
      <c r="BK132" s="199"/>
      <c r="BL132" s="199"/>
      <c r="BM132" s="199"/>
      <c r="BN132" s="199"/>
      <c r="BO132" s="199"/>
      <c r="BP132" s="199"/>
      <c r="BQ132" s="199"/>
      <c r="BR132" s="199"/>
      <c r="BS132" s="199"/>
      <c r="BT132" s="199"/>
      <c r="BU132" s="199"/>
      <c r="BV132" s="199"/>
      <c r="BW132" s="199"/>
      <c r="BX132" s="199"/>
      <c r="BY132" s="199"/>
      <c r="BZ132" s="199"/>
      <c r="CA132" s="199"/>
      <c r="CB132" s="199"/>
      <c r="CC132" s="199"/>
      <c r="CD132" s="199"/>
      <c r="CE132" s="199"/>
      <c r="CF132" s="199"/>
      <c r="CG132" s="199"/>
      <c r="CH132" s="199"/>
      <c r="CI132" s="199"/>
      <c r="CJ132" s="199"/>
      <c r="CK132" s="199"/>
      <c r="CL132" s="199"/>
      <c r="CM132" s="199"/>
      <c r="CN132" s="199"/>
      <c r="CO132" s="199"/>
      <c r="CP132" s="199"/>
      <c r="CQ132" s="199"/>
      <c r="CR132" s="199"/>
      <c r="CS132" s="199"/>
      <c r="CT132" s="199"/>
      <c r="CU132" s="199"/>
      <c r="CV132" s="199"/>
      <c r="CW132" s="199"/>
      <c r="CX132" s="199"/>
      <c r="CY132" s="199"/>
      <c r="CZ132" s="199"/>
      <c r="DA132" s="199"/>
      <c r="DB132" s="199"/>
      <c r="DC132" s="199"/>
      <c r="DD132" s="199"/>
      <c r="DE132" s="199"/>
      <c r="DF132" s="199"/>
      <c r="DG132" s="199"/>
      <c r="DH132" s="199"/>
      <c r="DI132" s="199"/>
      <c r="DJ132" s="199"/>
      <c r="DK132" s="199"/>
      <c r="DL132" s="199"/>
      <c r="DM132" s="199"/>
      <c r="DN132" s="199"/>
      <c r="DO132" s="199"/>
      <c r="DP132" s="199"/>
      <c r="DQ132" s="199"/>
      <c r="DR132" s="199"/>
      <c r="DS132" s="199"/>
      <c r="DT132" s="199"/>
      <c r="DU132" s="199"/>
      <c r="DV132" s="199"/>
      <c r="DW132" s="199"/>
      <c r="DX132" s="199"/>
      <c r="DY132" s="199"/>
      <c r="DZ132" s="199"/>
      <c r="EA132" s="199"/>
      <c r="EB132" s="199"/>
      <c r="EC132" s="199"/>
      <c r="ED132" s="199"/>
      <c r="EE132" s="199"/>
      <c r="EF132" s="199"/>
      <c r="EG132" s="199"/>
      <c r="EH132" s="199"/>
      <c r="EI132" s="199"/>
      <c r="EJ132" s="199"/>
      <c r="EK132" s="199"/>
      <c r="EL132" s="199"/>
      <c r="EM132" s="199"/>
      <c r="EN132" s="199"/>
      <c r="EO132" s="199"/>
      <c r="EP132" s="199"/>
      <c r="EQ132" s="199"/>
      <c r="ER132" s="199"/>
      <c r="ES132" s="199"/>
      <c r="ET132" s="199"/>
      <c r="EU132" s="199"/>
      <c r="EV132" s="199"/>
      <c r="EW132" s="199"/>
      <c r="EX132" s="199"/>
      <c r="EY132" s="199"/>
      <c r="EZ132" s="199"/>
      <c r="FA132" s="199"/>
      <c r="FB132" s="199"/>
      <c r="FC132" s="199"/>
      <c r="FD132" s="199"/>
      <c r="FE132" s="199"/>
      <c r="FF132" s="199"/>
      <c r="FG132" s="199"/>
      <c r="FH132" s="199"/>
      <c r="FI132" s="199"/>
      <c r="FJ132" s="199"/>
      <c r="FK132" s="199"/>
      <c r="FL132" s="199"/>
      <c r="FM132" s="199"/>
      <c r="FN132" s="199"/>
      <c r="FO132" s="199"/>
      <c r="FP132" s="199"/>
      <c r="FQ132" s="199"/>
      <c r="FR132" s="199"/>
      <c r="FS132" s="199"/>
      <c r="FT132" s="199"/>
      <c r="FU132" s="199"/>
      <c r="FV132" s="199"/>
      <c r="FW132" s="199"/>
      <c r="FX132" s="199"/>
      <c r="FY132" s="199"/>
      <c r="FZ132" s="199"/>
      <c r="GA132" s="199"/>
      <c r="GB132" s="199"/>
      <c r="GC132" s="199"/>
      <c r="GD132" s="199"/>
      <c r="GE132" s="199"/>
      <c r="GF132" s="199"/>
      <c r="GG132" s="199"/>
    </row>
    <row r="133" spans="1:189" s="225" customFormat="1" ht="15.95" customHeight="1">
      <c r="A133" s="139" t="s">
        <v>230</v>
      </c>
      <c r="B133" s="193"/>
      <c r="C133" s="228" t="s">
        <v>27</v>
      </c>
      <c r="D133" s="138">
        <v>1</v>
      </c>
      <c r="E133" s="140" t="e">
        <f>#REF!</f>
        <v>#REF!</v>
      </c>
      <c r="F133" s="65" t="e">
        <f>+D133*E133</f>
        <v>#REF!</v>
      </c>
      <c r="H133" s="259">
        <v>0</v>
      </c>
      <c r="I133" s="265">
        <v>1.05</v>
      </c>
      <c r="J133" s="259">
        <f>H133*I133</f>
        <v>0</v>
      </c>
      <c r="K133" s="226"/>
      <c r="L133" s="226"/>
      <c r="M133" s="226"/>
      <c r="N133" s="226"/>
      <c r="O133" s="226"/>
      <c r="P133" s="226"/>
      <c r="Q133" s="226"/>
      <c r="R133" s="226"/>
      <c r="S133" s="226"/>
      <c r="T133" s="226"/>
      <c r="U133" s="226"/>
      <c r="V133" s="226"/>
      <c r="W133" s="226"/>
      <c r="X133" s="226"/>
      <c r="Y133" s="226"/>
      <c r="Z133" s="226"/>
      <c r="AA133" s="226"/>
      <c r="AB133" s="226"/>
      <c r="AC133" s="226"/>
      <c r="AD133" s="226"/>
      <c r="AE133" s="226"/>
      <c r="AF133" s="226"/>
      <c r="AG133" s="226"/>
      <c r="AH133" s="226"/>
      <c r="AI133" s="226"/>
      <c r="AJ133" s="226"/>
      <c r="AK133" s="226"/>
      <c r="AL133" s="226"/>
      <c r="AM133" s="226"/>
      <c r="AN133" s="226"/>
      <c r="AO133" s="226"/>
      <c r="AP133" s="226"/>
      <c r="AQ133" s="226"/>
      <c r="AR133" s="226"/>
      <c r="AS133" s="226"/>
      <c r="AT133" s="226"/>
      <c r="AU133" s="226"/>
      <c r="AV133" s="226"/>
      <c r="AW133" s="226"/>
      <c r="AX133" s="226"/>
      <c r="AY133" s="226"/>
      <c r="AZ133" s="226"/>
      <c r="BA133" s="226"/>
      <c r="BB133" s="226"/>
      <c r="BC133" s="226"/>
      <c r="BD133" s="226"/>
      <c r="BE133" s="226"/>
      <c r="BF133" s="226"/>
      <c r="BG133" s="226"/>
      <c r="BH133" s="226"/>
      <c r="BI133" s="226"/>
      <c r="BJ133" s="226"/>
      <c r="BK133" s="226"/>
      <c r="BL133" s="226"/>
      <c r="BM133" s="226"/>
      <c r="BN133" s="226"/>
      <c r="BO133" s="226"/>
      <c r="BP133" s="226"/>
      <c r="BQ133" s="226"/>
      <c r="BR133" s="226"/>
      <c r="BS133" s="226"/>
      <c r="BT133" s="226"/>
      <c r="BU133" s="226"/>
      <c r="BV133" s="226"/>
      <c r="BW133" s="226"/>
      <c r="BX133" s="226"/>
      <c r="BY133" s="226"/>
      <c r="BZ133" s="226"/>
      <c r="CA133" s="226"/>
      <c r="CB133" s="226"/>
      <c r="CC133" s="226"/>
      <c r="CD133" s="226"/>
      <c r="CE133" s="226"/>
      <c r="CF133" s="226"/>
      <c r="CG133" s="226"/>
      <c r="CH133" s="226"/>
      <c r="CI133" s="226"/>
      <c r="CJ133" s="226"/>
      <c r="CK133" s="226"/>
      <c r="CL133" s="226"/>
      <c r="CM133" s="226"/>
      <c r="CN133" s="226"/>
      <c r="CO133" s="226"/>
      <c r="CP133" s="226"/>
      <c r="CQ133" s="226"/>
      <c r="CR133" s="226"/>
      <c r="CS133" s="226"/>
      <c r="CT133" s="226"/>
      <c r="CU133" s="226"/>
      <c r="CV133" s="226"/>
      <c r="CW133" s="226"/>
      <c r="CX133" s="226"/>
      <c r="CY133" s="226"/>
      <c r="CZ133" s="226"/>
      <c r="DA133" s="226"/>
      <c r="DB133" s="226"/>
      <c r="DC133" s="226"/>
      <c r="DD133" s="226"/>
      <c r="DE133" s="226"/>
      <c r="DF133" s="226"/>
      <c r="DG133" s="226"/>
      <c r="DH133" s="226"/>
      <c r="DI133" s="226"/>
      <c r="DJ133" s="226"/>
      <c r="DK133" s="226"/>
      <c r="DL133" s="226"/>
      <c r="DM133" s="226"/>
      <c r="DN133" s="226"/>
      <c r="DO133" s="226"/>
      <c r="DP133" s="226"/>
      <c r="DQ133" s="226"/>
      <c r="DR133" s="226"/>
      <c r="DS133" s="226"/>
      <c r="DT133" s="226"/>
      <c r="DU133" s="226"/>
      <c r="DV133" s="226"/>
      <c r="DW133" s="226"/>
      <c r="DX133" s="226"/>
      <c r="DY133" s="226"/>
      <c r="DZ133" s="226"/>
      <c r="EA133" s="226"/>
      <c r="EB133" s="226"/>
      <c r="EC133" s="226"/>
      <c r="ED133" s="226"/>
      <c r="EE133" s="226"/>
      <c r="EF133" s="226"/>
      <c r="EG133" s="226"/>
      <c r="EH133" s="226"/>
      <c r="EI133" s="226"/>
      <c r="EJ133" s="226"/>
      <c r="EK133" s="226"/>
      <c r="EL133" s="226"/>
      <c r="EM133" s="226"/>
      <c r="EN133" s="226"/>
      <c r="EO133" s="226"/>
      <c r="EP133" s="226"/>
      <c r="EQ133" s="226"/>
      <c r="ER133" s="226"/>
      <c r="ES133" s="226"/>
      <c r="ET133" s="226"/>
      <c r="EU133" s="226"/>
      <c r="EV133" s="226"/>
      <c r="EW133" s="226"/>
      <c r="EX133" s="226"/>
      <c r="EY133" s="226"/>
      <c r="EZ133" s="226"/>
      <c r="FA133" s="226"/>
      <c r="FB133" s="226"/>
      <c r="FC133" s="226"/>
      <c r="FD133" s="226"/>
      <c r="FE133" s="226"/>
      <c r="FF133" s="226"/>
      <c r="FG133" s="226"/>
      <c r="FH133" s="226"/>
      <c r="FI133" s="226"/>
      <c r="FJ133" s="226"/>
      <c r="FK133" s="226"/>
      <c r="FL133" s="226"/>
      <c r="FM133" s="226"/>
      <c r="FN133" s="226"/>
      <c r="FO133" s="226"/>
      <c r="FP133" s="226"/>
      <c r="FQ133" s="226"/>
      <c r="FR133" s="226"/>
      <c r="FS133" s="226"/>
      <c r="FT133" s="226"/>
      <c r="FU133" s="226"/>
      <c r="FV133" s="226"/>
      <c r="FW133" s="226"/>
      <c r="FX133" s="226"/>
      <c r="FY133" s="226"/>
      <c r="FZ133" s="226"/>
      <c r="GA133" s="226"/>
      <c r="GB133" s="226"/>
      <c r="GC133" s="226"/>
      <c r="GD133" s="226"/>
      <c r="GE133" s="226"/>
      <c r="GF133" s="226"/>
      <c r="GG133" s="226"/>
    </row>
    <row r="134" spans="1:189" s="225" customFormat="1" ht="15.95" customHeight="1">
      <c r="A134" s="17"/>
      <c r="B134" s="230"/>
      <c r="C134" s="228"/>
      <c r="D134" s="138"/>
      <c r="E134" s="108"/>
      <c r="F134" s="65"/>
      <c r="H134" s="259"/>
      <c r="I134" s="265">
        <v>1.05</v>
      </c>
      <c r="J134" s="259"/>
      <c r="K134" s="226"/>
      <c r="L134" s="226"/>
      <c r="M134" s="226"/>
      <c r="N134" s="226"/>
      <c r="O134" s="226"/>
      <c r="P134" s="226"/>
      <c r="Q134" s="226"/>
      <c r="R134" s="226"/>
      <c r="S134" s="226"/>
      <c r="T134" s="226"/>
      <c r="U134" s="226"/>
      <c r="V134" s="226"/>
      <c r="W134" s="226"/>
      <c r="X134" s="226"/>
      <c r="Y134" s="226"/>
      <c r="Z134" s="226"/>
      <c r="AA134" s="226"/>
      <c r="AB134" s="226"/>
      <c r="AC134" s="226"/>
      <c r="AD134" s="226"/>
      <c r="AE134" s="226"/>
      <c r="AF134" s="226"/>
      <c r="AG134" s="226"/>
      <c r="AH134" s="226"/>
      <c r="AI134" s="226"/>
      <c r="AJ134" s="226"/>
      <c r="AK134" s="226"/>
      <c r="AL134" s="226"/>
      <c r="AM134" s="226"/>
      <c r="AN134" s="226"/>
      <c r="AO134" s="226"/>
      <c r="AP134" s="226"/>
      <c r="AQ134" s="226"/>
      <c r="AR134" s="226"/>
      <c r="AS134" s="226"/>
      <c r="AT134" s="226"/>
      <c r="AU134" s="226"/>
      <c r="AV134" s="226"/>
      <c r="AW134" s="226"/>
      <c r="AX134" s="226"/>
      <c r="AY134" s="226"/>
      <c r="AZ134" s="226"/>
      <c r="BA134" s="226"/>
      <c r="BB134" s="226"/>
      <c r="BC134" s="226"/>
      <c r="BD134" s="226"/>
      <c r="BE134" s="226"/>
      <c r="BF134" s="226"/>
      <c r="BG134" s="226"/>
      <c r="BH134" s="226"/>
      <c r="BI134" s="226"/>
      <c r="BJ134" s="226"/>
      <c r="BK134" s="226"/>
      <c r="BL134" s="226"/>
      <c r="BM134" s="226"/>
      <c r="BN134" s="226"/>
      <c r="BO134" s="226"/>
      <c r="BP134" s="226"/>
      <c r="BQ134" s="226"/>
      <c r="BR134" s="226"/>
      <c r="BS134" s="226"/>
      <c r="BT134" s="226"/>
      <c r="BU134" s="226"/>
      <c r="BV134" s="226"/>
      <c r="BW134" s="226"/>
      <c r="BX134" s="226"/>
      <c r="BY134" s="226"/>
      <c r="BZ134" s="226"/>
      <c r="CA134" s="226"/>
      <c r="CB134" s="226"/>
      <c r="CC134" s="226"/>
      <c r="CD134" s="226"/>
      <c r="CE134" s="226"/>
      <c r="CF134" s="226"/>
      <c r="CG134" s="226"/>
      <c r="CH134" s="226"/>
      <c r="CI134" s="226"/>
      <c r="CJ134" s="226"/>
      <c r="CK134" s="226"/>
      <c r="CL134" s="226"/>
      <c r="CM134" s="226"/>
      <c r="CN134" s="226"/>
      <c r="CO134" s="226"/>
      <c r="CP134" s="226"/>
      <c r="CQ134" s="226"/>
      <c r="CR134" s="226"/>
      <c r="CS134" s="226"/>
      <c r="CT134" s="226"/>
      <c r="CU134" s="226"/>
      <c r="CV134" s="226"/>
      <c r="CW134" s="226"/>
      <c r="CX134" s="226"/>
      <c r="CY134" s="226"/>
      <c r="CZ134" s="226"/>
      <c r="DA134" s="226"/>
      <c r="DB134" s="226"/>
      <c r="DC134" s="226"/>
      <c r="DD134" s="226"/>
      <c r="DE134" s="226"/>
      <c r="DF134" s="226"/>
      <c r="DG134" s="226"/>
      <c r="DH134" s="226"/>
      <c r="DI134" s="226"/>
      <c r="DJ134" s="226"/>
      <c r="DK134" s="226"/>
      <c r="DL134" s="226"/>
      <c r="DM134" s="226"/>
      <c r="DN134" s="226"/>
      <c r="DO134" s="226"/>
      <c r="DP134" s="226"/>
      <c r="DQ134" s="226"/>
      <c r="DR134" s="226"/>
      <c r="DS134" s="226"/>
      <c r="DT134" s="226"/>
      <c r="DU134" s="226"/>
      <c r="DV134" s="226"/>
      <c r="DW134" s="226"/>
      <c r="DX134" s="226"/>
      <c r="DY134" s="226"/>
      <c r="DZ134" s="226"/>
      <c r="EA134" s="226"/>
      <c r="EB134" s="226"/>
      <c r="EC134" s="226"/>
      <c r="ED134" s="226"/>
      <c r="EE134" s="226"/>
      <c r="EF134" s="226"/>
      <c r="EG134" s="226"/>
      <c r="EH134" s="226"/>
      <c r="EI134" s="226"/>
      <c r="EJ134" s="226"/>
      <c r="EK134" s="226"/>
      <c r="EL134" s="226"/>
      <c r="EM134" s="226"/>
      <c r="EN134" s="226"/>
      <c r="EO134" s="226"/>
      <c r="EP134" s="226"/>
      <c r="EQ134" s="226"/>
      <c r="ER134" s="226"/>
      <c r="ES134" s="226"/>
      <c r="ET134" s="226"/>
      <c r="EU134" s="226"/>
      <c r="EV134" s="226"/>
      <c r="EW134" s="226"/>
      <c r="EX134" s="226"/>
      <c r="EY134" s="226"/>
      <c r="EZ134" s="226"/>
      <c r="FA134" s="226"/>
      <c r="FB134" s="226"/>
      <c r="FC134" s="226"/>
      <c r="FD134" s="226"/>
      <c r="FE134" s="226"/>
      <c r="FF134" s="226"/>
      <c r="FG134" s="226"/>
      <c r="FH134" s="226"/>
      <c r="FI134" s="226"/>
      <c r="FJ134" s="226"/>
      <c r="FK134" s="226"/>
      <c r="FL134" s="226"/>
      <c r="FM134" s="226"/>
      <c r="FN134" s="226"/>
      <c r="FO134" s="226"/>
      <c r="FP134" s="226"/>
      <c r="FQ134" s="226"/>
      <c r="FR134" s="226"/>
      <c r="FS134" s="226"/>
      <c r="FT134" s="226"/>
      <c r="FU134" s="226"/>
      <c r="FV134" s="226"/>
      <c r="FW134" s="226"/>
      <c r="FX134" s="226"/>
      <c r="FY134" s="226"/>
      <c r="FZ134" s="226"/>
      <c r="GA134" s="226"/>
      <c r="GB134" s="226"/>
      <c r="GC134" s="226"/>
      <c r="GD134" s="226"/>
      <c r="GE134" s="226"/>
      <c r="GF134" s="226"/>
      <c r="GG134" s="226"/>
    </row>
    <row r="135" spans="1:189" s="225" customFormat="1" ht="15.95" customHeight="1">
      <c r="A135" s="141">
        <v>513</v>
      </c>
      <c r="B135" s="223" t="s">
        <v>144</v>
      </c>
      <c r="C135" s="224"/>
      <c r="D135" s="200"/>
      <c r="E135" s="109"/>
      <c r="F135" s="63"/>
      <c r="H135" s="259"/>
      <c r="I135" s="265">
        <v>1.05</v>
      </c>
      <c r="J135" s="259"/>
      <c r="K135" s="226"/>
      <c r="L135" s="226"/>
      <c r="M135" s="226"/>
      <c r="N135" s="226"/>
      <c r="O135" s="226"/>
      <c r="P135" s="226"/>
      <c r="Q135" s="226"/>
      <c r="R135" s="226"/>
      <c r="S135" s="226"/>
      <c r="T135" s="226"/>
      <c r="U135" s="226"/>
      <c r="V135" s="226"/>
      <c r="W135" s="226"/>
      <c r="X135" s="226"/>
      <c r="Y135" s="226"/>
      <c r="Z135" s="226"/>
      <c r="AA135" s="226"/>
      <c r="AB135" s="226"/>
      <c r="AC135" s="226"/>
      <c r="AD135" s="226"/>
      <c r="AE135" s="226"/>
      <c r="AF135" s="226"/>
      <c r="AG135" s="226"/>
      <c r="AH135" s="226"/>
      <c r="AI135" s="226"/>
      <c r="AJ135" s="226"/>
      <c r="AK135" s="226"/>
      <c r="AL135" s="226"/>
      <c r="AM135" s="226"/>
      <c r="AN135" s="226"/>
      <c r="AO135" s="226"/>
      <c r="AP135" s="226"/>
      <c r="AQ135" s="226"/>
      <c r="AR135" s="226"/>
      <c r="AS135" s="226"/>
      <c r="AT135" s="226"/>
      <c r="AU135" s="226"/>
      <c r="AV135" s="226"/>
      <c r="AW135" s="226"/>
      <c r="AX135" s="226"/>
      <c r="AY135" s="226"/>
      <c r="AZ135" s="226"/>
      <c r="BA135" s="226"/>
      <c r="BB135" s="226"/>
      <c r="BC135" s="226"/>
      <c r="BD135" s="226"/>
      <c r="BE135" s="226"/>
      <c r="BF135" s="226"/>
      <c r="BG135" s="226"/>
      <c r="BH135" s="226"/>
      <c r="BI135" s="226"/>
      <c r="BJ135" s="226"/>
      <c r="BK135" s="226"/>
      <c r="BL135" s="226"/>
      <c r="BM135" s="226"/>
      <c r="BN135" s="226"/>
      <c r="BO135" s="226"/>
      <c r="BP135" s="226"/>
      <c r="BQ135" s="226"/>
      <c r="BR135" s="226"/>
      <c r="BS135" s="226"/>
      <c r="BT135" s="226"/>
      <c r="BU135" s="226"/>
      <c r="BV135" s="226"/>
      <c r="BW135" s="226"/>
      <c r="BX135" s="226"/>
      <c r="BY135" s="226"/>
      <c r="BZ135" s="226"/>
      <c r="CA135" s="226"/>
      <c r="CB135" s="226"/>
      <c r="CC135" s="226"/>
      <c r="CD135" s="226"/>
      <c r="CE135" s="226"/>
      <c r="CF135" s="226"/>
      <c r="CG135" s="226"/>
      <c r="CH135" s="226"/>
      <c r="CI135" s="226"/>
      <c r="CJ135" s="226"/>
      <c r="CK135" s="226"/>
      <c r="CL135" s="226"/>
      <c r="CM135" s="226"/>
      <c r="CN135" s="226"/>
      <c r="CO135" s="226"/>
      <c r="CP135" s="226"/>
      <c r="CQ135" s="226"/>
      <c r="CR135" s="226"/>
      <c r="CS135" s="226"/>
      <c r="CT135" s="226"/>
      <c r="CU135" s="226"/>
      <c r="CV135" s="226"/>
      <c r="CW135" s="226"/>
      <c r="CX135" s="226"/>
      <c r="CY135" s="226"/>
      <c r="CZ135" s="226"/>
      <c r="DA135" s="226"/>
      <c r="DB135" s="226"/>
      <c r="DC135" s="226"/>
      <c r="DD135" s="226"/>
      <c r="DE135" s="226"/>
      <c r="DF135" s="226"/>
      <c r="DG135" s="226"/>
      <c r="DH135" s="226"/>
      <c r="DI135" s="226"/>
      <c r="DJ135" s="226"/>
      <c r="DK135" s="226"/>
      <c r="DL135" s="226"/>
      <c r="DM135" s="226"/>
      <c r="DN135" s="226"/>
      <c r="DO135" s="226"/>
      <c r="DP135" s="226"/>
      <c r="DQ135" s="226"/>
      <c r="DR135" s="226"/>
      <c r="DS135" s="226"/>
      <c r="DT135" s="226"/>
      <c r="DU135" s="226"/>
      <c r="DV135" s="226"/>
      <c r="DW135" s="226"/>
      <c r="DX135" s="226"/>
      <c r="DY135" s="226"/>
      <c r="DZ135" s="226"/>
      <c r="EA135" s="226"/>
      <c r="EB135" s="226"/>
      <c r="EC135" s="226"/>
      <c r="ED135" s="226"/>
      <c r="EE135" s="226"/>
      <c r="EF135" s="226"/>
      <c r="EG135" s="226"/>
      <c r="EH135" s="226"/>
      <c r="EI135" s="226"/>
      <c r="EJ135" s="226"/>
      <c r="EK135" s="226"/>
      <c r="EL135" s="226"/>
      <c r="EM135" s="226"/>
      <c r="EN135" s="226"/>
      <c r="EO135" s="226"/>
      <c r="EP135" s="226"/>
      <c r="EQ135" s="226"/>
      <c r="ER135" s="226"/>
      <c r="ES135" s="226"/>
      <c r="ET135" s="226"/>
      <c r="EU135" s="226"/>
      <c r="EV135" s="226"/>
      <c r="EW135" s="226"/>
      <c r="EX135" s="226"/>
      <c r="EY135" s="226"/>
      <c r="EZ135" s="226"/>
      <c r="FA135" s="226"/>
      <c r="FB135" s="226"/>
      <c r="FC135" s="226"/>
      <c r="FD135" s="226"/>
      <c r="FE135" s="226"/>
      <c r="FF135" s="226"/>
      <c r="FG135" s="226"/>
      <c r="FH135" s="226"/>
      <c r="FI135" s="226"/>
      <c r="FJ135" s="226"/>
      <c r="FK135" s="226"/>
      <c r="FL135" s="226"/>
      <c r="FM135" s="226"/>
      <c r="FN135" s="226"/>
      <c r="FO135" s="226"/>
      <c r="FP135" s="226"/>
      <c r="FQ135" s="226"/>
      <c r="FR135" s="226"/>
      <c r="FS135" s="226"/>
      <c r="FT135" s="226"/>
      <c r="FU135" s="226"/>
      <c r="FV135" s="226"/>
      <c r="FW135" s="226"/>
      <c r="FX135" s="226"/>
      <c r="FY135" s="226"/>
      <c r="FZ135" s="226"/>
      <c r="GA135" s="226"/>
      <c r="GB135" s="226"/>
      <c r="GC135" s="226"/>
      <c r="GD135" s="226"/>
      <c r="GE135" s="226"/>
      <c r="GF135" s="226"/>
      <c r="GG135" s="226"/>
    </row>
    <row r="136" spans="1:189" s="225" customFormat="1" ht="30" customHeight="1">
      <c r="A136" s="231" t="e">
        <f>+#REF!</f>
        <v>#REF!</v>
      </c>
      <c r="B136" s="231" t="e">
        <f>+#REF!</f>
        <v>#REF!</v>
      </c>
      <c r="C136" s="228" t="s">
        <v>1</v>
      </c>
      <c r="D136" s="138">
        <f>J136</f>
        <v>10</v>
      </c>
      <c r="E136" s="108" t="e">
        <f>#REF!</f>
        <v>#REF!</v>
      </c>
      <c r="F136" s="65" t="e">
        <f>+D136*E136</f>
        <v>#REF!</v>
      </c>
      <c r="H136" s="259">
        <f>3+SUM(H127)/25+1</f>
        <v>9.4</v>
      </c>
      <c r="I136" s="265">
        <v>1.05</v>
      </c>
      <c r="J136" s="259">
        <f>ROUND(H136*I136,0)</f>
        <v>10</v>
      </c>
      <c r="K136" s="226"/>
      <c r="L136" s="226"/>
      <c r="M136" s="226"/>
      <c r="N136" s="226"/>
      <c r="O136" s="226"/>
      <c r="P136" s="226"/>
      <c r="Q136" s="226"/>
      <c r="R136" s="226"/>
      <c r="S136" s="226"/>
      <c r="T136" s="226"/>
      <c r="U136" s="226"/>
      <c r="V136" s="226"/>
      <c r="W136" s="226"/>
      <c r="X136" s="226"/>
      <c r="Y136" s="226"/>
      <c r="Z136" s="226"/>
      <c r="AA136" s="226"/>
      <c r="AB136" s="226"/>
      <c r="AC136" s="226"/>
      <c r="AD136" s="226"/>
      <c r="AE136" s="226"/>
      <c r="AF136" s="226"/>
      <c r="AG136" s="226"/>
      <c r="AH136" s="226"/>
      <c r="AI136" s="226"/>
      <c r="AJ136" s="226"/>
      <c r="AK136" s="226"/>
      <c r="AL136" s="226"/>
      <c r="AM136" s="226"/>
      <c r="AN136" s="226"/>
      <c r="AO136" s="226"/>
      <c r="AP136" s="226"/>
      <c r="AQ136" s="226"/>
      <c r="AR136" s="226"/>
      <c r="AS136" s="226"/>
      <c r="AT136" s="226"/>
      <c r="AU136" s="226"/>
      <c r="AV136" s="226"/>
      <c r="AW136" s="226"/>
      <c r="AX136" s="226"/>
      <c r="AY136" s="226"/>
      <c r="AZ136" s="226"/>
      <c r="BA136" s="226"/>
      <c r="BB136" s="226"/>
      <c r="BC136" s="226"/>
      <c r="BD136" s="226"/>
      <c r="BE136" s="226"/>
      <c r="BF136" s="226"/>
      <c r="BG136" s="226"/>
      <c r="BH136" s="226"/>
      <c r="BI136" s="226"/>
      <c r="BJ136" s="226"/>
      <c r="BK136" s="226"/>
      <c r="BL136" s="226"/>
      <c r="BM136" s="226"/>
      <c r="BN136" s="226"/>
      <c r="BO136" s="226"/>
      <c r="BP136" s="226"/>
      <c r="BQ136" s="226"/>
      <c r="BR136" s="226"/>
      <c r="BS136" s="226"/>
      <c r="BT136" s="226"/>
      <c r="BU136" s="226"/>
      <c r="BV136" s="226"/>
      <c r="BW136" s="226"/>
      <c r="BX136" s="226"/>
      <c r="BY136" s="226"/>
      <c r="BZ136" s="226"/>
      <c r="CA136" s="226"/>
      <c r="CB136" s="226"/>
      <c r="CC136" s="226"/>
      <c r="CD136" s="226"/>
      <c r="CE136" s="226"/>
      <c r="CF136" s="226"/>
      <c r="CG136" s="226"/>
      <c r="CH136" s="226"/>
      <c r="CI136" s="226"/>
      <c r="CJ136" s="226"/>
      <c r="CK136" s="226"/>
      <c r="CL136" s="226"/>
      <c r="CM136" s="226"/>
      <c r="CN136" s="226"/>
      <c r="CO136" s="226"/>
      <c r="CP136" s="226"/>
      <c r="CQ136" s="226"/>
      <c r="CR136" s="226"/>
      <c r="CS136" s="226"/>
      <c r="CT136" s="226"/>
      <c r="CU136" s="226"/>
      <c r="CV136" s="226"/>
      <c r="CW136" s="226"/>
      <c r="CX136" s="226"/>
      <c r="CY136" s="226"/>
      <c r="CZ136" s="226"/>
      <c r="DA136" s="226"/>
      <c r="DB136" s="226"/>
      <c r="DC136" s="226"/>
      <c r="DD136" s="226"/>
      <c r="DE136" s="226"/>
      <c r="DF136" s="226"/>
      <c r="DG136" s="226"/>
      <c r="DH136" s="226"/>
      <c r="DI136" s="226"/>
      <c r="DJ136" s="226"/>
      <c r="DK136" s="226"/>
      <c r="DL136" s="226"/>
      <c r="DM136" s="226"/>
      <c r="DN136" s="226"/>
      <c r="DO136" s="226"/>
      <c r="DP136" s="226"/>
      <c r="DQ136" s="226"/>
      <c r="DR136" s="226"/>
      <c r="DS136" s="226"/>
      <c r="DT136" s="226"/>
      <c r="DU136" s="226"/>
      <c r="DV136" s="226"/>
      <c r="DW136" s="226"/>
      <c r="DX136" s="226"/>
      <c r="DY136" s="226"/>
      <c r="DZ136" s="226"/>
      <c r="EA136" s="226"/>
      <c r="EB136" s="226"/>
      <c r="EC136" s="226"/>
      <c r="ED136" s="226"/>
      <c r="EE136" s="226"/>
      <c r="EF136" s="226"/>
      <c r="EG136" s="226"/>
      <c r="EH136" s="226"/>
      <c r="EI136" s="226"/>
      <c r="EJ136" s="226"/>
      <c r="EK136" s="226"/>
      <c r="EL136" s="226"/>
      <c r="EM136" s="226"/>
      <c r="EN136" s="226"/>
      <c r="EO136" s="226"/>
      <c r="EP136" s="226"/>
      <c r="EQ136" s="226"/>
      <c r="ER136" s="226"/>
      <c r="ES136" s="226"/>
      <c r="ET136" s="226"/>
      <c r="EU136" s="226"/>
      <c r="EV136" s="226"/>
      <c r="EW136" s="226"/>
      <c r="EX136" s="226"/>
      <c r="EY136" s="226"/>
      <c r="EZ136" s="226"/>
      <c r="FA136" s="226"/>
      <c r="FB136" s="226"/>
      <c r="FC136" s="226"/>
      <c r="FD136" s="226"/>
      <c r="FE136" s="226"/>
      <c r="FF136" s="226"/>
      <c r="FG136" s="226"/>
      <c r="FH136" s="226"/>
      <c r="FI136" s="226"/>
      <c r="FJ136" s="226"/>
      <c r="FK136" s="226"/>
      <c r="FL136" s="226"/>
      <c r="FM136" s="226"/>
      <c r="FN136" s="226"/>
      <c r="FO136" s="226"/>
      <c r="FP136" s="226"/>
      <c r="FQ136" s="226"/>
      <c r="FR136" s="226"/>
      <c r="FS136" s="226"/>
      <c r="FT136" s="226"/>
      <c r="FU136" s="226"/>
      <c r="FV136" s="226"/>
      <c r="FW136" s="226"/>
      <c r="FX136" s="226"/>
      <c r="FY136" s="226"/>
      <c r="FZ136" s="226"/>
      <c r="GA136" s="226"/>
      <c r="GB136" s="226"/>
      <c r="GC136" s="226"/>
      <c r="GD136" s="226"/>
      <c r="GE136" s="226"/>
      <c r="GF136" s="226"/>
      <c r="GG136" s="226"/>
    </row>
    <row r="137" spans="1:189" s="225" customFormat="1" ht="15.95" customHeight="1">
      <c r="A137" s="231" t="e">
        <f>+#REF!</f>
        <v>#REF!</v>
      </c>
      <c r="B137" s="231" t="e">
        <f>+#REF!</f>
        <v>#REF!</v>
      </c>
      <c r="C137" s="228" t="s">
        <v>27</v>
      </c>
      <c r="D137" s="138">
        <f>J137</f>
        <v>0</v>
      </c>
      <c r="E137" s="108" t="e">
        <f>#REF!</f>
        <v>#REF!</v>
      </c>
      <c r="F137" s="65" t="e">
        <f>+D137*E137</f>
        <v>#REF!</v>
      </c>
      <c r="H137" s="259">
        <v>0</v>
      </c>
      <c r="I137" s="265">
        <v>1.05</v>
      </c>
      <c r="J137" s="259">
        <f>H137*I137</f>
        <v>0</v>
      </c>
      <c r="K137" s="226"/>
      <c r="L137" s="226"/>
      <c r="M137" s="226"/>
      <c r="N137" s="226"/>
      <c r="O137" s="226"/>
      <c r="P137" s="226"/>
      <c r="Q137" s="226"/>
      <c r="R137" s="226"/>
      <c r="S137" s="226"/>
      <c r="T137" s="226"/>
      <c r="U137" s="226"/>
      <c r="V137" s="226"/>
      <c r="W137" s="226"/>
      <c r="X137" s="226"/>
      <c r="Y137" s="226"/>
      <c r="Z137" s="226"/>
      <c r="AA137" s="226"/>
      <c r="AB137" s="226"/>
      <c r="AC137" s="226"/>
      <c r="AD137" s="226"/>
      <c r="AE137" s="226"/>
      <c r="AF137" s="226"/>
      <c r="AG137" s="226"/>
      <c r="AH137" s="226"/>
      <c r="AI137" s="226"/>
      <c r="AJ137" s="226"/>
      <c r="AK137" s="226"/>
      <c r="AL137" s="226"/>
      <c r="AM137" s="226"/>
      <c r="AN137" s="226"/>
      <c r="AO137" s="226"/>
      <c r="AP137" s="226"/>
      <c r="AQ137" s="226"/>
      <c r="AR137" s="226"/>
      <c r="AS137" s="226"/>
      <c r="AT137" s="226"/>
      <c r="AU137" s="226"/>
      <c r="AV137" s="226"/>
      <c r="AW137" s="226"/>
      <c r="AX137" s="226"/>
      <c r="AY137" s="226"/>
      <c r="AZ137" s="226"/>
      <c r="BA137" s="226"/>
      <c r="BB137" s="226"/>
      <c r="BC137" s="226"/>
      <c r="BD137" s="226"/>
      <c r="BE137" s="226"/>
      <c r="BF137" s="226"/>
      <c r="BG137" s="226"/>
      <c r="BH137" s="226"/>
      <c r="BI137" s="226"/>
      <c r="BJ137" s="226"/>
      <c r="BK137" s="226"/>
      <c r="BL137" s="226"/>
      <c r="BM137" s="226"/>
      <c r="BN137" s="226"/>
      <c r="BO137" s="226"/>
      <c r="BP137" s="226"/>
      <c r="BQ137" s="226"/>
      <c r="BR137" s="226"/>
      <c r="BS137" s="226"/>
      <c r="BT137" s="226"/>
      <c r="BU137" s="226"/>
      <c r="BV137" s="226"/>
      <c r="BW137" s="226"/>
      <c r="BX137" s="226"/>
      <c r="BY137" s="226"/>
      <c r="BZ137" s="226"/>
      <c r="CA137" s="226"/>
      <c r="CB137" s="226"/>
      <c r="CC137" s="226"/>
      <c r="CD137" s="226"/>
      <c r="CE137" s="226"/>
      <c r="CF137" s="226"/>
      <c r="CG137" s="226"/>
      <c r="CH137" s="226"/>
      <c r="CI137" s="226"/>
      <c r="CJ137" s="226"/>
      <c r="CK137" s="226"/>
      <c r="CL137" s="226"/>
      <c r="CM137" s="226"/>
      <c r="CN137" s="226"/>
      <c r="CO137" s="226"/>
      <c r="CP137" s="226"/>
      <c r="CQ137" s="226"/>
      <c r="CR137" s="226"/>
      <c r="CS137" s="226"/>
      <c r="CT137" s="226"/>
      <c r="CU137" s="226"/>
      <c r="CV137" s="226"/>
      <c r="CW137" s="226"/>
      <c r="CX137" s="226"/>
      <c r="CY137" s="226"/>
      <c r="CZ137" s="226"/>
      <c r="DA137" s="226"/>
      <c r="DB137" s="226"/>
      <c r="DC137" s="226"/>
      <c r="DD137" s="226"/>
      <c r="DE137" s="226"/>
      <c r="DF137" s="226"/>
      <c r="DG137" s="226"/>
      <c r="DH137" s="226"/>
      <c r="DI137" s="226"/>
      <c r="DJ137" s="226"/>
      <c r="DK137" s="226"/>
      <c r="DL137" s="226"/>
      <c r="DM137" s="226"/>
      <c r="DN137" s="226"/>
      <c r="DO137" s="226"/>
      <c r="DP137" s="226"/>
      <c r="DQ137" s="226"/>
      <c r="DR137" s="226"/>
      <c r="DS137" s="226"/>
      <c r="DT137" s="226"/>
      <c r="DU137" s="226"/>
      <c r="DV137" s="226"/>
      <c r="DW137" s="226"/>
      <c r="DX137" s="226"/>
      <c r="DY137" s="226"/>
      <c r="DZ137" s="226"/>
      <c r="EA137" s="226"/>
      <c r="EB137" s="226"/>
      <c r="EC137" s="226"/>
      <c r="ED137" s="226"/>
      <c r="EE137" s="226"/>
      <c r="EF137" s="226"/>
      <c r="EG137" s="226"/>
      <c r="EH137" s="226"/>
      <c r="EI137" s="226"/>
      <c r="EJ137" s="226"/>
      <c r="EK137" s="226"/>
      <c r="EL137" s="226"/>
      <c r="EM137" s="226"/>
      <c r="EN137" s="226"/>
      <c r="EO137" s="226"/>
      <c r="EP137" s="226"/>
      <c r="EQ137" s="226"/>
      <c r="ER137" s="226"/>
      <c r="ES137" s="226"/>
      <c r="ET137" s="226"/>
      <c r="EU137" s="226"/>
      <c r="EV137" s="226"/>
      <c r="EW137" s="226"/>
      <c r="EX137" s="226"/>
      <c r="EY137" s="226"/>
      <c r="EZ137" s="226"/>
      <c r="FA137" s="226"/>
      <c r="FB137" s="226"/>
      <c r="FC137" s="226"/>
      <c r="FD137" s="226"/>
      <c r="FE137" s="226"/>
      <c r="FF137" s="226"/>
      <c r="FG137" s="226"/>
      <c r="FH137" s="226"/>
      <c r="FI137" s="226"/>
      <c r="FJ137" s="226"/>
      <c r="FK137" s="226"/>
      <c r="FL137" s="226"/>
      <c r="FM137" s="226"/>
      <c r="FN137" s="226"/>
      <c r="FO137" s="226"/>
      <c r="FP137" s="226"/>
      <c r="FQ137" s="226"/>
      <c r="FR137" s="226"/>
      <c r="FS137" s="226"/>
      <c r="FT137" s="226"/>
      <c r="FU137" s="226"/>
      <c r="FV137" s="226"/>
      <c r="FW137" s="226"/>
      <c r="FX137" s="226"/>
      <c r="FY137" s="226"/>
      <c r="FZ137" s="226"/>
      <c r="GA137" s="226"/>
      <c r="GB137" s="226"/>
      <c r="GC137" s="226"/>
      <c r="GD137" s="226"/>
      <c r="GE137" s="226"/>
      <c r="GF137" s="226"/>
      <c r="GG137" s="226"/>
    </row>
    <row r="138" spans="1:189" s="225" customFormat="1" ht="18" customHeight="1">
      <c r="A138" s="17"/>
      <c r="B138" s="230"/>
      <c r="C138" s="228"/>
      <c r="D138" s="138"/>
      <c r="E138" s="108"/>
      <c r="F138" s="65"/>
      <c r="H138" s="259"/>
      <c r="I138" s="265">
        <v>1.05</v>
      </c>
      <c r="J138" s="259"/>
      <c r="K138" s="226"/>
      <c r="L138" s="226"/>
      <c r="M138" s="226"/>
      <c r="N138" s="226"/>
      <c r="O138" s="226"/>
      <c r="P138" s="226"/>
      <c r="Q138" s="226"/>
      <c r="R138" s="226"/>
      <c r="S138" s="226"/>
      <c r="T138" s="226"/>
      <c r="U138" s="226"/>
      <c r="V138" s="226"/>
      <c r="W138" s="226"/>
      <c r="X138" s="226"/>
      <c r="Y138" s="226"/>
      <c r="Z138" s="226"/>
      <c r="AA138" s="226"/>
      <c r="AB138" s="226"/>
      <c r="AC138" s="226"/>
      <c r="AD138" s="226"/>
      <c r="AE138" s="226"/>
      <c r="AF138" s="226"/>
      <c r="AG138" s="226"/>
      <c r="AH138" s="226"/>
      <c r="AI138" s="226"/>
      <c r="AJ138" s="226"/>
      <c r="AK138" s="226"/>
      <c r="AL138" s="226"/>
      <c r="AM138" s="226"/>
      <c r="AN138" s="226"/>
      <c r="AO138" s="226"/>
      <c r="AP138" s="226"/>
      <c r="AQ138" s="226"/>
      <c r="AR138" s="226"/>
      <c r="AS138" s="226"/>
      <c r="AT138" s="226"/>
      <c r="AU138" s="226"/>
      <c r="AV138" s="226"/>
      <c r="AW138" s="226"/>
      <c r="AX138" s="226"/>
      <c r="AY138" s="226"/>
      <c r="AZ138" s="226"/>
      <c r="BA138" s="226"/>
      <c r="BB138" s="226"/>
      <c r="BC138" s="226"/>
      <c r="BD138" s="226"/>
      <c r="BE138" s="226"/>
      <c r="BF138" s="226"/>
      <c r="BG138" s="226"/>
      <c r="BH138" s="226"/>
      <c r="BI138" s="226"/>
      <c r="BJ138" s="226"/>
      <c r="BK138" s="226"/>
      <c r="BL138" s="226"/>
      <c r="BM138" s="226"/>
      <c r="BN138" s="226"/>
      <c r="BO138" s="226"/>
      <c r="BP138" s="226"/>
      <c r="BQ138" s="226"/>
      <c r="BR138" s="226"/>
      <c r="BS138" s="226"/>
      <c r="BT138" s="226"/>
      <c r="BU138" s="226"/>
      <c r="BV138" s="226"/>
      <c r="BW138" s="226"/>
      <c r="BX138" s="226"/>
      <c r="BY138" s="226"/>
      <c r="BZ138" s="226"/>
      <c r="CA138" s="226"/>
      <c r="CB138" s="226"/>
      <c r="CC138" s="226"/>
      <c r="CD138" s="226"/>
      <c r="CE138" s="226"/>
      <c r="CF138" s="226"/>
      <c r="CG138" s="226"/>
      <c r="CH138" s="226"/>
      <c r="CI138" s="226"/>
      <c r="CJ138" s="226"/>
      <c r="CK138" s="226"/>
      <c r="CL138" s="226"/>
      <c r="CM138" s="226"/>
      <c r="CN138" s="226"/>
      <c r="CO138" s="226"/>
      <c r="CP138" s="226"/>
      <c r="CQ138" s="226"/>
      <c r="CR138" s="226"/>
      <c r="CS138" s="226"/>
      <c r="CT138" s="226"/>
      <c r="CU138" s="226"/>
      <c r="CV138" s="226"/>
      <c r="CW138" s="226"/>
      <c r="CX138" s="226"/>
      <c r="CY138" s="226"/>
      <c r="CZ138" s="226"/>
      <c r="DA138" s="226"/>
      <c r="DB138" s="226"/>
      <c r="DC138" s="226"/>
      <c r="DD138" s="226"/>
      <c r="DE138" s="226"/>
      <c r="DF138" s="226"/>
      <c r="DG138" s="226"/>
      <c r="DH138" s="226"/>
      <c r="DI138" s="226"/>
      <c r="DJ138" s="226"/>
      <c r="DK138" s="226"/>
      <c r="DL138" s="226"/>
      <c r="DM138" s="226"/>
      <c r="DN138" s="226"/>
      <c r="DO138" s="226"/>
      <c r="DP138" s="226"/>
      <c r="DQ138" s="226"/>
      <c r="DR138" s="226"/>
      <c r="DS138" s="226"/>
      <c r="DT138" s="226"/>
      <c r="DU138" s="226"/>
      <c r="DV138" s="226"/>
      <c r="DW138" s="226"/>
      <c r="DX138" s="226"/>
      <c r="DY138" s="226"/>
      <c r="DZ138" s="226"/>
      <c r="EA138" s="226"/>
      <c r="EB138" s="226"/>
      <c r="EC138" s="226"/>
      <c r="ED138" s="226"/>
      <c r="EE138" s="226"/>
      <c r="EF138" s="226"/>
      <c r="EG138" s="226"/>
      <c r="EH138" s="226"/>
      <c r="EI138" s="226"/>
      <c r="EJ138" s="226"/>
      <c r="EK138" s="226"/>
      <c r="EL138" s="226"/>
      <c r="EM138" s="226"/>
      <c r="EN138" s="226"/>
      <c r="EO138" s="226"/>
      <c r="EP138" s="226"/>
      <c r="EQ138" s="226"/>
      <c r="ER138" s="226"/>
      <c r="ES138" s="226"/>
      <c r="ET138" s="226"/>
      <c r="EU138" s="226"/>
      <c r="EV138" s="226"/>
      <c r="EW138" s="226"/>
      <c r="EX138" s="226"/>
      <c r="EY138" s="226"/>
      <c r="EZ138" s="226"/>
      <c r="FA138" s="226"/>
      <c r="FB138" s="226"/>
      <c r="FC138" s="226"/>
      <c r="FD138" s="226"/>
      <c r="FE138" s="226"/>
      <c r="FF138" s="226"/>
      <c r="FG138" s="226"/>
      <c r="FH138" s="226"/>
      <c r="FI138" s="226"/>
      <c r="FJ138" s="226"/>
      <c r="FK138" s="226"/>
      <c r="FL138" s="226"/>
      <c r="FM138" s="226"/>
      <c r="FN138" s="226"/>
      <c r="FO138" s="226"/>
      <c r="FP138" s="226"/>
      <c r="FQ138" s="226"/>
      <c r="FR138" s="226"/>
      <c r="FS138" s="226"/>
      <c r="FT138" s="226"/>
      <c r="FU138" s="226"/>
      <c r="FV138" s="226"/>
      <c r="FW138" s="226"/>
      <c r="FX138" s="226"/>
      <c r="FY138" s="226"/>
      <c r="FZ138" s="226"/>
      <c r="GA138" s="226"/>
      <c r="GB138" s="226"/>
      <c r="GC138" s="226"/>
      <c r="GD138" s="226"/>
      <c r="GE138" s="226"/>
      <c r="GF138" s="226"/>
      <c r="GG138" s="226"/>
    </row>
    <row r="139" spans="1:189" s="225" customFormat="1" ht="16.5" customHeight="1">
      <c r="A139" s="141">
        <v>515</v>
      </c>
      <c r="B139" s="43" t="s">
        <v>148</v>
      </c>
      <c r="C139" s="248"/>
      <c r="D139" s="249"/>
      <c r="E139" s="109"/>
      <c r="F139" s="63"/>
      <c r="H139" s="259"/>
      <c r="I139" s="265">
        <v>1.05</v>
      </c>
      <c r="J139" s="259"/>
      <c r="K139" s="226"/>
      <c r="L139" s="226"/>
      <c r="M139" s="226"/>
      <c r="N139" s="226"/>
      <c r="O139" s="226"/>
      <c r="P139" s="226"/>
      <c r="Q139" s="226"/>
      <c r="R139" s="226"/>
      <c r="S139" s="226"/>
      <c r="T139" s="226"/>
      <c r="U139" s="226"/>
      <c r="V139" s="226"/>
      <c r="W139" s="226"/>
      <c r="X139" s="226"/>
      <c r="Y139" s="226"/>
      <c r="Z139" s="226"/>
      <c r="AA139" s="226"/>
      <c r="AB139" s="226"/>
      <c r="AC139" s="226"/>
      <c r="AD139" s="226"/>
      <c r="AE139" s="226"/>
      <c r="AF139" s="226"/>
      <c r="AG139" s="226"/>
      <c r="AH139" s="226"/>
      <c r="AI139" s="226"/>
      <c r="AJ139" s="226"/>
      <c r="AK139" s="226"/>
      <c r="AL139" s="226"/>
      <c r="AM139" s="226"/>
      <c r="AN139" s="226"/>
      <c r="AO139" s="226"/>
      <c r="AP139" s="226"/>
      <c r="AQ139" s="226"/>
      <c r="AR139" s="226"/>
      <c r="AS139" s="226"/>
      <c r="AT139" s="226"/>
      <c r="AU139" s="226"/>
      <c r="AV139" s="226"/>
      <c r="AW139" s="226"/>
      <c r="AX139" s="226"/>
      <c r="AY139" s="226"/>
      <c r="AZ139" s="226"/>
      <c r="BA139" s="226"/>
      <c r="BB139" s="226"/>
      <c r="BC139" s="226"/>
      <c r="BD139" s="226"/>
      <c r="BE139" s="226"/>
      <c r="BF139" s="226"/>
      <c r="BG139" s="226"/>
      <c r="BH139" s="226"/>
      <c r="BI139" s="226"/>
      <c r="BJ139" s="226"/>
      <c r="BK139" s="226"/>
      <c r="BL139" s="226"/>
      <c r="BM139" s="226"/>
      <c r="BN139" s="226"/>
      <c r="BO139" s="226"/>
      <c r="BP139" s="226"/>
      <c r="BQ139" s="226"/>
      <c r="BR139" s="226"/>
      <c r="BS139" s="226"/>
      <c r="BT139" s="226"/>
      <c r="BU139" s="226"/>
      <c r="BV139" s="226"/>
      <c r="BW139" s="226"/>
      <c r="BX139" s="226"/>
      <c r="BY139" s="226"/>
      <c r="BZ139" s="226"/>
      <c r="CA139" s="226"/>
      <c r="CB139" s="226"/>
      <c r="CC139" s="226"/>
      <c r="CD139" s="226"/>
      <c r="CE139" s="226"/>
      <c r="CF139" s="226"/>
      <c r="CG139" s="226"/>
      <c r="CH139" s="226"/>
      <c r="CI139" s="226"/>
      <c r="CJ139" s="226"/>
      <c r="CK139" s="226"/>
      <c r="CL139" s="226"/>
      <c r="CM139" s="226"/>
      <c r="CN139" s="226"/>
      <c r="CO139" s="226"/>
      <c r="CP139" s="226"/>
      <c r="CQ139" s="226"/>
      <c r="CR139" s="226"/>
      <c r="CS139" s="226"/>
      <c r="CT139" s="226"/>
      <c r="CU139" s="226"/>
      <c r="CV139" s="226"/>
      <c r="CW139" s="226"/>
      <c r="CX139" s="226"/>
      <c r="CY139" s="226"/>
      <c r="CZ139" s="226"/>
      <c r="DA139" s="226"/>
      <c r="DB139" s="226"/>
      <c r="DC139" s="226"/>
      <c r="DD139" s="226"/>
      <c r="DE139" s="226"/>
      <c r="DF139" s="226"/>
      <c r="DG139" s="226"/>
      <c r="DH139" s="226"/>
      <c r="DI139" s="226"/>
      <c r="DJ139" s="226"/>
      <c r="DK139" s="226"/>
      <c r="DL139" s="226"/>
      <c r="DM139" s="226"/>
      <c r="DN139" s="226"/>
      <c r="DO139" s="226"/>
      <c r="DP139" s="226"/>
      <c r="DQ139" s="226"/>
      <c r="DR139" s="226"/>
      <c r="DS139" s="226"/>
      <c r="DT139" s="226"/>
      <c r="DU139" s="226"/>
      <c r="DV139" s="226"/>
      <c r="DW139" s="226"/>
      <c r="DX139" s="226"/>
      <c r="DY139" s="226"/>
      <c r="DZ139" s="226"/>
      <c r="EA139" s="226"/>
      <c r="EB139" s="226"/>
      <c r="EC139" s="226"/>
      <c r="ED139" s="226"/>
      <c r="EE139" s="226"/>
      <c r="EF139" s="226"/>
      <c r="EG139" s="226"/>
      <c r="EH139" s="226"/>
      <c r="EI139" s="226"/>
      <c r="EJ139" s="226"/>
      <c r="EK139" s="226"/>
      <c r="EL139" s="226"/>
      <c r="EM139" s="226"/>
      <c r="EN139" s="226"/>
      <c r="EO139" s="226"/>
      <c r="EP139" s="226"/>
      <c r="EQ139" s="226"/>
      <c r="ER139" s="226"/>
      <c r="ES139" s="226"/>
      <c r="ET139" s="226"/>
      <c r="EU139" s="226"/>
      <c r="EV139" s="226"/>
      <c r="EW139" s="226"/>
      <c r="EX139" s="226"/>
      <c r="EY139" s="226"/>
      <c r="EZ139" s="226"/>
      <c r="FA139" s="226"/>
      <c r="FB139" s="226"/>
      <c r="FC139" s="226"/>
      <c r="FD139" s="226"/>
      <c r="FE139" s="226"/>
      <c r="FF139" s="226"/>
      <c r="FG139" s="226"/>
      <c r="FH139" s="226"/>
      <c r="FI139" s="226"/>
      <c r="FJ139" s="226"/>
      <c r="FK139" s="226"/>
      <c r="FL139" s="226"/>
      <c r="FM139" s="226"/>
      <c r="FN139" s="226"/>
      <c r="FO139" s="226"/>
      <c r="FP139" s="226"/>
      <c r="FQ139" s="226"/>
      <c r="FR139" s="226"/>
      <c r="FS139" s="226"/>
      <c r="FT139" s="226"/>
      <c r="FU139" s="226"/>
      <c r="FV139" s="226"/>
      <c r="FW139" s="226"/>
      <c r="FX139" s="226"/>
      <c r="FY139" s="226"/>
      <c r="FZ139" s="226"/>
      <c r="GA139" s="226"/>
      <c r="GB139" s="226"/>
      <c r="GC139" s="226"/>
      <c r="GD139" s="226"/>
      <c r="GE139" s="226"/>
      <c r="GF139" s="226"/>
      <c r="GG139" s="226"/>
    </row>
    <row r="140" spans="1:189" s="225" customFormat="1" ht="15.95" customHeight="1">
      <c r="A140" s="143" t="s">
        <v>150</v>
      </c>
      <c r="B140" s="242" t="s">
        <v>221</v>
      </c>
      <c r="C140" s="251" t="s">
        <v>27</v>
      </c>
      <c r="D140" s="82">
        <f>J140</f>
        <v>0</v>
      </c>
      <c r="E140" s="107" t="e">
        <f>#REF!</f>
        <v>#REF!</v>
      </c>
      <c r="F140" s="64" t="e">
        <f>+D140*E140</f>
        <v>#REF!</v>
      </c>
      <c r="H140" s="259">
        <v>0</v>
      </c>
      <c r="I140" s="265">
        <v>1.05</v>
      </c>
      <c r="J140" s="259">
        <f>H140*I140</f>
        <v>0</v>
      </c>
      <c r="K140" s="226"/>
      <c r="L140" s="226"/>
      <c r="M140" s="226"/>
      <c r="N140" s="226"/>
      <c r="O140" s="226"/>
      <c r="P140" s="226"/>
      <c r="Q140" s="226"/>
      <c r="R140" s="226"/>
      <c r="S140" s="226"/>
      <c r="T140" s="226"/>
      <c r="U140" s="226"/>
      <c r="V140" s="226"/>
      <c r="W140" s="226"/>
      <c r="X140" s="226"/>
      <c r="Y140" s="226"/>
      <c r="Z140" s="226"/>
      <c r="AA140" s="226"/>
      <c r="AB140" s="226"/>
      <c r="AC140" s="226"/>
      <c r="AD140" s="226"/>
      <c r="AE140" s="226"/>
      <c r="AF140" s="226"/>
      <c r="AG140" s="226"/>
      <c r="AH140" s="226"/>
      <c r="AI140" s="226"/>
      <c r="AJ140" s="226"/>
      <c r="AK140" s="226"/>
      <c r="AL140" s="226"/>
      <c r="AM140" s="226"/>
      <c r="AN140" s="226"/>
      <c r="AO140" s="226"/>
      <c r="AP140" s="226"/>
      <c r="AQ140" s="226"/>
      <c r="AR140" s="226"/>
      <c r="AS140" s="226"/>
      <c r="AT140" s="226"/>
      <c r="AU140" s="226"/>
      <c r="AV140" s="226"/>
      <c r="AW140" s="226"/>
      <c r="AX140" s="226"/>
      <c r="AY140" s="226"/>
      <c r="AZ140" s="226"/>
      <c r="BA140" s="226"/>
      <c r="BB140" s="226"/>
      <c r="BC140" s="226"/>
      <c r="BD140" s="226"/>
      <c r="BE140" s="226"/>
      <c r="BF140" s="226"/>
      <c r="BG140" s="226"/>
      <c r="BH140" s="226"/>
      <c r="BI140" s="226"/>
      <c r="BJ140" s="226"/>
      <c r="BK140" s="226"/>
      <c r="BL140" s="226"/>
      <c r="BM140" s="226"/>
      <c r="BN140" s="226"/>
      <c r="BO140" s="226"/>
      <c r="BP140" s="226"/>
      <c r="BQ140" s="226"/>
      <c r="BR140" s="226"/>
      <c r="BS140" s="226"/>
      <c r="BT140" s="226"/>
      <c r="BU140" s="226"/>
      <c r="BV140" s="226"/>
      <c r="BW140" s="226"/>
      <c r="BX140" s="226"/>
      <c r="BY140" s="226"/>
      <c r="BZ140" s="226"/>
      <c r="CA140" s="226"/>
      <c r="CB140" s="226"/>
      <c r="CC140" s="226"/>
      <c r="CD140" s="226"/>
      <c r="CE140" s="226"/>
      <c r="CF140" s="226"/>
      <c r="CG140" s="226"/>
      <c r="CH140" s="226"/>
      <c r="CI140" s="226"/>
      <c r="CJ140" s="226"/>
      <c r="CK140" s="226"/>
      <c r="CL140" s="226"/>
      <c r="CM140" s="226"/>
      <c r="CN140" s="226"/>
      <c r="CO140" s="226"/>
      <c r="CP140" s="226"/>
      <c r="CQ140" s="226"/>
      <c r="CR140" s="226"/>
      <c r="CS140" s="226"/>
      <c r="CT140" s="226"/>
      <c r="CU140" s="226"/>
      <c r="CV140" s="226"/>
      <c r="CW140" s="226"/>
      <c r="CX140" s="226"/>
      <c r="CY140" s="226"/>
      <c r="CZ140" s="226"/>
      <c r="DA140" s="226"/>
      <c r="DB140" s="226"/>
      <c r="DC140" s="226"/>
      <c r="DD140" s="226"/>
      <c r="DE140" s="226"/>
      <c r="DF140" s="226"/>
      <c r="DG140" s="226"/>
      <c r="DH140" s="226"/>
      <c r="DI140" s="226"/>
      <c r="DJ140" s="226"/>
      <c r="DK140" s="226"/>
      <c r="DL140" s="226"/>
      <c r="DM140" s="226"/>
      <c r="DN140" s="226"/>
      <c r="DO140" s="226"/>
      <c r="DP140" s="226"/>
      <c r="DQ140" s="226"/>
      <c r="DR140" s="226"/>
      <c r="DS140" s="226"/>
      <c r="DT140" s="226"/>
      <c r="DU140" s="226"/>
      <c r="DV140" s="226"/>
      <c r="DW140" s="226"/>
      <c r="DX140" s="226"/>
      <c r="DY140" s="226"/>
      <c r="DZ140" s="226"/>
      <c r="EA140" s="226"/>
      <c r="EB140" s="226"/>
      <c r="EC140" s="226"/>
      <c r="ED140" s="226"/>
      <c r="EE140" s="226"/>
      <c r="EF140" s="226"/>
      <c r="EG140" s="226"/>
      <c r="EH140" s="226"/>
      <c r="EI140" s="226"/>
      <c r="EJ140" s="226"/>
      <c r="EK140" s="226"/>
      <c r="EL140" s="226"/>
      <c r="EM140" s="226"/>
      <c r="EN140" s="226"/>
      <c r="EO140" s="226"/>
      <c r="EP140" s="226"/>
      <c r="EQ140" s="226"/>
      <c r="ER140" s="226"/>
      <c r="ES140" s="226"/>
      <c r="ET140" s="226"/>
      <c r="EU140" s="226"/>
      <c r="EV140" s="226"/>
      <c r="EW140" s="226"/>
      <c r="EX140" s="226"/>
      <c r="EY140" s="226"/>
      <c r="EZ140" s="226"/>
      <c r="FA140" s="226"/>
      <c r="FB140" s="226"/>
      <c r="FC140" s="226"/>
      <c r="FD140" s="226"/>
      <c r="FE140" s="226"/>
      <c r="FF140" s="226"/>
      <c r="FG140" s="226"/>
      <c r="FH140" s="226"/>
      <c r="FI140" s="226"/>
      <c r="FJ140" s="226"/>
      <c r="FK140" s="226"/>
      <c r="FL140" s="226"/>
      <c r="FM140" s="226"/>
      <c r="FN140" s="226"/>
      <c r="FO140" s="226"/>
      <c r="FP140" s="226"/>
      <c r="FQ140" s="226"/>
      <c r="FR140" s="226"/>
      <c r="FS140" s="226"/>
      <c r="FT140" s="226"/>
      <c r="FU140" s="226"/>
      <c r="FV140" s="226"/>
      <c r="FW140" s="226"/>
      <c r="FX140" s="226"/>
      <c r="FY140" s="226"/>
      <c r="FZ140" s="226"/>
      <c r="GA140" s="226"/>
      <c r="GB140" s="226"/>
      <c r="GC140" s="226"/>
      <c r="GD140" s="226"/>
      <c r="GE140" s="226"/>
      <c r="GF140" s="226"/>
      <c r="GG140" s="226"/>
    </row>
    <row r="141" spans="1:189" s="225" customFormat="1" ht="16.5" customHeight="1">
      <c r="A141" s="621">
        <v>516</v>
      </c>
      <c r="B141" s="622" t="s">
        <v>151</v>
      </c>
      <c r="C141" s="626"/>
      <c r="D141" s="627"/>
      <c r="E141" s="529"/>
      <c r="F141" s="530"/>
      <c r="H141" s="259"/>
      <c r="I141" s="265">
        <v>1.05</v>
      </c>
      <c r="J141" s="259"/>
      <c r="K141" s="226"/>
      <c r="L141" s="226"/>
      <c r="M141" s="226"/>
      <c r="N141" s="226"/>
      <c r="O141" s="226"/>
      <c r="P141" s="226"/>
      <c r="Q141" s="226"/>
      <c r="R141" s="226"/>
      <c r="S141" s="226"/>
      <c r="T141" s="226"/>
      <c r="U141" s="226"/>
      <c r="V141" s="226"/>
      <c r="W141" s="226"/>
      <c r="X141" s="226"/>
      <c r="Y141" s="226"/>
      <c r="Z141" s="226"/>
      <c r="AA141" s="226"/>
      <c r="AB141" s="226"/>
      <c r="AC141" s="226"/>
      <c r="AD141" s="226"/>
      <c r="AE141" s="226"/>
      <c r="AF141" s="226"/>
      <c r="AG141" s="226"/>
      <c r="AH141" s="226"/>
      <c r="AI141" s="226"/>
      <c r="AJ141" s="226"/>
      <c r="AK141" s="226"/>
      <c r="AL141" s="226"/>
      <c r="AM141" s="226"/>
      <c r="AN141" s="226"/>
      <c r="AO141" s="226"/>
      <c r="AP141" s="226"/>
      <c r="AQ141" s="226"/>
      <c r="AR141" s="226"/>
      <c r="AS141" s="226"/>
      <c r="AT141" s="226"/>
      <c r="AU141" s="226"/>
      <c r="AV141" s="226"/>
      <c r="AW141" s="226"/>
      <c r="AX141" s="226"/>
      <c r="AY141" s="226"/>
      <c r="AZ141" s="226"/>
      <c r="BA141" s="226"/>
      <c r="BB141" s="226"/>
      <c r="BC141" s="226"/>
      <c r="BD141" s="226"/>
      <c r="BE141" s="226"/>
      <c r="BF141" s="226"/>
      <c r="BG141" s="226"/>
      <c r="BH141" s="226"/>
      <c r="BI141" s="226"/>
      <c r="BJ141" s="226"/>
      <c r="BK141" s="226"/>
      <c r="BL141" s="226"/>
      <c r="BM141" s="226"/>
      <c r="BN141" s="226"/>
      <c r="BO141" s="226"/>
      <c r="BP141" s="226"/>
      <c r="BQ141" s="226"/>
      <c r="BR141" s="226"/>
      <c r="BS141" s="226"/>
      <c r="BT141" s="226"/>
      <c r="BU141" s="226"/>
      <c r="BV141" s="226"/>
      <c r="BW141" s="226"/>
      <c r="BX141" s="226"/>
      <c r="BY141" s="226"/>
      <c r="BZ141" s="226"/>
      <c r="CA141" s="226"/>
      <c r="CB141" s="226"/>
      <c r="CC141" s="226"/>
      <c r="CD141" s="226"/>
      <c r="CE141" s="226"/>
      <c r="CF141" s="226"/>
      <c r="CG141" s="226"/>
      <c r="CH141" s="226"/>
      <c r="CI141" s="226"/>
      <c r="CJ141" s="226"/>
      <c r="CK141" s="226"/>
      <c r="CL141" s="226"/>
      <c r="CM141" s="226"/>
      <c r="CN141" s="226"/>
      <c r="CO141" s="226"/>
      <c r="CP141" s="226"/>
      <c r="CQ141" s="226"/>
      <c r="CR141" s="226"/>
      <c r="CS141" s="226"/>
      <c r="CT141" s="226"/>
      <c r="CU141" s="226"/>
      <c r="CV141" s="226"/>
      <c r="CW141" s="226"/>
      <c r="CX141" s="226"/>
      <c r="CY141" s="226"/>
      <c r="CZ141" s="226"/>
      <c r="DA141" s="226"/>
      <c r="DB141" s="226"/>
      <c r="DC141" s="226"/>
      <c r="DD141" s="226"/>
      <c r="DE141" s="226"/>
      <c r="DF141" s="226"/>
      <c r="DG141" s="226"/>
      <c r="DH141" s="226"/>
      <c r="DI141" s="226"/>
      <c r="DJ141" s="226"/>
      <c r="DK141" s="226"/>
      <c r="DL141" s="226"/>
      <c r="DM141" s="226"/>
      <c r="DN141" s="226"/>
      <c r="DO141" s="226"/>
      <c r="DP141" s="226"/>
      <c r="DQ141" s="226"/>
      <c r="DR141" s="226"/>
      <c r="DS141" s="226"/>
      <c r="DT141" s="226"/>
      <c r="DU141" s="226"/>
      <c r="DV141" s="226"/>
      <c r="DW141" s="226"/>
      <c r="DX141" s="226"/>
      <c r="DY141" s="226"/>
      <c r="DZ141" s="226"/>
      <c r="EA141" s="226"/>
      <c r="EB141" s="226"/>
      <c r="EC141" s="226"/>
      <c r="ED141" s="226"/>
      <c r="EE141" s="226"/>
      <c r="EF141" s="226"/>
      <c r="EG141" s="226"/>
      <c r="EH141" s="226"/>
      <c r="EI141" s="226"/>
      <c r="EJ141" s="226"/>
      <c r="EK141" s="226"/>
      <c r="EL141" s="226"/>
      <c r="EM141" s="226"/>
      <c r="EN141" s="226"/>
      <c r="EO141" s="226"/>
      <c r="EP141" s="226"/>
      <c r="EQ141" s="226"/>
      <c r="ER141" s="226"/>
      <c r="ES141" s="226"/>
      <c r="ET141" s="226"/>
      <c r="EU141" s="226"/>
      <c r="EV141" s="226"/>
      <c r="EW141" s="226"/>
      <c r="EX141" s="226"/>
      <c r="EY141" s="226"/>
      <c r="EZ141" s="226"/>
      <c r="FA141" s="226"/>
      <c r="FB141" s="226"/>
      <c r="FC141" s="226"/>
      <c r="FD141" s="226"/>
      <c r="FE141" s="226"/>
      <c r="FF141" s="226"/>
      <c r="FG141" s="226"/>
      <c r="FH141" s="226"/>
      <c r="FI141" s="226"/>
      <c r="FJ141" s="226"/>
      <c r="FK141" s="226"/>
      <c r="FL141" s="226"/>
      <c r="FM141" s="226"/>
      <c r="FN141" s="226"/>
      <c r="FO141" s="226"/>
      <c r="FP141" s="226"/>
      <c r="FQ141" s="226"/>
      <c r="FR141" s="226"/>
      <c r="FS141" s="226"/>
      <c r="FT141" s="226"/>
      <c r="FU141" s="226"/>
      <c r="FV141" s="226"/>
      <c r="FW141" s="226"/>
      <c r="FX141" s="226"/>
      <c r="FY141" s="226"/>
      <c r="FZ141" s="226"/>
      <c r="GA141" s="226"/>
      <c r="GB141" s="226"/>
      <c r="GC141" s="226"/>
      <c r="GD141" s="226"/>
      <c r="GE141" s="226"/>
      <c r="GF141" s="226"/>
      <c r="GG141" s="226"/>
    </row>
    <row r="142" spans="1:189" s="225" customFormat="1" ht="15.95" customHeight="1">
      <c r="A142" s="398" t="e">
        <f>+#REF!</f>
        <v>#REF!</v>
      </c>
      <c r="B142" s="628" t="e">
        <f>+#REF!</f>
        <v>#REF!</v>
      </c>
      <c r="C142" s="629" t="s">
        <v>1</v>
      </c>
      <c r="D142" s="392">
        <f>J142*0</f>
        <v>0</v>
      </c>
      <c r="E142" s="391" t="e">
        <f>#REF!</f>
        <v>#REF!</v>
      </c>
      <c r="F142" s="335" t="e">
        <f>+D142*E142</f>
        <v>#REF!</v>
      </c>
      <c r="H142" s="259">
        <f>+F3+F4</f>
        <v>465</v>
      </c>
      <c r="I142" s="265">
        <v>1.05</v>
      </c>
      <c r="J142" s="259">
        <f>H142*I142</f>
        <v>488.25</v>
      </c>
      <c r="K142" s="226"/>
      <c r="L142" s="226"/>
      <c r="M142" s="226"/>
      <c r="N142" s="226"/>
      <c r="O142" s="226"/>
      <c r="P142" s="226"/>
      <c r="Q142" s="226"/>
      <c r="R142" s="226"/>
      <c r="S142" s="226"/>
      <c r="T142" s="226"/>
      <c r="U142" s="226"/>
      <c r="V142" s="226"/>
      <c r="W142" s="226"/>
      <c r="X142" s="226"/>
      <c r="Y142" s="226"/>
      <c r="Z142" s="226"/>
      <c r="AA142" s="226"/>
      <c r="AB142" s="226"/>
      <c r="AC142" s="226"/>
      <c r="AD142" s="226"/>
      <c r="AE142" s="226"/>
      <c r="AF142" s="226"/>
      <c r="AG142" s="226"/>
      <c r="AH142" s="226"/>
      <c r="AI142" s="226"/>
      <c r="AJ142" s="226"/>
      <c r="AK142" s="226"/>
      <c r="AL142" s="226"/>
      <c r="AM142" s="226"/>
      <c r="AN142" s="226"/>
      <c r="AO142" s="226"/>
      <c r="AP142" s="226"/>
      <c r="AQ142" s="226"/>
      <c r="AR142" s="226"/>
      <c r="AS142" s="226"/>
      <c r="AT142" s="226"/>
      <c r="AU142" s="226"/>
      <c r="AV142" s="226"/>
      <c r="AW142" s="226"/>
      <c r="AX142" s="226"/>
      <c r="AY142" s="226"/>
      <c r="AZ142" s="226"/>
      <c r="BA142" s="226"/>
      <c r="BB142" s="226"/>
      <c r="BC142" s="226"/>
      <c r="BD142" s="226"/>
      <c r="BE142" s="226"/>
      <c r="BF142" s="226"/>
      <c r="BG142" s="226"/>
      <c r="BH142" s="226"/>
      <c r="BI142" s="226"/>
      <c r="BJ142" s="226"/>
      <c r="BK142" s="226"/>
      <c r="BL142" s="226"/>
      <c r="BM142" s="226"/>
      <c r="BN142" s="226"/>
      <c r="BO142" s="226"/>
      <c r="BP142" s="226"/>
      <c r="BQ142" s="226"/>
      <c r="BR142" s="226"/>
      <c r="BS142" s="226"/>
      <c r="BT142" s="226"/>
      <c r="BU142" s="226"/>
      <c r="BV142" s="226"/>
      <c r="BW142" s="226"/>
      <c r="BX142" s="226"/>
      <c r="BY142" s="226"/>
      <c r="BZ142" s="226"/>
      <c r="CA142" s="226"/>
      <c r="CB142" s="226"/>
      <c r="CC142" s="226"/>
      <c r="CD142" s="226"/>
      <c r="CE142" s="226"/>
      <c r="CF142" s="226"/>
      <c r="CG142" s="226"/>
      <c r="CH142" s="226"/>
      <c r="CI142" s="226"/>
      <c r="CJ142" s="226"/>
      <c r="CK142" s="226"/>
      <c r="CL142" s="226"/>
      <c r="CM142" s="226"/>
      <c r="CN142" s="226"/>
      <c r="CO142" s="226"/>
      <c r="CP142" s="226"/>
      <c r="CQ142" s="226"/>
      <c r="CR142" s="226"/>
      <c r="CS142" s="226"/>
      <c r="CT142" s="226"/>
      <c r="CU142" s="226"/>
      <c r="CV142" s="226"/>
      <c r="CW142" s="226"/>
      <c r="CX142" s="226"/>
      <c r="CY142" s="226"/>
      <c r="CZ142" s="226"/>
      <c r="DA142" s="226"/>
      <c r="DB142" s="226"/>
      <c r="DC142" s="226"/>
      <c r="DD142" s="226"/>
      <c r="DE142" s="226"/>
      <c r="DF142" s="226"/>
      <c r="DG142" s="226"/>
      <c r="DH142" s="226"/>
      <c r="DI142" s="226"/>
      <c r="DJ142" s="226"/>
      <c r="DK142" s="226"/>
      <c r="DL142" s="226"/>
      <c r="DM142" s="226"/>
      <c r="DN142" s="226"/>
      <c r="DO142" s="226"/>
      <c r="DP142" s="226"/>
      <c r="DQ142" s="226"/>
      <c r="DR142" s="226"/>
      <c r="DS142" s="226"/>
      <c r="DT142" s="226"/>
      <c r="DU142" s="226"/>
      <c r="DV142" s="226"/>
      <c r="DW142" s="226"/>
      <c r="DX142" s="226"/>
      <c r="DY142" s="226"/>
      <c r="DZ142" s="226"/>
      <c r="EA142" s="226"/>
      <c r="EB142" s="226"/>
      <c r="EC142" s="226"/>
      <c r="ED142" s="226"/>
      <c r="EE142" s="226"/>
      <c r="EF142" s="226"/>
      <c r="EG142" s="226"/>
      <c r="EH142" s="226"/>
      <c r="EI142" s="226"/>
      <c r="EJ142" s="226"/>
      <c r="EK142" s="226"/>
      <c r="EL142" s="226"/>
      <c r="EM142" s="226"/>
      <c r="EN142" s="226"/>
      <c r="EO142" s="226"/>
      <c r="EP142" s="226"/>
      <c r="EQ142" s="226"/>
      <c r="ER142" s="226"/>
      <c r="ES142" s="226"/>
      <c r="ET142" s="226"/>
      <c r="EU142" s="226"/>
      <c r="EV142" s="226"/>
      <c r="EW142" s="226"/>
      <c r="EX142" s="226"/>
      <c r="EY142" s="226"/>
      <c r="EZ142" s="226"/>
      <c r="FA142" s="226"/>
      <c r="FB142" s="226"/>
      <c r="FC142" s="226"/>
      <c r="FD142" s="226"/>
      <c r="FE142" s="226"/>
      <c r="FF142" s="226"/>
      <c r="FG142" s="226"/>
      <c r="FH142" s="226"/>
      <c r="FI142" s="226"/>
      <c r="FJ142" s="226"/>
      <c r="FK142" s="226"/>
      <c r="FL142" s="226"/>
      <c r="FM142" s="226"/>
      <c r="FN142" s="226"/>
      <c r="FO142" s="226"/>
      <c r="FP142" s="226"/>
      <c r="FQ142" s="226"/>
      <c r="FR142" s="226"/>
      <c r="FS142" s="226"/>
      <c r="FT142" s="226"/>
      <c r="FU142" s="226"/>
      <c r="FV142" s="226"/>
      <c r="FW142" s="226"/>
      <c r="FX142" s="226"/>
      <c r="FY142" s="226"/>
      <c r="FZ142" s="226"/>
      <c r="GA142" s="226"/>
      <c r="GB142" s="226"/>
      <c r="GC142" s="226"/>
      <c r="GD142" s="226"/>
      <c r="GE142" s="226"/>
      <c r="GF142" s="226"/>
      <c r="GG142" s="226"/>
    </row>
    <row r="143" spans="1:189" s="225" customFormat="1" ht="15.95" customHeight="1">
      <c r="A143" s="139">
        <v>517</v>
      </c>
      <c r="B143" s="197" t="s">
        <v>152</v>
      </c>
      <c r="C143" s="252"/>
      <c r="D143" s="78"/>
      <c r="E143" s="108"/>
      <c r="F143" s="65"/>
      <c r="H143" s="259"/>
      <c r="I143" s="265"/>
      <c r="J143" s="259"/>
      <c r="K143" s="226"/>
      <c r="L143" s="226"/>
      <c r="M143" s="226"/>
      <c r="N143" s="226"/>
      <c r="O143" s="226"/>
      <c r="P143" s="226"/>
      <c r="Q143" s="226"/>
      <c r="R143" s="226"/>
      <c r="S143" s="226"/>
      <c r="T143" s="226"/>
      <c r="U143" s="226"/>
      <c r="V143" s="226"/>
      <c r="W143" s="226"/>
      <c r="X143" s="226"/>
      <c r="Y143" s="226"/>
      <c r="Z143" s="226"/>
      <c r="AA143" s="226"/>
      <c r="AB143" s="226"/>
      <c r="AC143" s="226"/>
      <c r="AD143" s="226"/>
      <c r="AE143" s="226"/>
      <c r="AF143" s="226"/>
      <c r="AG143" s="226"/>
      <c r="AH143" s="226"/>
      <c r="AI143" s="226"/>
      <c r="AJ143" s="226"/>
      <c r="AK143" s="226"/>
      <c r="AL143" s="226"/>
      <c r="AM143" s="226"/>
      <c r="AN143" s="226"/>
      <c r="AO143" s="226"/>
      <c r="AP143" s="226"/>
      <c r="AQ143" s="226"/>
      <c r="AR143" s="226"/>
      <c r="AS143" s="226"/>
      <c r="AT143" s="226"/>
      <c r="AU143" s="226"/>
      <c r="AV143" s="226"/>
      <c r="AW143" s="226"/>
      <c r="AX143" s="226"/>
      <c r="AY143" s="226"/>
      <c r="AZ143" s="226"/>
      <c r="BA143" s="226"/>
      <c r="BB143" s="226"/>
      <c r="BC143" s="226"/>
      <c r="BD143" s="226"/>
      <c r="BE143" s="226"/>
      <c r="BF143" s="226"/>
      <c r="BG143" s="226"/>
      <c r="BH143" s="226"/>
      <c r="BI143" s="226"/>
      <c r="BJ143" s="226"/>
      <c r="BK143" s="226"/>
      <c r="BL143" s="226"/>
      <c r="BM143" s="226"/>
      <c r="BN143" s="226"/>
      <c r="BO143" s="226"/>
      <c r="BP143" s="226"/>
      <c r="BQ143" s="226"/>
      <c r="BR143" s="226"/>
      <c r="BS143" s="226"/>
      <c r="BT143" s="226"/>
      <c r="BU143" s="226"/>
      <c r="BV143" s="226"/>
      <c r="BW143" s="226"/>
      <c r="BX143" s="226"/>
      <c r="BY143" s="226"/>
      <c r="BZ143" s="226"/>
      <c r="CA143" s="226"/>
      <c r="CB143" s="226"/>
      <c r="CC143" s="226"/>
      <c r="CD143" s="226"/>
      <c r="CE143" s="226"/>
      <c r="CF143" s="226"/>
      <c r="CG143" s="226"/>
      <c r="CH143" s="226"/>
      <c r="CI143" s="226"/>
      <c r="CJ143" s="226"/>
      <c r="CK143" s="226"/>
      <c r="CL143" s="226"/>
      <c r="CM143" s="226"/>
      <c r="CN143" s="226"/>
      <c r="CO143" s="226"/>
      <c r="CP143" s="226"/>
      <c r="CQ143" s="226"/>
      <c r="CR143" s="226"/>
      <c r="CS143" s="226"/>
      <c r="CT143" s="226"/>
      <c r="CU143" s="226"/>
      <c r="CV143" s="226"/>
      <c r="CW143" s="226"/>
      <c r="CX143" s="226"/>
      <c r="CY143" s="226"/>
      <c r="CZ143" s="226"/>
      <c r="DA143" s="226"/>
      <c r="DB143" s="226"/>
      <c r="DC143" s="226"/>
      <c r="DD143" s="226"/>
      <c r="DE143" s="226"/>
      <c r="DF143" s="226"/>
      <c r="DG143" s="226"/>
      <c r="DH143" s="226"/>
      <c r="DI143" s="226"/>
      <c r="DJ143" s="226"/>
      <c r="DK143" s="226"/>
      <c r="DL143" s="226"/>
      <c r="DM143" s="226"/>
      <c r="DN143" s="226"/>
      <c r="DO143" s="226"/>
      <c r="DP143" s="226"/>
      <c r="DQ143" s="226"/>
      <c r="DR143" s="226"/>
      <c r="DS143" s="226"/>
      <c r="DT143" s="226"/>
      <c r="DU143" s="226"/>
      <c r="DV143" s="226"/>
      <c r="DW143" s="226"/>
      <c r="DX143" s="226"/>
      <c r="DY143" s="226"/>
      <c r="DZ143" s="226"/>
      <c r="EA143" s="226"/>
      <c r="EB143" s="226"/>
      <c r="EC143" s="226"/>
      <c r="ED143" s="226"/>
      <c r="EE143" s="226"/>
      <c r="EF143" s="226"/>
      <c r="EG143" s="226"/>
      <c r="EH143" s="226"/>
      <c r="EI143" s="226"/>
      <c r="EJ143" s="226"/>
      <c r="EK143" s="226"/>
      <c r="EL143" s="226"/>
      <c r="EM143" s="226"/>
      <c r="EN143" s="226"/>
      <c r="EO143" s="226"/>
      <c r="EP143" s="226"/>
      <c r="EQ143" s="226"/>
      <c r="ER143" s="226"/>
      <c r="ES143" s="226"/>
      <c r="ET143" s="226"/>
      <c r="EU143" s="226"/>
      <c r="EV143" s="226"/>
      <c r="EW143" s="226"/>
      <c r="EX143" s="226"/>
      <c r="EY143" s="226"/>
      <c r="EZ143" s="226"/>
      <c r="FA143" s="226"/>
      <c r="FB143" s="226"/>
      <c r="FC143" s="226"/>
      <c r="FD143" s="226"/>
      <c r="FE143" s="226"/>
      <c r="FF143" s="226"/>
      <c r="FG143" s="226"/>
      <c r="FH143" s="226"/>
      <c r="FI143" s="226"/>
      <c r="FJ143" s="226"/>
      <c r="FK143" s="226"/>
      <c r="FL143" s="226"/>
      <c r="FM143" s="226"/>
      <c r="FN143" s="226"/>
      <c r="FO143" s="226"/>
      <c r="FP143" s="226"/>
      <c r="FQ143" s="226"/>
      <c r="FR143" s="226"/>
      <c r="FS143" s="226"/>
      <c r="FT143" s="226"/>
      <c r="FU143" s="226"/>
      <c r="FV143" s="226"/>
      <c r="FW143" s="226"/>
      <c r="FX143" s="226"/>
      <c r="FY143" s="226"/>
      <c r="FZ143" s="226"/>
      <c r="GA143" s="226"/>
      <c r="GB143" s="226"/>
      <c r="GC143" s="226"/>
      <c r="GD143" s="226"/>
      <c r="GE143" s="226"/>
      <c r="GF143" s="226"/>
      <c r="GG143" s="226"/>
    </row>
    <row r="144" spans="1:189" s="225" customFormat="1" ht="15.95" customHeight="1">
      <c r="A144" s="143" t="s">
        <v>153</v>
      </c>
      <c r="B144" s="196" t="s">
        <v>276</v>
      </c>
      <c r="C144" s="251" t="s">
        <v>1</v>
      </c>
      <c r="D144" s="82">
        <f>J144</f>
        <v>0</v>
      </c>
      <c r="E144" s="107" t="e">
        <f>#REF!</f>
        <v>#REF!</v>
      </c>
      <c r="F144" s="64" t="e">
        <f>+D144*E144</f>
        <v>#REF!</v>
      </c>
      <c r="H144" s="259">
        <v>0</v>
      </c>
      <c r="I144" s="265">
        <v>1.05</v>
      </c>
      <c r="J144" s="259">
        <f>H144*I144</f>
        <v>0</v>
      </c>
      <c r="K144" s="226"/>
      <c r="L144" s="226"/>
      <c r="M144" s="226"/>
      <c r="N144" s="226"/>
      <c r="O144" s="226"/>
      <c r="P144" s="226"/>
      <c r="Q144" s="226"/>
      <c r="R144" s="226"/>
      <c r="S144" s="226"/>
      <c r="T144" s="226"/>
      <c r="U144" s="226"/>
      <c r="V144" s="226"/>
      <c r="W144" s="226"/>
      <c r="X144" s="226"/>
      <c r="Y144" s="226"/>
      <c r="Z144" s="226"/>
      <c r="AA144" s="226"/>
      <c r="AB144" s="226"/>
      <c r="AC144" s="226"/>
      <c r="AD144" s="226"/>
      <c r="AE144" s="226"/>
      <c r="AF144" s="226"/>
      <c r="AG144" s="226"/>
      <c r="AH144" s="226"/>
      <c r="AI144" s="226"/>
      <c r="AJ144" s="226"/>
      <c r="AK144" s="226"/>
      <c r="AL144" s="226"/>
      <c r="AM144" s="226"/>
      <c r="AN144" s="226"/>
      <c r="AO144" s="226"/>
      <c r="AP144" s="226"/>
      <c r="AQ144" s="226"/>
      <c r="AR144" s="226"/>
      <c r="AS144" s="226"/>
      <c r="AT144" s="226"/>
      <c r="AU144" s="226"/>
      <c r="AV144" s="226"/>
      <c r="AW144" s="226"/>
      <c r="AX144" s="226"/>
      <c r="AY144" s="226"/>
      <c r="AZ144" s="226"/>
      <c r="BA144" s="226"/>
      <c r="BB144" s="226"/>
      <c r="BC144" s="226"/>
      <c r="BD144" s="226"/>
      <c r="BE144" s="226"/>
      <c r="BF144" s="226"/>
      <c r="BG144" s="226"/>
      <c r="BH144" s="226"/>
      <c r="BI144" s="226"/>
      <c r="BJ144" s="226"/>
      <c r="BK144" s="226"/>
      <c r="BL144" s="226"/>
      <c r="BM144" s="226"/>
      <c r="BN144" s="226"/>
      <c r="BO144" s="226"/>
      <c r="BP144" s="226"/>
      <c r="BQ144" s="226"/>
      <c r="BR144" s="226"/>
      <c r="BS144" s="226"/>
      <c r="BT144" s="226"/>
      <c r="BU144" s="226"/>
      <c r="BV144" s="226"/>
      <c r="BW144" s="226"/>
      <c r="BX144" s="226"/>
      <c r="BY144" s="226"/>
      <c r="BZ144" s="226"/>
      <c r="CA144" s="226"/>
      <c r="CB144" s="226"/>
      <c r="CC144" s="226"/>
      <c r="CD144" s="226"/>
      <c r="CE144" s="226"/>
      <c r="CF144" s="226"/>
      <c r="CG144" s="226"/>
      <c r="CH144" s="226"/>
      <c r="CI144" s="226"/>
      <c r="CJ144" s="226"/>
      <c r="CK144" s="226"/>
      <c r="CL144" s="226"/>
      <c r="CM144" s="226"/>
      <c r="CN144" s="226"/>
      <c r="CO144" s="226"/>
      <c r="CP144" s="226"/>
      <c r="CQ144" s="226"/>
      <c r="CR144" s="226"/>
      <c r="CS144" s="226"/>
      <c r="CT144" s="226"/>
      <c r="CU144" s="226"/>
      <c r="CV144" s="226"/>
      <c r="CW144" s="226"/>
      <c r="CX144" s="226"/>
      <c r="CY144" s="226"/>
      <c r="CZ144" s="226"/>
      <c r="DA144" s="226"/>
      <c r="DB144" s="226"/>
      <c r="DC144" s="226"/>
      <c r="DD144" s="226"/>
      <c r="DE144" s="226"/>
      <c r="DF144" s="226"/>
      <c r="DG144" s="226"/>
      <c r="DH144" s="226"/>
      <c r="DI144" s="226"/>
      <c r="DJ144" s="226"/>
      <c r="DK144" s="226"/>
      <c r="DL144" s="226"/>
      <c r="DM144" s="226"/>
      <c r="DN144" s="226"/>
      <c r="DO144" s="226"/>
      <c r="DP144" s="226"/>
      <c r="DQ144" s="226"/>
      <c r="DR144" s="226"/>
      <c r="DS144" s="226"/>
      <c r="DT144" s="226"/>
      <c r="DU144" s="226"/>
      <c r="DV144" s="226"/>
      <c r="DW144" s="226"/>
      <c r="DX144" s="226"/>
      <c r="DY144" s="226"/>
      <c r="DZ144" s="226"/>
      <c r="EA144" s="226"/>
      <c r="EB144" s="226"/>
      <c r="EC144" s="226"/>
      <c r="ED144" s="226"/>
      <c r="EE144" s="226"/>
      <c r="EF144" s="226"/>
      <c r="EG144" s="226"/>
      <c r="EH144" s="226"/>
      <c r="EI144" s="226"/>
      <c r="EJ144" s="226"/>
      <c r="EK144" s="226"/>
      <c r="EL144" s="226"/>
      <c r="EM144" s="226"/>
      <c r="EN144" s="226"/>
      <c r="EO144" s="226"/>
      <c r="EP144" s="226"/>
      <c r="EQ144" s="226"/>
      <c r="ER144" s="226"/>
      <c r="ES144" s="226"/>
      <c r="ET144" s="226"/>
      <c r="EU144" s="226"/>
      <c r="EV144" s="226"/>
      <c r="EW144" s="226"/>
      <c r="EX144" s="226"/>
      <c r="EY144" s="226"/>
      <c r="EZ144" s="226"/>
      <c r="FA144" s="226"/>
      <c r="FB144" s="226"/>
      <c r="FC144" s="226"/>
      <c r="FD144" s="226"/>
      <c r="FE144" s="226"/>
      <c r="FF144" s="226"/>
      <c r="FG144" s="226"/>
      <c r="FH144" s="226"/>
      <c r="FI144" s="226"/>
      <c r="FJ144" s="226"/>
      <c r="FK144" s="226"/>
      <c r="FL144" s="226"/>
      <c r="FM144" s="226"/>
      <c r="FN144" s="226"/>
      <c r="FO144" s="226"/>
      <c r="FP144" s="226"/>
      <c r="FQ144" s="226"/>
      <c r="FR144" s="226"/>
      <c r="FS144" s="226"/>
      <c r="FT144" s="226"/>
      <c r="FU144" s="226"/>
      <c r="FV144" s="226"/>
      <c r="FW144" s="226"/>
      <c r="FX144" s="226"/>
      <c r="FY144" s="226"/>
      <c r="FZ144" s="226"/>
      <c r="GA144" s="226"/>
      <c r="GB144" s="226"/>
      <c r="GC144" s="226"/>
      <c r="GD144" s="226"/>
      <c r="GE144" s="226"/>
      <c r="GF144" s="226"/>
      <c r="GG144" s="226"/>
    </row>
    <row r="145" spans="1:189" s="225" customFormat="1" ht="15.95" customHeight="1">
      <c r="A145" s="139">
        <v>518</v>
      </c>
      <c r="B145" s="43" t="s">
        <v>180</v>
      </c>
      <c r="C145" s="252"/>
      <c r="D145" s="78"/>
      <c r="E145" s="108"/>
      <c r="F145" s="65"/>
      <c r="H145" s="259"/>
      <c r="I145" s="265"/>
      <c r="J145" s="259"/>
      <c r="K145" s="226"/>
      <c r="L145" s="226"/>
      <c r="M145" s="226"/>
      <c r="N145" s="226"/>
      <c r="O145" s="226"/>
      <c r="P145" s="226"/>
      <c r="Q145" s="226"/>
      <c r="R145" s="226"/>
      <c r="S145" s="226"/>
      <c r="T145" s="226"/>
      <c r="U145" s="226"/>
      <c r="V145" s="226"/>
      <c r="W145" s="226"/>
      <c r="X145" s="226"/>
      <c r="Y145" s="226"/>
      <c r="Z145" s="226"/>
      <c r="AA145" s="226"/>
      <c r="AB145" s="226"/>
      <c r="AC145" s="226"/>
      <c r="AD145" s="226"/>
      <c r="AE145" s="226"/>
      <c r="AF145" s="226"/>
      <c r="AG145" s="226"/>
      <c r="AH145" s="226"/>
      <c r="AI145" s="226"/>
      <c r="AJ145" s="226"/>
      <c r="AK145" s="226"/>
      <c r="AL145" s="226"/>
      <c r="AM145" s="226"/>
      <c r="AN145" s="226"/>
      <c r="AO145" s="226"/>
      <c r="AP145" s="226"/>
      <c r="AQ145" s="226"/>
      <c r="AR145" s="226"/>
      <c r="AS145" s="226"/>
      <c r="AT145" s="226"/>
      <c r="AU145" s="226"/>
      <c r="AV145" s="226"/>
      <c r="AW145" s="226"/>
      <c r="AX145" s="226"/>
      <c r="AY145" s="226"/>
      <c r="AZ145" s="226"/>
      <c r="BA145" s="226"/>
      <c r="BB145" s="226"/>
      <c r="BC145" s="226"/>
      <c r="BD145" s="226"/>
      <c r="BE145" s="226"/>
      <c r="BF145" s="226"/>
      <c r="BG145" s="226"/>
      <c r="BH145" s="226"/>
      <c r="BI145" s="226"/>
      <c r="BJ145" s="226"/>
      <c r="BK145" s="226"/>
      <c r="BL145" s="226"/>
      <c r="BM145" s="226"/>
      <c r="BN145" s="226"/>
      <c r="BO145" s="226"/>
      <c r="BP145" s="226"/>
      <c r="BQ145" s="226"/>
      <c r="BR145" s="226"/>
      <c r="BS145" s="226"/>
      <c r="BT145" s="226"/>
      <c r="BU145" s="226"/>
      <c r="BV145" s="226"/>
      <c r="BW145" s="226"/>
      <c r="BX145" s="226"/>
      <c r="BY145" s="226"/>
      <c r="BZ145" s="226"/>
      <c r="CA145" s="226"/>
      <c r="CB145" s="226"/>
      <c r="CC145" s="226"/>
      <c r="CD145" s="226"/>
      <c r="CE145" s="226"/>
      <c r="CF145" s="226"/>
      <c r="CG145" s="226"/>
      <c r="CH145" s="226"/>
      <c r="CI145" s="226"/>
      <c r="CJ145" s="226"/>
      <c r="CK145" s="226"/>
      <c r="CL145" s="226"/>
      <c r="CM145" s="226"/>
      <c r="CN145" s="226"/>
      <c r="CO145" s="226"/>
      <c r="CP145" s="226"/>
      <c r="CQ145" s="226"/>
      <c r="CR145" s="226"/>
      <c r="CS145" s="226"/>
      <c r="CT145" s="226"/>
      <c r="CU145" s="226"/>
      <c r="CV145" s="226"/>
      <c r="CW145" s="226"/>
      <c r="CX145" s="226"/>
      <c r="CY145" s="226"/>
      <c r="CZ145" s="226"/>
      <c r="DA145" s="226"/>
      <c r="DB145" s="226"/>
      <c r="DC145" s="226"/>
      <c r="DD145" s="226"/>
      <c r="DE145" s="226"/>
      <c r="DF145" s="226"/>
      <c r="DG145" s="226"/>
      <c r="DH145" s="226"/>
      <c r="DI145" s="226"/>
      <c r="DJ145" s="226"/>
      <c r="DK145" s="226"/>
      <c r="DL145" s="226"/>
      <c r="DM145" s="226"/>
      <c r="DN145" s="226"/>
      <c r="DO145" s="226"/>
      <c r="DP145" s="226"/>
      <c r="DQ145" s="226"/>
      <c r="DR145" s="226"/>
      <c r="DS145" s="226"/>
      <c r="DT145" s="226"/>
      <c r="DU145" s="226"/>
      <c r="DV145" s="226"/>
      <c r="DW145" s="226"/>
      <c r="DX145" s="226"/>
      <c r="DY145" s="226"/>
      <c r="DZ145" s="226"/>
      <c r="EA145" s="226"/>
      <c r="EB145" s="226"/>
      <c r="EC145" s="226"/>
      <c r="ED145" s="226"/>
      <c r="EE145" s="226"/>
      <c r="EF145" s="226"/>
      <c r="EG145" s="226"/>
      <c r="EH145" s="226"/>
      <c r="EI145" s="226"/>
      <c r="EJ145" s="226"/>
      <c r="EK145" s="226"/>
      <c r="EL145" s="226"/>
      <c r="EM145" s="226"/>
      <c r="EN145" s="226"/>
      <c r="EO145" s="226"/>
      <c r="EP145" s="226"/>
      <c r="EQ145" s="226"/>
      <c r="ER145" s="226"/>
      <c r="ES145" s="226"/>
      <c r="ET145" s="226"/>
      <c r="EU145" s="226"/>
      <c r="EV145" s="226"/>
      <c r="EW145" s="226"/>
      <c r="EX145" s="226"/>
      <c r="EY145" s="226"/>
      <c r="EZ145" s="226"/>
      <c r="FA145" s="226"/>
      <c r="FB145" s="226"/>
      <c r="FC145" s="226"/>
      <c r="FD145" s="226"/>
      <c r="FE145" s="226"/>
      <c r="FF145" s="226"/>
      <c r="FG145" s="226"/>
      <c r="FH145" s="226"/>
      <c r="FI145" s="226"/>
      <c r="FJ145" s="226"/>
      <c r="FK145" s="226"/>
      <c r="FL145" s="226"/>
      <c r="FM145" s="226"/>
      <c r="FN145" s="226"/>
      <c r="FO145" s="226"/>
      <c r="FP145" s="226"/>
      <c r="FQ145" s="226"/>
      <c r="FR145" s="226"/>
      <c r="FS145" s="226"/>
      <c r="FT145" s="226"/>
      <c r="FU145" s="226"/>
      <c r="FV145" s="226"/>
      <c r="FW145" s="226"/>
      <c r="FX145" s="226"/>
      <c r="FY145" s="226"/>
      <c r="FZ145" s="226"/>
      <c r="GA145" s="226"/>
      <c r="GB145" s="226"/>
      <c r="GC145" s="226"/>
      <c r="GD145" s="226"/>
      <c r="GE145" s="226"/>
      <c r="GF145" s="226"/>
      <c r="GG145" s="226"/>
    </row>
    <row r="146" spans="1:189" s="225" customFormat="1" ht="15.95" customHeight="1">
      <c r="A146" s="139" t="s">
        <v>179</v>
      </c>
      <c r="B146" s="230" t="s">
        <v>181</v>
      </c>
      <c r="C146" s="252" t="s">
        <v>1</v>
      </c>
      <c r="D146" s="138">
        <f>J146</f>
        <v>0</v>
      </c>
      <c r="E146" s="108" t="e">
        <f>#REF!</f>
        <v>#REF!</v>
      </c>
      <c r="F146" s="65" t="e">
        <f>+D146*E146</f>
        <v>#REF!</v>
      </c>
      <c r="H146" s="259">
        <v>0</v>
      </c>
      <c r="I146" s="265">
        <v>1.05</v>
      </c>
      <c r="J146" s="259">
        <f>H146*I146</f>
        <v>0</v>
      </c>
      <c r="K146" s="226"/>
      <c r="L146" s="226"/>
      <c r="M146" s="226"/>
      <c r="N146" s="226"/>
      <c r="O146" s="226"/>
      <c r="P146" s="226"/>
      <c r="Q146" s="226"/>
      <c r="R146" s="226"/>
      <c r="S146" s="226"/>
      <c r="T146" s="226"/>
      <c r="U146" s="226"/>
      <c r="V146" s="226"/>
      <c r="W146" s="226"/>
      <c r="X146" s="226"/>
      <c r="Y146" s="226"/>
      <c r="Z146" s="226"/>
      <c r="AA146" s="226"/>
      <c r="AB146" s="226"/>
      <c r="AC146" s="226"/>
      <c r="AD146" s="226"/>
      <c r="AE146" s="226"/>
      <c r="AF146" s="226"/>
      <c r="AG146" s="226"/>
      <c r="AH146" s="226"/>
      <c r="AI146" s="226"/>
      <c r="AJ146" s="226"/>
      <c r="AK146" s="226"/>
      <c r="AL146" s="226"/>
      <c r="AM146" s="226"/>
      <c r="AN146" s="226"/>
      <c r="AO146" s="226"/>
      <c r="AP146" s="226"/>
      <c r="AQ146" s="226"/>
      <c r="AR146" s="226"/>
      <c r="AS146" s="226"/>
      <c r="AT146" s="226"/>
      <c r="AU146" s="226"/>
      <c r="AV146" s="226"/>
      <c r="AW146" s="226"/>
      <c r="AX146" s="226"/>
      <c r="AY146" s="226"/>
      <c r="AZ146" s="226"/>
      <c r="BA146" s="226"/>
      <c r="BB146" s="226"/>
      <c r="BC146" s="226"/>
      <c r="BD146" s="226"/>
      <c r="BE146" s="226"/>
      <c r="BF146" s="226"/>
      <c r="BG146" s="226"/>
      <c r="BH146" s="226"/>
      <c r="BI146" s="226"/>
      <c r="BJ146" s="226"/>
      <c r="BK146" s="226"/>
      <c r="BL146" s="226"/>
      <c r="BM146" s="226"/>
      <c r="BN146" s="226"/>
      <c r="BO146" s="226"/>
      <c r="BP146" s="226"/>
      <c r="BQ146" s="226"/>
      <c r="BR146" s="226"/>
      <c r="BS146" s="226"/>
      <c r="BT146" s="226"/>
      <c r="BU146" s="226"/>
      <c r="BV146" s="226"/>
      <c r="BW146" s="226"/>
      <c r="BX146" s="226"/>
      <c r="BY146" s="226"/>
      <c r="BZ146" s="226"/>
      <c r="CA146" s="226"/>
      <c r="CB146" s="226"/>
      <c r="CC146" s="226"/>
      <c r="CD146" s="226"/>
      <c r="CE146" s="226"/>
      <c r="CF146" s="226"/>
      <c r="CG146" s="226"/>
      <c r="CH146" s="226"/>
      <c r="CI146" s="226"/>
      <c r="CJ146" s="226"/>
      <c r="CK146" s="226"/>
      <c r="CL146" s="226"/>
      <c r="CM146" s="226"/>
      <c r="CN146" s="226"/>
      <c r="CO146" s="226"/>
      <c r="CP146" s="226"/>
      <c r="CQ146" s="226"/>
      <c r="CR146" s="226"/>
      <c r="CS146" s="226"/>
      <c r="CT146" s="226"/>
      <c r="CU146" s="226"/>
      <c r="CV146" s="226"/>
      <c r="CW146" s="226"/>
      <c r="CX146" s="226"/>
      <c r="CY146" s="226"/>
      <c r="CZ146" s="226"/>
      <c r="DA146" s="226"/>
      <c r="DB146" s="226"/>
      <c r="DC146" s="226"/>
      <c r="DD146" s="226"/>
      <c r="DE146" s="226"/>
      <c r="DF146" s="226"/>
      <c r="DG146" s="226"/>
      <c r="DH146" s="226"/>
      <c r="DI146" s="226"/>
      <c r="DJ146" s="226"/>
      <c r="DK146" s="226"/>
      <c r="DL146" s="226"/>
      <c r="DM146" s="226"/>
      <c r="DN146" s="226"/>
      <c r="DO146" s="226"/>
      <c r="DP146" s="226"/>
      <c r="DQ146" s="226"/>
      <c r="DR146" s="226"/>
      <c r="DS146" s="226"/>
      <c r="DT146" s="226"/>
      <c r="DU146" s="226"/>
      <c r="DV146" s="226"/>
      <c r="DW146" s="226"/>
      <c r="DX146" s="226"/>
      <c r="DY146" s="226"/>
      <c r="DZ146" s="226"/>
      <c r="EA146" s="226"/>
      <c r="EB146" s="226"/>
      <c r="EC146" s="226"/>
      <c r="ED146" s="226"/>
      <c r="EE146" s="226"/>
      <c r="EF146" s="226"/>
      <c r="EG146" s="226"/>
      <c r="EH146" s="226"/>
      <c r="EI146" s="226"/>
      <c r="EJ146" s="226"/>
      <c r="EK146" s="226"/>
      <c r="EL146" s="226"/>
      <c r="EM146" s="226"/>
      <c r="EN146" s="226"/>
      <c r="EO146" s="226"/>
      <c r="EP146" s="226"/>
      <c r="EQ146" s="226"/>
      <c r="ER146" s="226"/>
      <c r="ES146" s="226"/>
      <c r="ET146" s="226"/>
      <c r="EU146" s="226"/>
      <c r="EV146" s="226"/>
      <c r="EW146" s="226"/>
      <c r="EX146" s="226"/>
      <c r="EY146" s="226"/>
      <c r="EZ146" s="226"/>
      <c r="FA146" s="226"/>
      <c r="FB146" s="226"/>
      <c r="FC146" s="226"/>
      <c r="FD146" s="226"/>
      <c r="FE146" s="226"/>
      <c r="FF146" s="226"/>
      <c r="FG146" s="226"/>
      <c r="FH146" s="226"/>
      <c r="FI146" s="226"/>
      <c r="FJ146" s="226"/>
      <c r="FK146" s="226"/>
      <c r="FL146" s="226"/>
      <c r="FM146" s="226"/>
      <c r="FN146" s="226"/>
      <c r="FO146" s="226"/>
      <c r="FP146" s="226"/>
      <c r="FQ146" s="226"/>
      <c r="FR146" s="226"/>
      <c r="FS146" s="226"/>
      <c r="FT146" s="226"/>
      <c r="FU146" s="226"/>
      <c r="FV146" s="226"/>
      <c r="FW146" s="226"/>
      <c r="FX146" s="226"/>
      <c r="FY146" s="226"/>
      <c r="FZ146" s="226"/>
      <c r="GA146" s="226"/>
      <c r="GB146" s="226"/>
      <c r="GC146" s="226"/>
      <c r="GD146" s="226"/>
      <c r="GE146" s="226"/>
      <c r="GF146" s="226"/>
      <c r="GG146" s="226"/>
    </row>
    <row r="147" spans="1:189" s="225" customFormat="1" ht="15.95" customHeight="1">
      <c r="A147" s="36" t="s">
        <v>183</v>
      </c>
      <c r="B147" s="196" t="s">
        <v>182</v>
      </c>
      <c r="C147" s="254" t="s">
        <v>1</v>
      </c>
      <c r="D147" s="82">
        <f>J147</f>
        <v>0</v>
      </c>
      <c r="E147" s="107" t="e">
        <f>#REF!</f>
        <v>#REF!</v>
      </c>
      <c r="F147" s="64" t="e">
        <f>+D147*E147</f>
        <v>#REF!</v>
      </c>
      <c r="H147" s="259">
        <v>0</v>
      </c>
      <c r="I147" s="265">
        <v>1.05</v>
      </c>
      <c r="J147" s="259">
        <f>H147*I147</f>
        <v>0</v>
      </c>
      <c r="K147" s="226"/>
      <c r="L147" s="226">
        <f>17500*657</f>
        <v>11497500</v>
      </c>
      <c r="M147" s="226"/>
      <c r="N147" s="226"/>
      <c r="O147" s="226"/>
      <c r="P147" s="226"/>
      <c r="Q147" s="226"/>
      <c r="R147" s="226"/>
      <c r="S147" s="226"/>
      <c r="T147" s="226"/>
      <c r="U147" s="226"/>
      <c r="V147" s="226"/>
      <c r="W147" s="226"/>
      <c r="X147" s="226"/>
      <c r="Y147" s="226"/>
      <c r="Z147" s="226"/>
      <c r="AA147" s="226"/>
      <c r="AB147" s="226"/>
      <c r="AC147" s="226"/>
      <c r="AD147" s="226"/>
      <c r="AE147" s="226"/>
      <c r="AF147" s="226"/>
      <c r="AG147" s="226"/>
      <c r="AH147" s="226"/>
      <c r="AI147" s="226"/>
      <c r="AJ147" s="226"/>
      <c r="AK147" s="226"/>
      <c r="AL147" s="226"/>
      <c r="AM147" s="226"/>
      <c r="AN147" s="226"/>
      <c r="AO147" s="226"/>
      <c r="AP147" s="226"/>
      <c r="AQ147" s="226"/>
      <c r="AR147" s="226"/>
      <c r="AS147" s="226"/>
      <c r="AT147" s="226"/>
      <c r="AU147" s="226"/>
      <c r="AV147" s="226"/>
      <c r="AW147" s="226"/>
      <c r="AX147" s="226"/>
      <c r="AY147" s="226"/>
      <c r="AZ147" s="226"/>
      <c r="BA147" s="226"/>
      <c r="BB147" s="226"/>
      <c r="BC147" s="226"/>
      <c r="BD147" s="226"/>
      <c r="BE147" s="226"/>
      <c r="BF147" s="226"/>
      <c r="BG147" s="226"/>
      <c r="BH147" s="226"/>
      <c r="BI147" s="226"/>
      <c r="BJ147" s="226"/>
      <c r="BK147" s="226"/>
      <c r="BL147" s="226"/>
      <c r="BM147" s="226"/>
      <c r="BN147" s="226"/>
      <c r="BO147" s="226"/>
      <c r="BP147" s="226"/>
      <c r="BQ147" s="226"/>
      <c r="BR147" s="226"/>
      <c r="BS147" s="226"/>
      <c r="BT147" s="226"/>
      <c r="BU147" s="226"/>
      <c r="BV147" s="226"/>
      <c r="BW147" s="226"/>
      <c r="BX147" s="226"/>
      <c r="BY147" s="226"/>
      <c r="BZ147" s="226"/>
      <c r="CA147" s="226"/>
      <c r="CB147" s="226"/>
      <c r="CC147" s="226"/>
      <c r="CD147" s="226"/>
      <c r="CE147" s="226"/>
      <c r="CF147" s="226"/>
      <c r="CG147" s="226"/>
      <c r="CH147" s="226"/>
      <c r="CI147" s="226"/>
      <c r="CJ147" s="226"/>
      <c r="CK147" s="226"/>
      <c r="CL147" s="226"/>
      <c r="CM147" s="226"/>
      <c r="CN147" s="226"/>
      <c r="CO147" s="226"/>
      <c r="CP147" s="226"/>
      <c r="CQ147" s="226"/>
      <c r="CR147" s="226"/>
      <c r="CS147" s="226"/>
      <c r="CT147" s="226"/>
      <c r="CU147" s="226"/>
      <c r="CV147" s="226"/>
      <c r="CW147" s="226"/>
      <c r="CX147" s="226"/>
      <c r="CY147" s="226"/>
      <c r="CZ147" s="226"/>
      <c r="DA147" s="226"/>
      <c r="DB147" s="226"/>
      <c r="DC147" s="226"/>
      <c r="DD147" s="226"/>
      <c r="DE147" s="226"/>
      <c r="DF147" s="226"/>
      <c r="DG147" s="226"/>
      <c r="DH147" s="226"/>
      <c r="DI147" s="226"/>
      <c r="DJ147" s="226"/>
      <c r="DK147" s="226"/>
      <c r="DL147" s="226"/>
      <c r="DM147" s="226"/>
      <c r="DN147" s="226"/>
      <c r="DO147" s="226"/>
      <c r="DP147" s="226"/>
      <c r="DQ147" s="226"/>
      <c r="DR147" s="226"/>
      <c r="DS147" s="226"/>
      <c r="DT147" s="226"/>
      <c r="DU147" s="226"/>
      <c r="DV147" s="226"/>
      <c r="DW147" s="226"/>
      <c r="DX147" s="226"/>
      <c r="DY147" s="226"/>
      <c r="DZ147" s="226"/>
      <c r="EA147" s="226"/>
      <c r="EB147" s="226"/>
      <c r="EC147" s="226"/>
      <c r="ED147" s="226"/>
      <c r="EE147" s="226"/>
      <c r="EF147" s="226"/>
      <c r="EG147" s="226"/>
      <c r="EH147" s="226"/>
      <c r="EI147" s="226"/>
      <c r="EJ147" s="226"/>
      <c r="EK147" s="226"/>
      <c r="EL147" s="226"/>
      <c r="EM147" s="226"/>
      <c r="EN147" s="226"/>
      <c r="EO147" s="226"/>
      <c r="EP147" s="226"/>
      <c r="EQ147" s="226"/>
      <c r="ER147" s="226"/>
      <c r="ES147" s="226"/>
      <c r="ET147" s="226"/>
      <c r="EU147" s="226"/>
      <c r="EV147" s="226"/>
      <c r="EW147" s="226"/>
      <c r="EX147" s="226"/>
      <c r="EY147" s="226"/>
      <c r="EZ147" s="226"/>
      <c r="FA147" s="226"/>
      <c r="FB147" s="226"/>
      <c r="FC147" s="226"/>
      <c r="FD147" s="226"/>
      <c r="FE147" s="226"/>
      <c r="FF147" s="226"/>
      <c r="FG147" s="226"/>
      <c r="FH147" s="226"/>
      <c r="FI147" s="226"/>
      <c r="FJ147" s="226"/>
      <c r="FK147" s="226"/>
      <c r="FL147" s="226"/>
      <c r="FM147" s="226"/>
      <c r="FN147" s="226"/>
      <c r="FO147" s="226"/>
      <c r="FP147" s="226"/>
      <c r="FQ147" s="226"/>
      <c r="FR147" s="226"/>
      <c r="FS147" s="226"/>
      <c r="FT147" s="226"/>
      <c r="FU147" s="226"/>
      <c r="FV147" s="226"/>
      <c r="FW147" s="226"/>
      <c r="FX147" s="226"/>
      <c r="FY147" s="226"/>
      <c r="FZ147" s="226"/>
      <c r="GA147" s="226"/>
      <c r="GB147" s="226"/>
      <c r="GC147" s="226"/>
      <c r="GD147" s="226"/>
      <c r="GE147" s="226"/>
      <c r="GF147" s="226"/>
      <c r="GG147" s="226"/>
    </row>
    <row r="148" spans="1:189" s="129" customFormat="1" ht="24.75" customHeight="1">
      <c r="A148" s="194"/>
      <c r="B148" s="239"/>
      <c r="C148" s="95"/>
      <c r="D148" s="92"/>
      <c r="E148" s="93" t="s">
        <v>113</v>
      </c>
      <c r="F148" s="94" t="e">
        <f>SUM(F99:F147)</f>
        <v>#REF!</v>
      </c>
      <c r="G148" s="142"/>
      <c r="H148" s="255"/>
      <c r="I148" s="262"/>
      <c r="J148" s="255"/>
    </row>
    <row r="149" spans="1:189" s="129" customFormat="1" ht="15.95" customHeight="1">
      <c r="A149" s="10"/>
      <c r="B149" s="12"/>
      <c r="C149" s="13"/>
      <c r="D149" s="76"/>
      <c r="E149" s="142"/>
      <c r="F149" s="66"/>
      <c r="G149" s="142"/>
      <c r="H149" s="255"/>
      <c r="I149" s="262"/>
      <c r="J149" s="255"/>
      <c r="L149" s="129">
        <f>17500/22</f>
        <v>795.4545454545455</v>
      </c>
    </row>
    <row r="150" spans="1:189" s="129" customFormat="1" ht="24" customHeight="1">
      <c r="A150" s="1" t="s">
        <v>17</v>
      </c>
      <c r="B150" s="3"/>
      <c r="C150" s="52" t="s">
        <v>98</v>
      </c>
      <c r="D150" s="86" t="s">
        <v>99</v>
      </c>
      <c r="E150" s="241" t="s">
        <v>100</v>
      </c>
      <c r="F150" s="241" t="s">
        <v>114</v>
      </c>
      <c r="G150" s="142"/>
      <c r="H150" s="255"/>
      <c r="I150" s="262"/>
      <c r="J150" s="255"/>
    </row>
    <row r="151" spans="1:189" s="129" customFormat="1" ht="15.95" customHeight="1">
      <c r="A151" s="152" t="s">
        <v>18</v>
      </c>
      <c r="B151" s="125" t="s">
        <v>96</v>
      </c>
      <c r="C151" s="233"/>
      <c r="D151" s="234"/>
      <c r="E151" s="109"/>
      <c r="F151" s="63"/>
      <c r="G151" s="142"/>
      <c r="H151" s="255"/>
      <c r="I151" s="262"/>
      <c r="J151" s="255"/>
    </row>
    <row r="152" spans="1:189" s="129" customFormat="1" ht="15.95" customHeight="1">
      <c r="A152" s="4" t="s">
        <v>192</v>
      </c>
      <c r="B152" s="39" t="s">
        <v>193</v>
      </c>
      <c r="C152" s="235" t="s">
        <v>27</v>
      </c>
      <c r="D152" s="235">
        <f>J152</f>
        <v>0</v>
      </c>
      <c r="E152" s="108" t="e">
        <f>#REF!</f>
        <v>#REF!</v>
      </c>
      <c r="F152" s="65" t="e">
        <f>+D152*E152</f>
        <v>#REF!</v>
      </c>
      <c r="G152" s="142"/>
      <c r="H152" s="255">
        <v>0</v>
      </c>
      <c r="I152" s="262">
        <v>1.05</v>
      </c>
      <c r="J152" s="255">
        <f>ROUND(H152*I152,0)</f>
        <v>0</v>
      </c>
    </row>
    <row r="153" spans="1:189" s="129" customFormat="1" ht="15.95" customHeight="1">
      <c r="A153" s="4" t="s">
        <v>194</v>
      </c>
      <c r="B153" s="39" t="s">
        <v>196</v>
      </c>
      <c r="C153" s="153" t="s">
        <v>27</v>
      </c>
      <c r="D153" s="108">
        <f>D152</f>
        <v>0</v>
      </c>
      <c r="E153" s="108" t="e">
        <f>#REF!</f>
        <v>#REF!</v>
      </c>
      <c r="F153" s="65" t="e">
        <f>+D153*E153</f>
        <v>#REF!</v>
      </c>
      <c r="G153" s="142"/>
      <c r="H153" s="255"/>
      <c r="I153" s="262"/>
      <c r="J153" s="255"/>
    </row>
    <row r="154" spans="1:189" s="129" customFormat="1" ht="15.95" customHeight="1">
      <c r="A154" s="22" t="s">
        <v>236</v>
      </c>
      <c r="B154" s="49" t="s">
        <v>239</v>
      </c>
      <c r="C154" s="113" t="s">
        <v>266</v>
      </c>
      <c r="D154" s="107">
        <v>0</v>
      </c>
      <c r="E154" s="107" t="e">
        <f>100%*#REF!</f>
        <v>#REF!</v>
      </c>
      <c r="F154" s="64" t="e">
        <f>+D154*E154</f>
        <v>#REF!</v>
      </c>
      <c r="G154" s="142"/>
      <c r="H154" s="255"/>
      <c r="I154" s="262"/>
      <c r="J154" s="255"/>
    </row>
    <row r="155" spans="1:189" s="129" customFormat="1" ht="15.95" customHeight="1">
      <c r="A155" s="152" t="s">
        <v>208</v>
      </c>
      <c r="B155" s="125" t="s">
        <v>154</v>
      </c>
      <c r="C155" s="233"/>
      <c r="D155" s="234"/>
      <c r="E155" s="109"/>
      <c r="F155" s="63"/>
      <c r="G155" s="142"/>
      <c r="H155" s="255"/>
      <c r="I155" s="262"/>
      <c r="J155" s="255"/>
    </row>
    <row r="156" spans="1:189" s="129" customFormat="1" ht="15" customHeight="1">
      <c r="A156" s="4"/>
      <c r="B156" s="39"/>
      <c r="C156" s="235" t="s">
        <v>1</v>
      </c>
      <c r="D156" s="235">
        <f>J156</f>
        <v>0</v>
      </c>
      <c r="E156" s="108" t="e">
        <f>#REF!</f>
        <v>#REF!</v>
      </c>
      <c r="F156" s="65" t="e">
        <f>+D156*E156</f>
        <v>#REF!</v>
      </c>
      <c r="G156" s="142"/>
      <c r="H156" s="255">
        <v>0</v>
      </c>
      <c r="I156" s="262">
        <v>1.05</v>
      </c>
      <c r="J156" s="255">
        <f>ROUND(H156*I156,0)</f>
        <v>0</v>
      </c>
    </row>
    <row r="157" spans="1:189" s="129" customFormat="1" ht="15.95" customHeight="1">
      <c r="A157" s="152" t="s">
        <v>209</v>
      </c>
      <c r="B157" s="125" t="s">
        <v>155</v>
      </c>
      <c r="C157" s="233"/>
      <c r="D157" s="234"/>
      <c r="E157" s="109"/>
      <c r="F157" s="63"/>
      <c r="G157" s="142"/>
      <c r="H157" s="255"/>
      <c r="I157" s="262"/>
      <c r="J157" s="255"/>
    </row>
    <row r="158" spans="1:189" s="129" customFormat="1" ht="15" customHeight="1">
      <c r="A158" s="4"/>
      <c r="B158" s="39"/>
      <c r="C158" s="235" t="s">
        <v>1</v>
      </c>
      <c r="D158" s="235">
        <f>D156</f>
        <v>0</v>
      </c>
      <c r="E158" s="108" t="e">
        <f>#REF!</f>
        <v>#REF!</v>
      </c>
      <c r="F158" s="65" t="e">
        <f>+D158*E158</f>
        <v>#REF!</v>
      </c>
      <c r="G158" s="142"/>
      <c r="H158" s="255">
        <v>0</v>
      </c>
      <c r="I158" s="262">
        <v>1.05</v>
      </c>
      <c r="J158" s="255">
        <f>ROUND(H158*I158,0)</f>
        <v>0</v>
      </c>
    </row>
    <row r="159" spans="1:189" s="129" customFormat="1" ht="15.95" customHeight="1">
      <c r="A159" s="232">
        <v>604</v>
      </c>
      <c r="B159" s="43" t="s">
        <v>164</v>
      </c>
      <c r="C159" s="133"/>
      <c r="D159" s="133"/>
      <c r="E159" s="133"/>
      <c r="F159" s="109"/>
      <c r="G159" s="142"/>
      <c r="H159" s="255"/>
      <c r="I159" s="262"/>
      <c r="J159" s="255"/>
    </row>
    <row r="160" spans="1:189" s="129" customFormat="1" ht="15.95" customHeight="1">
      <c r="A160" s="47" t="s">
        <v>224</v>
      </c>
      <c r="B160" s="123" t="s">
        <v>223</v>
      </c>
      <c r="C160" s="261" t="s">
        <v>27</v>
      </c>
      <c r="D160" s="151">
        <f>35*0</f>
        <v>0</v>
      </c>
      <c r="E160" s="151" t="e">
        <f>#REF!</f>
        <v>#REF!</v>
      </c>
      <c r="F160" s="108" t="e">
        <f>+D160*E160</f>
        <v>#REF!</v>
      </c>
      <c r="G160" s="142"/>
      <c r="H160" s="255"/>
      <c r="I160" s="262"/>
      <c r="J160" s="255"/>
    </row>
    <row r="161" spans="1:10" s="129" customFormat="1" ht="15.95" customHeight="1">
      <c r="A161" s="260" t="s">
        <v>225</v>
      </c>
      <c r="B161" s="24" t="s">
        <v>226</v>
      </c>
      <c r="C161" s="154" t="s">
        <v>27</v>
      </c>
      <c r="D161" s="134">
        <v>0</v>
      </c>
      <c r="E161" s="134" t="e">
        <f>#REF!</f>
        <v>#REF!</v>
      </c>
      <c r="F161" s="107" t="e">
        <f>+D161*E161</f>
        <v>#REF!</v>
      </c>
      <c r="G161" s="142"/>
      <c r="H161" s="255"/>
      <c r="I161" s="262"/>
      <c r="J161" s="255"/>
    </row>
    <row r="162" spans="1:10" s="129" customFormat="1" ht="15.95" customHeight="1">
      <c r="A162" s="47">
        <v>605</v>
      </c>
      <c r="B162" s="26" t="s">
        <v>156</v>
      </c>
      <c r="C162" s="151"/>
      <c r="D162" s="151"/>
      <c r="E162" s="151"/>
      <c r="F162" s="109"/>
      <c r="G162" s="142"/>
      <c r="H162" s="255"/>
      <c r="I162" s="262"/>
      <c r="J162" s="255"/>
    </row>
    <row r="163" spans="1:10" s="129" customFormat="1" ht="15.95" customHeight="1">
      <c r="A163" s="61"/>
      <c r="B163" s="24"/>
      <c r="C163" s="191" t="s">
        <v>95</v>
      </c>
      <c r="D163" s="134">
        <f>J163</f>
        <v>0</v>
      </c>
      <c r="E163" s="134" t="e">
        <f>#REF!</f>
        <v>#REF!</v>
      </c>
      <c r="F163" s="107" t="e">
        <f>+D163*E163</f>
        <v>#REF!</v>
      </c>
      <c r="G163" s="142"/>
      <c r="H163" s="255">
        <v>0</v>
      </c>
      <c r="I163" s="262">
        <v>1.05</v>
      </c>
      <c r="J163" s="255">
        <f>H163*I163</f>
        <v>0</v>
      </c>
    </row>
    <row r="164" spans="1:10" s="129" customFormat="1" ht="24.75" customHeight="1">
      <c r="A164" s="142"/>
      <c r="B164" s="142"/>
      <c r="C164" s="95"/>
      <c r="D164" s="92"/>
      <c r="E164" s="93" t="s">
        <v>112</v>
      </c>
      <c r="F164" s="94" t="e">
        <f>SUM(F151:F163)</f>
        <v>#REF!</v>
      </c>
      <c r="G164" s="142"/>
      <c r="H164" s="255"/>
      <c r="I164" s="262"/>
      <c r="J164" s="255"/>
    </row>
    <row r="165" spans="1:10" s="129" customFormat="1" ht="12" customHeight="1">
      <c r="A165" s="142"/>
      <c r="B165" s="142"/>
      <c r="C165" s="142"/>
      <c r="D165" s="75"/>
      <c r="E165" s="62"/>
      <c r="F165" s="62"/>
      <c r="G165" s="142"/>
      <c r="H165" s="255"/>
      <c r="I165" s="262"/>
      <c r="J165" s="255"/>
    </row>
    <row r="166" spans="1:10" s="129" customFormat="1" ht="25.5" customHeight="1">
      <c r="A166" s="142"/>
      <c r="B166" s="142"/>
      <c r="C166" s="95"/>
      <c r="D166" s="92"/>
      <c r="E166" s="93" t="s">
        <v>330</v>
      </c>
      <c r="F166" s="96" t="e">
        <f>+F63+F74+F96+F148+F164</f>
        <v>#REF!</v>
      </c>
      <c r="G166" s="142"/>
      <c r="H166" s="255"/>
      <c r="I166" s="262"/>
      <c r="J166" s="255"/>
    </row>
    <row r="168" spans="1:10" s="129" customFormat="1" ht="24.75" customHeight="1">
      <c r="A168" s="1" t="s">
        <v>115</v>
      </c>
      <c r="B168" s="33"/>
      <c r="C168" s="52" t="s">
        <v>98</v>
      </c>
      <c r="D168" s="70" t="s">
        <v>99</v>
      </c>
      <c r="E168" s="241" t="s">
        <v>100</v>
      </c>
      <c r="F168" s="241" t="s">
        <v>116</v>
      </c>
      <c r="G168" s="142"/>
      <c r="H168" s="255"/>
      <c r="I168" s="262"/>
      <c r="J168" s="255"/>
    </row>
    <row r="169" spans="1:10" s="129" customFormat="1" ht="15.95" customHeight="1">
      <c r="A169" s="29" t="s">
        <v>117</v>
      </c>
      <c r="B169" s="27" t="s">
        <v>118</v>
      </c>
      <c r="C169" s="34"/>
      <c r="D169" s="72"/>
      <c r="E169" s="109"/>
      <c r="F169" s="63"/>
      <c r="G169" s="142"/>
      <c r="H169" s="255"/>
      <c r="I169" s="262"/>
      <c r="J169" s="255"/>
    </row>
    <row r="170" spans="1:10" s="129" customFormat="1" ht="15.95" customHeight="1">
      <c r="A170" s="22"/>
      <c r="B170" s="31"/>
      <c r="C170" s="32" t="s">
        <v>119</v>
      </c>
      <c r="D170" s="73">
        <v>0</v>
      </c>
      <c r="E170" s="113">
        <v>50000000</v>
      </c>
      <c r="F170" s="64">
        <f>+D170*E170</f>
        <v>0</v>
      </c>
      <c r="G170" s="142"/>
      <c r="H170" s="255"/>
      <c r="I170" s="262"/>
      <c r="J170" s="255"/>
    </row>
    <row r="171" spans="1:10" s="129" customFormat="1" ht="15.95" customHeight="1">
      <c r="A171" s="29" t="s">
        <v>120</v>
      </c>
      <c r="B171" s="6" t="s">
        <v>121</v>
      </c>
      <c r="C171" s="7"/>
      <c r="D171" s="74"/>
      <c r="E171" s="108"/>
      <c r="F171" s="65"/>
      <c r="G171" s="142"/>
      <c r="H171" s="255"/>
      <c r="I171" s="262"/>
      <c r="J171" s="255"/>
    </row>
    <row r="172" spans="1:10" s="129" customFormat="1" ht="15.95" customHeight="1">
      <c r="A172" s="22"/>
      <c r="B172" s="31"/>
      <c r="C172" s="32" t="s">
        <v>119</v>
      </c>
      <c r="D172" s="73">
        <v>0</v>
      </c>
      <c r="E172" s="113">
        <v>150000000</v>
      </c>
      <c r="F172" s="64">
        <f>+D172*E172</f>
        <v>0</v>
      </c>
      <c r="G172" s="142"/>
      <c r="H172" s="255"/>
      <c r="I172" s="262"/>
      <c r="J172" s="255"/>
    </row>
    <row r="173" spans="1:10" s="129" customFormat="1" ht="23.25" customHeight="1">
      <c r="A173" s="110"/>
      <c r="B173" s="27"/>
      <c r="C173" s="95"/>
      <c r="D173" s="92"/>
      <c r="E173" s="93" t="s">
        <v>122</v>
      </c>
      <c r="F173" s="94">
        <f>SUM(F170:F172)</f>
        <v>0</v>
      </c>
      <c r="G173" s="142"/>
      <c r="H173" s="255"/>
      <c r="I173" s="262"/>
      <c r="J173" s="255"/>
    </row>
    <row r="175" spans="1:10" s="129" customFormat="1" ht="25.5" customHeight="1">
      <c r="A175" s="142"/>
      <c r="B175" s="142"/>
      <c r="C175" s="95"/>
      <c r="D175" s="92"/>
      <c r="E175" s="93" t="s">
        <v>331</v>
      </c>
      <c r="F175" s="96" t="e">
        <f>F173+F166+F31</f>
        <v>#REF!</v>
      </c>
      <c r="G175" s="142"/>
      <c r="H175" s="255"/>
      <c r="I175" s="262"/>
      <c r="J175" s="255"/>
    </row>
    <row r="181" spans="1:48" s="129" customFormat="1">
      <c r="A181" s="142"/>
      <c r="B181" s="142"/>
      <c r="C181" s="142"/>
      <c r="D181" s="142"/>
      <c r="E181" s="142"/>
      <c r="F181" s="142"/>
      <c r="G181" s="142"/>
      <c r="H181" s="255"/>
      <c r="I181" s="262"/>
      <c r="J181" s="255">
        <f>18500*17</f>
        <v>314500</v>
      </c>
    </row>
    <row r="185" spans="1:48" s="129" customFormat="1">
      <c r="A185" s="142"/>
      <c r="B185" s="142"/>
      <c r="C185" s="142"/>
      <c r="D185" s="142"/>
      <c r="E185" s="142"/>
      <c r="F185" s="142"/>
      <c r="G185" s="142"/>
      <c r="H185" s="255"/>
      <c r="I185" s="262"/>
      <c r="J185" s="255"/>
      <c r="AV185" s="129">
        <v>46200</v>
      </c>
    </row>
    <row r="186" spans="1:48" s="129" customFormat="1" ht="19.5">
      <c r="A186" s="90"/>
      <c r="B186" s="142"/>
      <c r="C186" s="142"/>
      <c r="D186" s="62"/>
      <c r="E186" s="62"/>
      <c r="F186" s="99"/>
      <c r="G186" s="142"/>
      <c r="H186" s="255"/>
      <c r="I186" s="262"/>
      <c r="J186" s="255"/>
    </row>
    <row r="187" spans="1:48" s="129" customFormat="1" ht="26.25">
      <c r="A187" s="142"/>
      <c r="B187" s="1859"/>
      <c r="C187" s="1859"/>
      <c r="D187" s="1859"/>
      <c r="E187" s="1859"/>
      <c r="F187" s="1859"/>
      <c r="G187" s="142"/>
      <c r="H187" s="255"/>
      <c r="I187" s="262"/>
      <c r="J187" s="255"/>
    </row>
    <row r="200" spans="5:5">
      <c r="E200" s="142">
        <f>18500*17</f>
        <v>314500</v>
      </c>
    </row>
  </sheetData>
  <mergeCells count="4">
    <mergeCell ref="A2:F2"/>
    <mergeCell ref="B187:F187"/>
    <mergeCell ref="A9:F9"/>
    <mergeCell ref="A16:F16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  <rowBreaks count="2" manualBreakCount="2">
    <brk id="31" max="6" man="1"/>
    <brk id="74" max="6" man="1"/>
  </rowBreaks>
  <colBreaks count="1" manualBreakCount="1">
    <brk id="6" max="1048575" man="1"/>
  </colBreaks>
  <legacy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tabColor rgb="FF00B0F0"/>
  </sheetPr>
  <dimension ref="A1:GG154"/>
  <sheetViews>
    <sheetView view="pageBreakPreview" zoomScale="75" zoomScaleNormal="80" zoomScaleSheetLayoutView="75" workbookViewId="0">
      <selection activeCell="C140" sqref="C140"/>
    </sheetView>
  </sheetViews>
  <sheetFormatPr baseColWidth="10" defaultColWidth="9.140625" defaultRowHeight="15"/>
  <cols>
    <col min="1" max="1" width="14.7109375" style="421" customWidth="1"/>
    <col min="2" max="2" width="90.140625" style="142" customWidth="1"/>
    <col min="3" max="3" width="11" style="142" customWidth="1"/>
    <col min="4" max="4" width="14.85546875" style="142" customWidth="1"/>
    <col min="5" max="5" width="20" style="142" customWidth="1"/>
    <col min="6" max="6" width="26" style="142" customWidth="1"/>
    <col min="7" max="7" width="13.28515625" style="142" customWidth="1"/>
    <col min="8" max="8" width="21.28515625" style="255" customWidth="1"/>
    <col min="9" max="9" width="23.140625" style="262" bestFit="1" customWidth="1"/>
    <col min="10" max="10" width="16" style="255" bestFit="1" customWidth="1"/>
    <col min="11" max="11" width="9.140625" style="129"/>
    <col min="12" max="12" width="9.28515625" style="129" bestFit="1" customWidth="1"/>
    <col min="13" max="189" width="9.140625" style="129"/>
    <col min="190" max="16384" width="9.140625" style="142"/>
  </cols>
  <sheetData>
    <row r="1" spans="1:189" ht="20.25" thickBot="1">
      <c r="A1" s="1971" t="e">
        <f>+#REF!</f>
        <v>#REF!</v>
      </c>
      <c r="B1" s="1971"/>
      <c r="C1" s="1971"/>
      <c r="D1" s="1971"/>
      <c r="E1" s="1971"/>
      <c r="F1" s="1971"/>
    </row>
    <row r="2" spans="1:189" ht="25.5" thickBot="1">
      <c r="A2" s="1856" t="s">
        <v>535</v>
      </c>
      <c r="B2" s="1857"/>
      <c r="C2" s="1857"/>
      <c r="D2" s="1857"/>
      <c r="E2" s="1857"/>
      <c r="F2" s="1858"/>
      <c r="G2" s="119"/>
    </row>
    <row r="3" spans="1:189" ht="19.5">
      <c r="A3" s="434"/>
      <c r="D3" s="62"/>
      <c r="E3" s="99" t="s">
        <v>307</v>
      </c>
      <c r="F3" s="62">
        <v>500</v>
      </c>
      <c r="H3" s="99" t="s">
        <v>306</v>
      </c>
      <c r="I3" s="62">
        <v>87</v>
      </c>
      <c r="J3" s="142" t="s">
        <v>1</v>
      </c>
    </row>
    <row r="4" spans="1:189" ht="19.5" hidden="1">
      <c r="A4" s="434"/>
    </row>
    <row r="5" spans="1:189" ht="19.5" hidden="1">
      <c r="A5" s="434"/>
      <c r="D5" s="62"/>
      <c r="E5" s="99"/>
      <c r="F5" s="62"/>
    </row>
    <row r="6" spans="1:189" ht="19.5" hidden="1">
      <c r="A6" s="434"/>
      <c r="D6" s="62"/>
      <c r="E6" s="99"/>
    </row>
    <row r="7" spans="1:189" s="129" customFormat="1" ht="15" customHeight="1">
      <c r="A7" s="106"/>
      <c r="B7" s="142"/>
      <c r="C7" s="142"/>
      <c r="D7" s="62"/>
      <c r="E7" s="99" t="s">
        <v>296</v>
      </c>
      <c r="F7" s="144">
        <f>SUM(F3:F6)</f>
        <v>500</v>
      </c>
      <c r="G7" s="89"/>
      <c r="H7" s="255" t="s">
        <v>186</v>
      </c>
      <c r="I7" s="262" t="s">
        <v>187</v>
      </c>
      <c r="J7" s="255" t="s">
        <v>188</v>
      </c>
    </row>
    <row r="8" spans="1:189" s="129" customFormat="1" ht="15" customHeight="1">
      <c r="A8" s="106"/>
      <c r="B8" s="142"/>
      <c r="C8" s="142"/>
      <c r="D8" s="62"/>
      <c r="E8" s="99"/>
      <c r="F8" s="144"/>
      <c r="G8" s="89"/>
      <c r="H8" s="255"/>
      <c r="I8" s="262"/>
      <c r="J8" s="255"/>
    </row>
    <row r="9" spans="1:189" s="129" customFormat="1" ht="24.95" customHeight="1">
      <c r="A9" s="1410" t="s">
        <v>661</v>
      </c>
      <c r="B9" s="1411" t="s">
        <v>584</v>
      </c>
      <c r="C9" s="1409" t="s">
        <v>98</v>
      </c>
      <c r="D9" s="1402" t="s">
        <v>99</v>
      </c>
      <c r="E9" s="1403" t="s">
        <v>100</v>
      </c>
      <c r="F9" s="1403" t="s">
        <v>114</v>
      </c>
      <c r="G9" s="89"/>
      <c r="H9" s="255"/>
      <c r="I9" s="262"/>
      <c r="J9" s="255"/>
    </row>
    <row r="10" spans="1:189" s="129" customFormat="1" ht="24.95" customHeight="1">
      <c r="A10" s="1863" t="e">
        <f>#REF!</f>
        <v>#REF!</v>
      </c>
      <c r="B10" s="1864"/>
      <c r="C10" s="1864"/>
      <c r="D10" s="1864"/>
      <c r="E10" s="1864"/>
      <c r="F10" s="1865"/>
      <c r="G10" s="142"/>
      <c r="H10" s="255"/>
      <c r="I10" s="262"/>
      <c r="J10" s="255"/>
    </row>
    <row r="11" spans="1:189" s="495" customFormat="1" ht="30" customHeight="1">
      <c r="A11" s="682" t="e">
        <f>#REF!</f>
        <v>#REF!</v>
      </c>
      <c r="B11" s="687" t="e">
        <f>#REF!</f>
        <v>#REF!</v>
      </c>
      <c r="C11" s="1478"/>
      <c r="D11" s="543"/>
      <c r="E11" s="1492"/>
      <c r="F11" s="544"/>
      <c r="G11" s="456"/>
      <c r="H11" s="493"/>
      <c r="I11" s="494"/>
      <c r="J11" s="493"/>
    </row>
    <row r="12" spans="1:189" s="495" customFormat="1">
      <c r="A12" s="690"/>
      <c r="B12" s="690"/>
      <c r="C12" s="1493" t="e">
        <f>#REF!</f>
        <v>#REF!</v>
      </c>
      <c r="D12" s="546">
        <v>1</v>
      </c>
      <c r="E12" s="547" t="e">
        <f>J12</f>
        <v>#REF!</v>
      </c>
      <c r="F12" s="547" t="e">
        <f>+D12*E12</f>
        <v>#REF!</v>
      </c>
      <c r="G12" s="456"/>
      <c r="H12" s="700" t="e">
        <f>+F140*0.1</f>
        <v>#REF!</v>
      </c>
      <c r="I12" s="494">
        <v>1</v>
      </c>
      <c r="J12" s="493" t="e">
        <f>H12*I12</f>
        <v>#REF!</v>
      </c>
    </row>
    <row r="13" spans="1:189" s="495" customFormat="1">
      <c r="A13" s="684" t="e">
        <f>#REF!</f>
        <v>#REF!</v>
      </c>
      <c r="B13" s="684" t="e">
        <f>#REF!</f>
        <v>#REF!</v>
      </c>
      <c r="C13" s="1494"/>
      <c r="D13" s="660"/>
      <c r="E13" s="633"/>
      <c r="F13" s="633"/>
      <c r="G13" s="456"/>
      <c r="H13" s="493"/>
      <c r="I13" s="494"/>
      <c r="J13" s="493"/>
    </row>
    <row r="14" spans="1:189" s="495" customFormat="1">
      <c r="A14" s="690"/>
      <c r="B14" s="690"/>
      <c r="C14" s="1493" t="e">
        <f>#REF!</f>
        <v>#REF!</v>
      </c>
      <c r="D14" s="546">
        <v>1</v>
      </c>
      <c r="E14" s="527" t="e">
        <f>+H14</f>
        <v>#REF!</v>
      </c>
      <c r="F14" s="527" t="e">
        <f>+D14*E14</f>
        <v>#REF!</v>
      </c>
      <c r="G14" s="456"/>
      <c r="H14" s="493" t="e">
        <f>+H12*0.1</f>
        <v>#REF!</v>
      </c>
      <c r="I14" s="494">
        <v>1.1000000000000001</v>
      </c>
      <c r="J14" s="493" t="e">
        <f>H14*I14</f>
        <v>#REF!</v>
      </c>
    </row>
    <row r="15" spans="1:189" s="456" customFormat="1" ht="18.75">
      <c r="A15" s="685"/>
      <c r="B15" s="458"/>
      <c r="C15" s="686"/>
      <c r="D15" s="635"/>
      <c r="E15" s="636" t="s">
        <v>108</v>
      </c>
      <c r="F15" s="1122" t="e">
        <f>SUM(F11:F14)</f>
        <v>#REF!</v>
      </c>
      <c r="H15" s="493"/>
      <c r="I15" s="494"/>
      <c r="J15" s="493"/>
      <c r="K15" s="495"/>
      <c r="L15" s="495"/>
      <c r="M15" s="495"/>
      <c r="N15" s="495"/>
      <c r="O15" s="495"/>
      <c r="P15" s="495"/>
      <c r="Q15" s="495"/>
      <c r="R15" s="495"/>
      <c r="S15" s="495"/>
      <c r="T15" s="495"/>
      <c r="U15" s="495"/>
      <c r="V15" s="495"/>
      <c r="W15" s="495"/>
      <c r="X15" s="495"/>
      <c r="Y15" s="495"/>
      <c r="Z15" s="495"/>
      <c r="AA15" s="495"/>
      <c r="AB15" s="495"/>
      <c r="AC15" s="495"/>
      <c r="AD15" s="495"/>
      <c r="AE15" s="495"/>
      <c r="AF15" s="495"/>
      <c r="AG15" s="495"/>
      <c r="AH15" s="495"/>
      <c r="AI15" s="495"/>
      <c r="AJ15" s="495"/>
      <c r="AK15" s="495"/>
      <c r="AL15" s="495"/>
      <c r="AM15" s="495"/>
      <c r="AN15" s="495"/>
      <c r="AO15" s="495"/>
      <c r="AP15" s="495"/>
      <c r="AQ15" s="495"/>
      <c r="AR15" s="495"/>
      <c r="AS15" s="495"/>
      <c r="AT15" s="495"/>
      <c r="AU15" s="495"/>
      <c r="AV15" s="495"/>
      <c r="AW15" s="495"/>
      <c r="AX15" s="495"/>
      <c r="AY15" s="495"/>
      <c r="AZ15" s="495"/>
      <c r="BA15" s="495"/>
      <c r="BB15" s="495"/>
      <c r="BC15" s="495"/>
      <c r="BD15" s="495"/>
      <c r="BE15" s="495"/>
      <c r="BF15" s="495"/>
      <c r="BG15" s="495"/>
      <c r="BH15" s="495"/>
      <c r="BI15" s="495"/>
      <c r="BJ15" s="495"/>
      <c r="BK15" s="495"/>
      <c r="BL15" s="495"/>
      <c r="BM15" s="495"/>
      <c r="BN15" s="495"/>
      <c r="BO15" s="495"/>
      <c r="BP15" s="495"/>
      <c r="BQ15" s="495"/>
      <c r="BR15" s="495"/>
      <c r="BS15" s="495"/>
      <c r="BT15" s="495"/>
      <c r="BU15" s="495"/>
      <c r="BV15" s="495"/>
      <c r="BW15" s="495"/>
      <c r="BX15" s="495"/>
      <c r="BY15" s="495"/>
      <c r="BZ15" s="495"/>
      <c r="CA15" s="495"/>
      <c r="CB15" s="495"/>
      <c r="CC15" s="495"/>
      <c r="CD15" s="495"/>
      <c r="CE15" s="495"/>
      <c r="CF15" s="495"/>
      <c r="CG15" s="495"/>
      <c r="CH15" s="495"/>
      <c r="CI15" s="495"/>
      <c r="CJ15" s="495"/>
      <c r="CK15" s="495"/>
      <c r="CL15" s="495"/>
      <c r="CM15" s="495"/>
      <c r="CN15" s="495"/>
      <c r="CO15" s="495"/>
      <c r="CP15" s="495"/>
      <c r="CQ15" s="495"/>
      <c r="CR15" s="495"/>
      <c r="CS15" s="495"/>
      <c r="CT15" s="495"/>
      <c r="CU15" s="495"/>
      <c r="CV15" s="495"/>
      <c r="CW15" s="495"/>
      <c r="CX15" s="495"/>
      <c r="CY15" s="495"/>
      <c r="CZ15" s="495"/>
      <c r="DA15" s="495"/>
      <c r="DB15" s="495"/>
      <c r="DC15" s="495"/>
      <c r="DD15" s="495"/>
      <c r="DE15" s="495"/>
      <c r="DF15" s="495"/>
      <c r="DG15" s="495"/>
      <c r="DH15" s="495"/>
      <c r="DI15" s="495"/>
      <c r="DJ15" s="495"/>
      <c r="DK15" s="495"/>
      <c r="DL15" s="495"/>
      <c r="DM15" s="495"/>
      <c r="DN15" s="495"/>
      <c r="DO15" s="495"/>
      <c r="DP15" s="495"/>
      <c r="DQ15" s="495"/>
      <c r="DR15" s="495"/>
      <c r="DS15" s="495"/>
      <c r="DT15" s="495"/>
      <c r="DU15" s="495"/>
      <c r="DV15" s="495"/>
      <c r="DW15" s="495"/>
      <c r="DX15" s="495"/>
      <c r="DY15" s="495"/>
      <c r="DZ15" s="495"/>
      <c r="EA15" s="495"/>
      <c r="EB15" s="495"/>
      <c r="EC15" s="495"/>
      <c r="ED15" s="495"/>
      <c r="EE15" s="495"/>
      <c r="EF15" s="495"/>
      <c r="EG15" s="495"/>
      <c r="EH15" s="495"/>
      <c r="EI15" s="495"/>
      <c r="EJ15" s="495"/>
      <c r="EK15" s="495"/>
      <c r="EL15" s="495"/>
      <c r="EM15" s="495"/>
      <c r="EN15" s="495"/>
      <c r="EO15" s="495"/>
      <c r="EP15" s="495"/>
      <c r="EQ15" s="495"/>
      <c r="ER15" s="495"/>
      <c r="ES15" s="495"/>
      <c r="ET15" s="495"/>
      <c r="EU15" s="495"/>
      <c r="EV15" s="495"/>
      <c r="EW15" s="495"/>
      <c r="EX15" s="495"/>
      <c r="EY15" s="495"/>
      <c r="EZ15" s="495"/>
      <c r="FA15" s="495"/>
      <c r="FB15" s="495"/>
      <c r="FC15" s="495"/>
      <c r="FD15" s="495"/>
      <c r="FE15" s="495"/>
      <c r="FF15" s="495"/>
      <c r="FG15" s="495"/>
      <c r="FH15" s="495"/>
      <c r="FI15" s="495"/>
      <c r="FJ15" s="495"/>
      <c r="FK15" s="495"/>
      <c r="FL15" s="495"/>
      <c r="FM15" s="495"/>
      <c r="FN15" s="495"/>
      <c r="FO15" s="495"/>
      <c r="FP15" s="495"/>
      <c r="FQ15" s="495"/>
      <c r="FR15" s="495"/>
      <c r="FS15" s="495"/>
      <c r="FT15" s="495"/>
      <c r="FU15" s="495"/>
      <c r="FV15" s="495"/>
      <c r="FW15" s="495"/>
      <c r="FX15" s="495"/>
      <c r="FY15" s="495"/>
      <c r="FZ15" s="495"/>
      <c r="GA15" s="495"/>
      <c r="GB15" s="495"/>
      <c r="GC15" s="495"/>
      <c r="GD15" s="495"/>
      <c r="GE15" s="495"/>
      <c r="GF15" s="495"/>
      <c r="GG15" s="495"/>
    </row>
    <row r="16" spans="1:189" ht="15" customHeight="1">
      <c r="D16" s="75"/>
      <c r="E16" s="62"/>
      <c r="F16" s="62"/>
    </row>
    <row r="17" spans="1:189" ht="24.95" customHeight="1">
      <c r="A17" s="1972" t="e">
        <f>#REF!</f>
        <v>#REF!</v>
      </c>
      <c r="B17" s="1973"/>
      <c r="C17" s="1973"/>
      <c r="D17" s="1973"/>
      <c r="E17" s="1973"/>
      <c r="F17" s="1974"/>
    </row>
    <row r="18" spans="1:189" s="500" customFormat="1">
      <c r="A18" s="689" t="e">
        <f>#REF!</f>
        <v>#REF!</v>
      </c>
      <c r="B18" s="711" t="e">
        <f>#REF!</f>
        <v>#REF!</v>
      </c>
      <c r="C18" s="1478"/>
      <c r="D18" s="807"/>
      <c r="E18" s="641"/>
      <c r="F18" s="740"/>
      <c r="H18" s="1254"/>
      <c r="I18" s="1256"/>
      <c r="J18" s="1254"/>
      <c r="K18" s="1257"/>
      <c r="L18" s="1257"/>
      <c r="M18" s="1257"/>
      <c r="N18" s="1257"/>
      <c r="O18" s="1257"/>
      <c r="P18" s="1257"/>
      <c r="Q18" s="1257"/>
      <c r="R18" s="1257"/>
      <c r="S18" s="1257"/>
      <c r="T18" s="1257"/>
      <c r="U18" s="1257"/>
      <c r="V18" s="1257"/>
      <c r="W18" s="1257"/>
      <c r="X18" s="1257"/>
      <c r="Y18" s="1257"/>
      <c r="Z18" s="1257"/>
      <c r="AA18" s="1257"/>
      <c r="AB18" s="1257"/>
      <c r="AC18" s="1257"/>
      <c r="AD18" s="1257"/>
      <c r="AE18" s="1257"/>
      <c r="AF18" s="1257"/>
      <c r="AG18" s="1257"/>
      <c r="AH18" s="1257"/>
      <c r="AI18" s="1257"/>
      <c r="AJ18" s="1257"/>
      <c r="AK18" s="1257"/>
      <c r="AL18" s="1257"/>
      <c r="AM18" s="1257"/>
      <c r="AN18" s="1257"/>
      <c r="AO18" s="1257"/>
      <c r="AP18" s="1257"/>
      <c r="AQ18" s="1257"/>
      <c r="AR18" s="1257"/>
      <c r="AS18" s="1257"/>
      <c r="AT18" s="1257"/>
      <c r="AU18" s="1257"/>
      <c r="AV18" s="1257"/>
      <c r="AW18" s="1257"/>
      <c r="AX18" s="1257"/>
      <c r="AY18" s="1257"/>
      <c r="AZ18" s="1257"/>
      <c r="BA18" s="1257"/>
      <c r="BB18" s="1257"/>
      <c r="BC18" s="1257"/>
      <c r="BD18" s="1257"/>
      <c r="BE18" s="1257"/>
      <c r="BF18" s="1257"/>
      <c r="BG18" s="1257"/>
      <c r="BH18" s="1257"/>
      <c r="BI18" s="1257"/>
      <c r="BJ18" s="1257"/>
      <c r="BK18" s="1257"/>
      <c r="BL18" s="1257"/>
      <c r="BM18" s="1257"/>
      <c r="BN18" s="1257"/>
      <c r="BO18" s="1257"/>
      <c r="BP18" s="1257"/>
      <c r="BQ18" s="1257"/>
      <c r="BR18" s="1257"/>
      <c r="BS18" s="1257"/>
      <c r="BT18" s="1257"/>
      <c r="BU18" s="1257"/>
      <c r="BV18" s="1257"/>
      <c r="BW18" s="1257"/>
      <c r="BX18" s="1257"/>
      <c r="BY18" s="1257"/>
      <c r="BZ18" s="1257"/>
      <c r="CA18" s="1257"/>
      <c r="CB18" s="1257"/>
      <c r="CC18" s="1257"/>
      <c r="CD18" s="1257"/>
      <c r="CE18" s="1257"/>
      <c r="CF18" s="1257"/>
      <c r="CG18" s="1257"/>
      <c r="CH18" s="1257"/>
      <c r="CI18" s="1257"/>
      <c r="CJ18" s="1257"/>
      <c r="CK18" s="1257"/>
      <c r="CL18" s="1257"/>
      <c r="CM18" s="1257"/>
      <c r="CN18" s="1257"/>
      <c r="CO18" s="1257"/>
      <c r="CP18" s="1257"/>
      <c r="CQ18" s="1257"/>
      <c r="CR18" s="1257"/>
      <c r="CS18" s="1257"/>
      <c r="CT18" s="1257"/>
      <c r="CU18" s="1257"/>
      <c r="CV18" s="1257"/>
      <c r="CW18" s="1257"/>
      <c r="CX18" s="1257"/>
      <c r="CY18" s="1257"/>
      <c r="CZ18" s="1257"/>
      <c r="DA18" s="1257"/>
      <c r="DB18" s="1257"/>
      <c r="DC18" s="1257"/>
      <c r="DD18" s="1257"/>
      <c r="DE18" s="1257"/>
      <c r="DF18" s="1257"/>
      <c r="DG18" s="1257"/>
      <c r="DH18" s="1257"/>
      <c r="DI18" s="1257"/>
      <c r="DJ18" s="1257"/>
      <c r="DK18" s="1257"/>
      <c r="DL18" s="1257"/>
      <c r="DM18" s="1257"/>
      <c r="DN18" s="1257"/>
      <c r="DO18" s="1257"/>
      <c r="DP18" s="1257"/>
      <c r="DQ18" s="1257"/>
      <c r="DR18" s="1257"/>
      <c r="DS18" s="1257"/>
      <c r="DT18" s="1257"/>
      <c r="DU18" s="1257"/>
      <c r="DV18" s="1257"/>
      <c r="DW18" s="1257"/>
      <c r="DX18" s="1257"/>
      <c r="DY18" s="1257"/>
      <c r="DZ18" s="1257"/>
      <c r="EA18" s="1257"/>
      <c r="EB18" s="1257"/>
      <c r="EC18" s="1257"/>
      <c r="ED18" s="1257"/>
      <c r="EE18" s="1257"/>
      <c r="EF18" s="1257"/>
      <c r="EG18" s="1257"/>
      <c r="EH18" s="1257"/>
      <c r="EI18" s="1257"/>
      <c r="EJ18" s="1257"/>
      <c r="EK18" s="1257"/>
      <c r="EL18" s="1257"/>
      <c r="EM18" s="1257"/>
      <c r="EN18" s="1257"/>
      <c r="EO18" s="1257"/>
      <c r="EP18" s="1257"/>
      <c r="EQ18" s="1257"/>
      <c r="ER18" s="1257"/>
      <c r="ES18" s="1257"/>
      <c r="ET18" s="1257"/>
      <c r="EU18" s="1257"/>
      <c r="EV18" s="1257"/>
      <c r="EW18" s="1257"/>
      <c r="EX18" s="1257"/>
      <c r="EY18" s="1257"/>
      <c r="EZ18" s="1257"/>
      <c r="FA18" s="1257"/>
      <c r="FB18" s="1257"/>
      <c r="FC18" s="1257"/>
      <c r="FD18" s="1257"/>
      <c r="FE18" s="1257"/>
      <c r="FF18" s="1257"/>
      <c r="FG18" s="1257"/>
      <c r="FH18" s="1257"/>
      <c r="FI18" s="1257"/>
      <c r="FJ18" s="1257"/>
      <c r="FK18" s="1257"/>
      <c r="FL18" s="1257"/>
      <c r="FM18" s="1257"/>
      <c r="FN18" s="1257"/>
      <c r="FO18" s="1257"/>
      <c r="FP18" s="1257"/>
      <c r="FQ18" s="1257"/>
      <c r="FR18" s="1257"/>
      <c r="FS18" s="1257"/>
      <c r="FT18" s="1257"/>
      <c r="FU18" s="1257"/>
      <c r="FV18" s="1257"/>
      <c r="FW18" s="1257"/>
      <c r="FX18" s="1257"/>
      <c r="FY18" s="1257"/>
      <c r="FZ18" s="1257"/>
      <c r="GA18" s="1257"/>
      <c r="GB18" s="1257"/>
      <c r="GC18" s="1257"/>
      <c r="GD18" s="1257"/>
      <c r="GE18" s="1257"/>
      <c r="GF18" s="1257"/>
      <c r="GG18" s="1257"/>
    </row>
    <row r="19" spans="1:189" s="500" customFormat="1">
      <c r="A19" s="1425"/>
      <c r="B19" s="691"/>
      <c r="C19" s="1480" t="e">
        <f>#REF!</f>
        <v>#REF!</v>
      </c>
      <c r="D19" s="808">
        <v>1</v>
      </c>
      <c r="E19" s="527" t="e">
        <f>+#REF!</f>
        <v>#REF!</v>
      </c>
      <c r="F19" s="741" t="e">
        <f>+D19*E19</f>
        <v>#REF!</v>
      </c>
      <c r="H19" s="1254"/>
      <c r="I19" s="1256"/>
      <c r="J19" s="1254"/>
      <c r="K19" s="1257"/>
      <c r="L19" s="1257"/>
      <c r="M19" s="1257"/>
      <c r="N19" s="1257"/>
      <c r="O19" s="1257"/>
      <c r="P19" s="1257"/>
      <c r="Q19" s="1257"/>
      <c r="R19" s="1257"/>
      <c r="S19" s="1257"/>
      <c r="T19" s="1257"/>
      <c r="U19" s="1257"/>
      <c r="V19" s="1257"/>
      <c r="W19" s="1257"/>
      <c r="X19" s="1257"/>
      <c r="Y19" s="1257"/>
      <c r="Z19" s="1257"/>
      <c r="AA19" s="1257"/>
      <c r="AB19" s="1257"/>
      <c r="AC19" s="1257"/>
      <c r="AD19" s="1257"/>
      <c r="AE19" s="1257"/>
      <c r="AF19" s="1257"/>
      <c r="AG19" s="1257"/>
      <c r="AH19" s="1257"/>
      <c r="AI19" s="1257"/>
      <c r="AJ19" s="1257"/>
      <c r="AK19" s="1257"/>
      <c r="AL19" s="1257"/>
      <c r="AM19" s="1257"/>
      <c r="AN19" s="1257"/>
      <c r="AO19" s="1257"/>
      <c r="AP19" s="1257"/>
      <c r="AQ19" s="1257"/>
      <c r="AR19" s="1257"/>
      <c r="AS19" s="1257"/>
      <c r="AT19" s="1257"/>
      <c r="AU19" s="1257"/>
      <c r="AV19" s="1257"/>
      <c r="AW19" s="1257"/>
      <c r="AX19" s="1257"/>
      <c r="AY19" s="1257"/>
      <c r="AZ19" s="1257"/>
      <c r="BA19" s="1257"/>
      <c r="BB19" s="1257"/>
      <c r="BC19" s="1257"/>
      <c r="BD19" s="1257"/>
      <c r="BE19" s="1257"/>
      <c r="BF19" s="1257"/>
      <c r="BG19" s="1257"/>
      <c r="BH19" s="1257"/>
      <c r="BI19" s="1257"/>
      <c r="BJ19" s="1257"/>
      <c r="BK19" s="1257"/>
      <c r="BL19" s="1257"/>
      <c r="BM19" s="1257"/>
      <c r="BN19" s="1257"/>
      <c r="BO19" s="1257"/>
      <c r="BP19" s="1257"/>
      <c r="BQ19" s="1257"/>
      <c r="BR19" s="1257"/>
      <c r="BS19" s="1257"/>
      <c r="BT19" s="1257"/>
      <c r="BU19" s="1257"/>
      <c r="BV19" s="1257"/>
      <c r="BW19" s="1257"/>
      <c r="BX19" s="1257"/>
      <c r="BY19" s="1257"/>
      <c r="BZ19" s="1257"/>
      <c r="CA19" s="1257"/>
      <c r="CB19" s="1257"/>
      <c r="CC19" s="1257"/>
      <c r="CD19" s="1257"/>
      <c r="CE19" s="1257"/>
      <c r="CF19" s="1257"/>
      <c r="CG19" s="1257"/>
      <c r="CH19" s="1257"/>
      <c r="CI19" s="1257"/>
      <c r="CJ19" s="1257"/>
      <c r="CK19" s="1257"/>
      <c r="CL19" s="1257"/>
      <c r="CM19" s="1257"/>
      <c r="CN19" s="1257"/>
      <c r="CO19" s="1257"/>
      <c r="CP19" s="1257"/>
      <c r="CQ19" s="1257"/>
      <c r="CR19" s="1257"/>
      <c r="CS19" s="1257"/>
      <c r="CT19" s="1257"/>
      <c r="CU19" s="1257"/>
      <c r="CV19" s="1257"/>
      <c r="CW19" s="1257"/>
      <c r="CX19" s="1257"/>
      <c r="CY19" s="1257"/>
      <c r="CZ19" s="1257"/>
      <c r="DA19" s="1257"/>
      <c r="DB19" s="1257"/>
      <c r="DC19" s="1257"/>
      <c r="DD19" s="1257"/>
      <c r="DE19" s="1257"/>
      <c r="DF19" s="1257"/>
      <c r="DG19" s="1257"/>
      <c r="DH19" s="1257"/>
      <c r="DI19" s="1257"/>
      <c r="DJ19" s="1257"/>
      <c r="DK19" s="1257"/>
      <c r="DL19" s="1257"/>
      <c r="DM19" s="1257"/>
      <c r="DN19" s="1257"/>
      <c r="DO19" s="1257"/>
      <c r="DP19" s="1257"/>
      <c r="DQ19" s="1257"/>
      <c r="DR19" s="1257"/>
      <c r="DS19" s="1257"/>
      <c r="DT19" s="1257"/>
      <c r="DU19" s="1257"/>
      <c r="DV19" s="1257"/>
      <c r="DW19" s="1257"/>
      <c r="DX19" s="1257"/>
      <c r="DY19" s="1257"/>
      <c r="DZ19" s="1257"/>
      <c r="EA19" s="1257"/>
      <c r="EB19" s="1257"/>
      <c r="EC19" s="1257"/>
      <c r="ED19" s="1257"/>
      <c r="EE19" s="1257"/>
      <c r="EF19" s="1257"/>
      <c r="EG19" s="1257"/>
      <c r="EH19" s="1257"/>
      <c r="EI19" s="1257"/>
      <c r="EJ19" s="1257"/>
      <c r="EK19" s="1257"/>
      <c r="EL19" s="1257"/>
      <c r="EM19" s="1257"/>
      <c r="EN19" s="1257"/>
      <c r="EO19" s="1257"/>
      <c r="EP19" s="1257"/>
      <c r="EQ19" s="1257"/>
      <c r="ER19" s="1257"/>
      <c r="ES19" s="1257"/>
      <c r="ET19" s="1257"/>
      <c r="EU19" s="1257"/>
      <c r="EV19" s="1257"/>
      <c r="EW19" s="1257"/>
      <c r="EX19" s="1257"/>
      <c r="EY19" s="1257"/>
      <c r="EZ19" s="1257"/>
      <c r="FA19" s="1257"/>
      <c r="FB19" s="1257"/>
      <c r="FC19" s="1257"/>
      <c r="FD19" s="1257"/>
      <c r="FE19" s="1257"/>
      <c r="FF19" s="1257"/>
      <c r="FG19" s="1257"/>
      <c r="FH19" s="1257"/>
      <c r="FI19" s="1257"/>
      <c r="FJ19" s="1257"/>
      <c r="FK19" s="1257"/>
      <c r="FL19" s="1257"/>
      <c r="FM19" s="1257"/>
      <c r="FN19" s="1257"/>
      <c r="FO19" s="1257"/>
      <c r="FP19" s="1257"/>
      <c r="FQ19" s="1257"/>
      <c r="FR19" s="1257"/>
      <c r="FS19" s="1257"/>
      <c r="FT19" s="1257"/>
      <c r="FU19" s="1257"/>
      <c r="FV19" s="1257"/>
      <c r="FW19" s="1257"/>
      <c r="FX19" s="1257"/>
      <c r="FY19" s="1257"/>
      <c r="FZ19" s="1257"/>
      <c r="GA19" s="1257"/>
      <c r="GB19" s="1257"/>
      <c r="GC19" s="1257"/>
      <c r="GD19" s="1257"/>
      <c r="GE19" s="1257"/>
      <c r="GF19" s="1257"/>
      <c r="GG19" s="1257"/>
    </row>
    <row r="20" spans="1:189" s="944" customFormat="1">
      <c r="A20" s="745" t="e">
        <f>#REF!</f>
        <v>#REF!</v>
      </c>
      <c r="B20" s="830" t="e">
        <f>#REF!</f>
        <v>#REF!</v>
      </c>
      <c r="C20" s="1478"/>
      <c r="D20" s="742"/>
      <c r="E20" s="544"/>
      <c r="F20" s="1136"/>
      <c r="H20" s="1446"/>
      <c r="I20" s="1447"/>
      <c r="J20" s="1446"/>
    </row>
    <row r="21" spans="1:189" s="944" customFormat="1">
      <c r="A21" s="1432"/>
      <c r="B21" s="680"/>
      <c r="C21" s="1480" t="e">
        <f>#REF!</f>
        <v>#REF!</v>
      </c>
      <c r="D21" s="775">
        <v>1</v>
      </c>
      <c r="E21" s="547" t="e">
        <f>+H21</f>
        <v>#REF!</v>
      </c>
      <c r="F21" s="963" t="e">
        <f>+D21*E21</f>
        <v>#REF!</v>
      </c>
      <c r="H21" s="1446" t="e">
        <f>+F140*0.02</f>
        <v>#REF!</v>
      </c>
      <c r="I21" s="1447">
        <v>1.05</v>
      </c>
      <c r="J21" s="1446" t="e">
        <f>H21*I21</f>
        <v>#REF!</v>
      </c>
    </row>
    <row r="22" spans="1:189" s="1451" customFormat="1">
      <c r="A22" s="689" t="e">
        <f>#REF!</f>
        <v>#REF!</v>
      </c>
      <c r="B22" s="711" t="e">
        <f>#REF!</f>
        <v>#REF!</v>
      </c>
      <c r="C22" s="1524"/>
      <c r="D22" s="742"/>
      <c r="E22" s="641"/>
      <c r="F22" s="740"/>
      <c r="H22" s="1452"/>
      <c r="I22" s="1453"/>
      <c r="J22" s="1452"/>
      <c r="K22" s="1454"/>
      <c r="L22" s="1454"/>
      <c r="M22" s="1454"/>
      <c r="N22" s="1454"/>
      <c r="O22" s="1454"/>
      <c r="P22" s="1454"/>
      <c r="Q22" s="1454"/>
      <c r="R22" s="1454"/>
      <c r="S22" s="1454"/>
      <c r="T22" s="1454"/>
      <c r="U22" s="1454"/>
      <c r="V22" s="1454"/>
      <c r="W22" s="1454"/>
      <c r="X22" s="1454"/>
      <c r="Y22" s="1454"/>
      <c r="Z22" s="1454"/>
      <c r="AA22" s="1454"/>
      <c r="AB22" s="1454"/>
      <c r="AC22" s="1454"/>
      <c r="AD22" s="1454"/>
      <c r="AE22" s="1454"/>
      <c r="AF22" s="1454"/>
      <c r="AG22" s="1454"/>
      <c r="AH22" s="1454"/>
      <c r="AI22" s="1454"/>
      <c r="AJ22" s="1454"/>
      <c r="AK22" s="1454"/>
      <c r="AL22" s="1454"/>
      <c r="AM22" s="1454"/>
      <c r="AN22" s="1454"/>
      <c r="AO22" s="1454"/>
      <c r="AP22" s="1454"/>
      <c r="AQ22" s="1454"/>
      <c r="AR22" s="1454"/>
      <c r="AS22" s="1454"/>
      <c r="AT22" s="1454"/>
      <c r="AU22" s="1454"/>
      <c r="AV22" s="1454"/>
      <c r="AW22" s="1454"/>
      <c r="AX22" s="1454"/>
      <c r="AY22" s="1454"/>
      <c r="AZ22" s="1454"/>
      <c r="BA22" s="1454"/>
      <c r="BB22" s="1454"/>
      <c r="BC22" s="1454"/>
      <c r="BD22" s="1454"/>
      <c r="BE22" s="1454"/>
      <c r="BF22" s="1454"/>
      <c r="BG22" s="1454"/>
      <c r="BH22" s="1454"/>
      <c r="BI22" s="1454"/>
      <c r="BJ22" s="1454"/>
      <c r="BK22" s="1454"/>
      <c r="BL22" s="1454"/>
      <c r="BM22" s="1454"/>
      <c r="BN22" s="1454"/>
      <c r="BO22" s="1454"/>
      <c r="BP22" s="1454"/>
      <c r="BQ22" s="1454"/>
      <c r="BR22" s="1454"/>
      <c r="BS22" s="1454"/>
      <c r="BT22" s="1454"/>
      <c r="BU22" s="1454"/>
      <c r="BV22" s="1454"/>
      <c r="BW22" s="1454"/>
      <c r="BX22" s="1454"/>
      <c r="BY22" s="1454"/>
      <c r="BZ22" s="1454"/>
      <c r="CA22" s="1454"/>
      <c r="CB22" s="1454"/>
      <c r="CC22" s="1454"/>
      <c r="CD22" s="1454"/>
      <c r="CE22" s="1454"/>
      <c r="CF22" s="1454"/>
      <c r="CG22" s="1454"/>
      <c r="CH22" s="1454"/>
      <c r="CI22" s="1454"/>
      <c r="CJ22" s="1454"/>
      <c r="CK22" s="1454"/>
      <c r="CL22" s="1454"/>
      <c r="CM22" s="1454"/>
      <c r="CN22" s="1454"/>
      <c r="CO22" s="1454"/>
      <c r="CP22" s="1454"/>
      <c r="CQ22" s="1454"/>
      <c r="CR22" s="1454"/>
      <c r="CS22" s="1454"/>
      <c r="CT22" s="1454"/>
      <c r="CU22" s="1454"/>
      <c r="CV22" s="1454"/>
      <c r="CW22" s="1454"/>
      <c r="CX22" s="1454"/>
      <c r="CY22" s="1454"/>
      <c r="CZ22" s="1454"/>
      <c r="DA22" s="1454"/>
      <c r="DB22" s="1454"/>
      <c r="DC22" s="1454"/>
      <c r="DD22" s="1454"/>
      <c r="DE22" s="1454"/>
      <c r="DF22" s="1454"/>
      <c r="DG22" s="1454"/>
      <c r="DH22" s="1454"/>
      <c r="DI22" s="1454"/>
      <c r="DJ22" s="1454"/>
      <c r="DK22" s="1454"/>
      <c r="DL22" s="1454"/>
      <c r="DM22" s="1454"/>
      <c r="DN22" s="1454"/>
      <c r="DO22" s="1454"/>
      <c r="DP22" s="1454"/>
      <c r="DQ22" s="1454"/>
      <c r="DR22" s="1454"/>
      <c r="DS22" s="1454"/>
      <c r="DT22" s="1454"/>
      <c r="DU22" s="1454"/>
      <c r="DV22" s="1454"/>
      <c r="DW22" s="1454"/>
      <c r="DX22" s="1454"/>
      <c r="DY22" s="1454"/>
      <c r="DZ22" s="1454"/>
      <c r="EA22" s="1454"/>
      <c r="EB22" s="1454"/>
      <c r="EC22" s="1454"/>
      <c r="ED22" s="1454"/>
      <c r="EE22" s="1454"/>
      <c r="EF22" s="1454"/>
      <c r="EG22" s="1454"/>
      <c r="EH22" s="1454"/>
      <c r="EI22" s="1454"/>
      <c r="EJ22" s="1454"/>
      <c r="EK22" s="1454"/>
      <c r="EL22" s="1454"/>
      <c r="EM22" s="1454"/>
      <c r="EN22" s="1454"/>
      <c r="EO22" s="1454"/>
      <c r="EP22" s="1454"/>
      <c r="EQ22" s="1454"/>
      <c r="ER22" s="1454"/>
      <c r="ES22" s="1454"/>
      <c r="ET22" s="1454"/>
      <c r="EU22" s="1454"/>
      <c r="EV22" s="1454"/>
      <c r="EW22" s="1454"/>
      <c r="EX22" s="1454"/>
      <c r="EY22" s="1454"/>
      <c r="EZ22" s="1454"/>
      <c r="FA22" s="1454"/>
      <c r="FB22" s="1454"/>
      <c r="FC22" s="1454"/>
      <c r="FD22" s="1454"/>
      <c r="FE22" s="1454"/>
      <c r="FF22" s="1454"/>
      <c r="FG22" s="1454"/>
      <c r="FH22" s="1454"/>
      <c r="FI22" s="1454"/>
      <c r="FJ22" s="1454"/>
      <c r="FK22" s="1454"/>
      <c r="FL22" s="1454"/>
      <c r="FM22" s="1454"/>
      <c r="FN22" s="1454"/>
      <c r="FO22" s="1454"/>
      <c r="FP22" s="1454"/>
      <c r="FQ22" s="1454"/>
      <c r="FR22" s="1454"/>
      <c r="FS22" s="1454"/>
      <c r="FT22" s="1454"/>
      <c r="FU22" s="1454"/>
      <c r="FV22" s="1454"/>
      <c r="FW22" s="1454"/>
      <c r="FX22" s="1454"/>
      <c r="FY22" s="1454"/>
      <c r="FZ22" s="1454"/>
      <c r="GA22" s="1454"/>
      <c r="GB22" s="1454"/>
      <c r="GC22" s="1454"/>
      <c r="GD22" s="1454"/>
      <c r="GE22" s="1454"/>
      <c r="GF22" s="1454"/>
      <c r="GG22" s="1454"/>
    </row>
    <row r="23" spans="1:189" s="1451" customFormat="1">
      <c r="A23" s="1425"/>
      <c r="B23" s="691"/>
      <c r="C23" s="1480" t="e">
        <f>#REF!</f>
        <v>#REF!</v>
      </c>
      <c r="D23" s="775">
        <v>1</v>
      </c>
      <c r="E23" s="527" t="e">
        <f>+#REF!</f>
        <v>#REF!</v>
      </c>
      <c r="F23" s="741" t="e">
        <f>+D23*E23</f>
        <v>#REF!</v>
      </c>
      <c r="H23" s="1452"/>
      <c r="I23" s="1453"/>
      <c r="J23" s="1452"/>
      <c r="K23" s="1454"/>
      <c r="L23" s="1454"/>
      <c r="M23" s="1454"/>
      <c r="N23" s="1454"/>
      <c r="O23" s="1454"/>
      <c r="P23" s="1454"/>
      <c r="Q23" s="1454"/>
      <c r="R23" s="1454"/>
      <c r="S23" s="1454"/>
      <c r="T23" s="1454"/>
      <c r="U23" s="1454"/>
      <c r="V23" s="1454"/>
      <c r="W23" s="1454"/>
      <c r="X23" s="1454"/>
      <c r="Y23" s="1454"/>
      <c r="Z23" s="1454"/>
      <c r="AA23" s="1454"/>
      <c r="AB23" s="1454"/>
      <c r="AC23" s="1454"/>
      <c r="AD23" s="1454"/>
      <c r="AE23" s="1454"/>
      <c r="AF23" s="1454"/>
      <c r="AG23" s="1454"/>
      <c r="AH23" s="1454"/>
      <c r="AI23" s="1454"/>
      <c r="AJ23" s="1454"/>
      <c r="AK23" s="1454"/>
      <c r="AL23" s="1454"/>
      <c r="AM23" s="1454"/>
      <c r="AN23" s="1454"/>
      <c r="AO23" s="1454"/>
      <c r="AP23" s="1454"/>
      <c r="AQ23" s="1454"/>
      <c r="AR23" s="1454"/>
      <c r="AS23" s="1454"/>
      <c r="AT23" s="1454"/>
      <c r="AU23" s="1454"/>
      <c r="AV23" s="1454"/>
      <c r="AW23" s="1454"/>
      <c r="AX23" s="1454"/>
      <c r="AY23" s="1454"/>
      <c r="AZ23" s="1454"/>
      <c r="BA23" s="1454"/>
      <c r="BB23" s="1454"/>
      <c r="BC23" s="1454"/>
      <c r="BD23" s="1454"/>
      <c r="BE23" s="1454"/>
      <c r="BF23" s="1454"/>
      <c r="BG23" s="1454"/>
      <c r="BH23" s="1454"/>
      <c r="BI23" s="1454"/>
      <c r="BJ23" s="1454"/>
      <c r="BK23" s="1454"/>
      <c r="BL23" s="1454"/>
      <c r="BM23" s="1454"/>
      <c r="BN23" s="1454"/>
      <c r="BO23" s="1454"/>
      <c r="BP23" s="1454"/>
      <c r="BQ23" s="1454"/>
      <c r="BR23" s="1454"/>
      <c r="BS23" s="1454"/>
      <c r="BT23" s="1454"/>
      <c r="BU23" s="1454"/>
      <c r="BV23" s="1454"/>
      <c r="BW23" s="1454"/>
      <c r="BX23" s="1454"/>
      <c r="BY23" s="1454"/>
      <c r="BZ23" s="1454"/>
      <c r="CA23" s="1454"/>
      <c r="CB23" s="1454"/>
      <c r="CC23" s="1454"/>
      <c r="CD23" s="1454"/>
      <c r="CE23" s="1454"/>
      <c r="CF23" s="1454"/>
      <c r="CG23" s="1454"/>
      <c r="CH23" s="1454"/>
      <c r="CI23" s="1454"/>
      <c r="CJ23" s="1454"/>
      <c r="CK23" s="1454"/>
      <c r="CL23" s="1454"/>
      <c r="CM23" s="1454"/>
      <c r="CN23" s="1454"/>
      <c r="CO23" s="1454"/>
      <c r="CP23" s="1454"/>
      <c r="CQ23" s="1454"/>
      <c r="CR23" s="1454"/>
      <c r="CS23" s="1454"/>
      <c r="CT23" s="1454"/>
      <c r="CU23" s="1454"/>
      <c r="CV23" s="1454"/>
      <c r="CW23" s="1454"/>
      <c r="CX23" s="1454"/>
      <c r="CY23" s="1454"/>
      <c r="CZ23" s="1454"/>
      <c r="DA23" s="1454"/>
      <c r="DB23" s="1454"/>
      <c r="DC23" s="1454"/>
      <c r="DD23" s="1454"/>
      <c r="DE23" s="1454"/>
      <c r="DF23" s="1454"/>
      <c r="DG23" s="1454"/>
      <c r="DH23" s="1454"/>
      <c r="DI23" s="1454"/>
      <c r="DJ23" s="1454"/>
      <c r="DK23" s="1454"/>
      <c r="DL23" s="1454"/>
      <c r="DM23" s="1454"/>
      <c r="DN23" s="1454"/>
      <c r="DO23" s="1454"/>
      <c r="DP23" s="1454"/>
      <c r="DQ23" s="1454"/>
      <c r="DR23" s="1454"/>
      <c r="DS23" s="1454"/>
      <c r="DT23" s="1454"/>
      <c r="DU23" s="1454"/>
      <c r="DV23" s="1454"/>
      <c r="DW23" s="1454"/>
      <c r="DX23" s="1454"/>
      <c r="DY23" s="1454"/>
      <c r="DZ23" s="1454"/>
      <c r="EA23" s="1454"/>
      <c r="EB23" s="1454"/>
      <c r="EC23" s="1454"/>
      <c r="ED23" s="1454"/>
      <c r="EE23" s="1454"/>
      <c r="EF23" s="1454"/>
      <c r="EG23" s="1454"/>
      <c r="EH23" s="1454"/>
      <c r="EI23" s="1454"/>
      <c r="EJ23" s="1454"/>
      <c r="EK23" s="1454"/>
      <c r="EL23" s="1454"/>
      <c r="EM23" s="1454"/>
      <c r="EN23" s="1454"/>
      <c r="EO23" s="1454"/>
      <c r="EP23" s="1454"/>
      <c r="EQ23" s="1454"/>
      <c r="ER23" s="1454"/>
      <c r="ES23" s="1454"/>
      <c r="ET23" s="1454"/>
      <c r="EU23" s="1454"/>
      <c r="EV23" s="1454"/>
      <c r="EW23" s="1454"/>
      <c r="EX23" s="1454"/>
      <c r="EY23" s="1454"/>
      <c r="EZ23" s="1454"/>
      <c r="FA23" s="1454"/>
      <c r="FB23" s="1454"/>
      <c r="FC23" s="1454"/>
      <c r="FD23" s="1454"/>
      <c r="FE23" s="1454"/>
      <c r="FF23" s="1454"/>
      <c r="FG23" s="1454"/>
      <c r="FH23" s="1454"/>
      <c r="FI23" s="1454"/>
      <c r="FJ23" s="1454"/>
      <c r="FK23" s="1454"/>
      <c r="FL23" s="1454"/>
      <c r="FM23" s="1454"/>
      <c r="FN23" s="1454"/>
      <c r="FO23" s="1454"/>
      <c r="FP23" s="1454"/>
      <c r="FQ23" s="1454"/>
      <c r="FR23" s="1454"/>
      <c r="FS23" s="1454"/>
      <c r="FT23" s="1454"/>
      <c r="FU23" s="1454"/>
      <c r="FV23" s="1454"/>
      <c r="FW23" s="1454"/>
      <c r="FX23" s="1454"/>
      <c r="FY23" s="1454"/>
      <c r="FZ23" s="1454"/>
      <c r="GA23" s="1454"/>
      <c r="GB23" s="1454"/>
      <c r="GC23" s="1454"/>
      <c r="GD23" s="1454"/>
      <c r="GE23" s="1454"/>
      <c r="GF23" s="1454"/>
      <c r="GG23" s="1454"/>
    </row>
    <row r="24" spans="1:189" s="500" customFormat="1">
      <c r="A24" s="689" t="e">
        <f>#REF!</f>
        <v>#REF!</v>
      </c>
      <c r="B24" s="711" t="e">
        <f>#REF!</f>
        <v>#REF!</v>
      </c>
      <c r="C24" s="641"/>
      <c r="D24" s="1455"/>
      <c r="E24" s="641"/>
      <c r="F24" s="740"/>
      <c r="H24" s="1254"/>
      <c r="I24" s="1256"/>
      <c r="J24" s="1254"/>
      <c r="K24" s="1257"/>
      <c r="L24" s="1257"/>
      <c r="M24" s="1257"/>
      <c r="N24" s="1257"/>
      <c r="O24" s="1257"/>
      <c r="P24" s="1257"/>
      <c r="Q24" s="1257"/>
      <c r="R24" s="1257"/>
      <c r="S24" s="1257"/>
      <c r="T24" s="1257"/>
      <c r="U24" s="1257"/>
      <c r="V24" s="1257"/>
      <c r="W24" s="1257"/>
      <c r="X24" s="1257"/>
      <c r="Y24" s="1257"/>
      <c r="Z24" s="1257"/>
      <c r="AA24" s="1257"/>
      <c r="AB24" s="1257"/>
      <c r="AC24" s="1257"/>
      <c r="AD24" s="1257"/>
      <c r="AE24" s="1257"/>
      <c r="AF24" s="1257"/>
      <c r="AG24" s="1257"/>
      <c r="AH24" s="1257"/>
      <c r="AI24" s="1257"/>
      <c r="AJ24" s="1257"/>
      <c r="AK24" s="1257"/>
      <c r="AL24" s="1257"/>
      <c r="AM24" s="1257"/>
      <c r="AN24" s="1257"/>
      <c r="AO24" s="1257"/>
      <c r="AP24" s="1257"/>
      <c r="AQ24" s="1257"/>
      <c r="AR24" s="1257"/>
      <c r="AS24" s="1257"/>
      <c r="AT24" s="1257"/>
      <c r="AU24" s="1257"/>
      <c r="AV24" s="1257"/>
      <c r="AW24" s="1257"/>
      <c r="AX24" s="1257"/>
      <c r="AY24" s="1257"/>
      <c r="AZ24" s="1257"/>
      <c r="BA24" s="1257"/>
      <c r="BB24" s="1257"/>
      <c r="BC24" s="1257"/>
      <c r="BD24" s="1257"/>
      <c r="BE24" s="1257"/>
      <c r="BF24" s="1257"/>
      <c r="BG24" s="1257"/>
      <c r="BH24" s="1257"/>
      <c r="BI24" s="1257"/>
      <c r="BJ24" s="1257"/>
      <c r="BK24" s="1257"/>
      <c r="BL24" s="1257"/>
      <c r="BM24" s="1257"/>
      <c r="BN24" s="1257"/>
      <c r="BO24" s="1257"/>
      <c r="BP24" s="1257"/>
      <c r="BQ24" s="1257"/>
      <c r="BR24" s="1257"/>
      <c r="BS24" s="1257"/>
      <c r="BT24" s="1257"/>
      <c r="BU24" s="1257"/>
      <c r="BV24" s="1257"/>
      <c r="BW24" s="1257"/>
      <c r="BX24" s="1257"/>
      <c r="BY24" s="1257"/>
      <c r="BZ24" s="1257"/>
      <c r="CA24" s="1257"/>
      <c r="CB24" s="1257"/>
      <c r="CC24" s="1257"/>
      <c r="CD24" s="1257"/>
      <c r="CE24" s="1257"/>
      <c r="CF24" s="1257"/>
      <c r="CG24" s="1257"/>
      <c r="CH24" s="1257"/>
      <c r="CI24" s="1257"/>
      <c r="CJ24" s="1257"/>
      <c r="CK24" s="1257"/>
      <c r="CL24" s="1257"/>
      <c r="CM24" s="1257"/>
      <c r="CN24" s="1257"/>
      <c r="CO24" s="1257"/>
      <c r="CP24" s="1257"/>
      <c r="CQ24" s="1257"/>
      <c r="CR24" s="1257"/>
      <c r="CS24" s="1257"/>
      <c r="CT24" s="1257"/>
      <c r="CU24" s="1257"/>
      <c r="CV24" s="1257"/>
      <c r="CW24" s="1257"/>
      <c r="CX24" s="1257"/>
      <c r="CY24" s="1257"/>
      <c r="CZ24" s="1257"/>
      <c r="DA24" s="1257"/>
      <c r="DB24" s="1257"/>
      <c r="DC24" s="1257"/>
      <c r="DD24" s="1257"/>
      <c r="DE24" s="1257"/>
      <c r="DF24" s="1257"/>
      <c r="DG24" s="1257"/>
      <c r="DH24" s="1257"/>
      <c r="DI24" s="1257"/>
      <c r="DJ24" s="1257"/>
      <c r="DK24" s="1257"/>
      <c r="DL24" s="1257"/>
      <c r="DM24" s="1257"/>
      <c r="DN24" s="1257"/>
      <c r="DO24" s="1257"/>
      <c r="DP24" s="1257"/>
      <c r="DQ24" s="1257"/>
      <c r="DR24" s="1257"/>
      <c r="DS24" s="1257"/>
      <c r="DT24" s="1257"/>
      <c r="DU24" s="1257"/>
      <c r="DV24" s="1257"/>
      <c r="DW24" s="1257"/>
      <c r="DX24" s="1257"/>
      <c r="DY24" s="1257"/>
      <c r="DZ24" s="1257"/>
      <c r="EA24" s="1257"/>
      <c r="EB24" s="1257"/>
      <c r="EC24" s="1257"/>
      <c r="ED24" s="1257"/>
      <c r="EE24" s="1257"/>
      <c r="EF24" s="1257"/>
      <c r="EG24" s="1257"/>
      <c r="EH24" s="1257"/>
      <c r="EI24" s="1257"/>
      <c r="EJ24" s="1257"/>
      <c r="EK24" s="1257"/>
      <c r="EL24" s="1257"/>
      <c r="EM24" s="1257"/>
      <c r="EN24" s="1257"/>
      <c r="EO24" s="1257"/>
      <c r="EP24" s="1257"/>
      <c r="EQ24" s="1257"/>
      <c r="ER24" s="1257"/>
      <c r="ES24" s="1257"/>
      <c r="ET24" s="1257"/>
      <c r="EU24" s="1257"/>
      <c r="EV24" s="1257"/>
      <c r="EW24" s="1257"/>
      <c r="EX24" s="1257"/>
      <c r="EY24" s="1257"/>
      <c r="EZ24" s="1257"/>
      <c r="FA24" s="1257"/>
      <c r="FB24" s="1257"/>
      <c r="FC24" s="1257"/>
      <c r="FD24" s="1257"/>
      <c r="FE24" s="1257"/>
      <c r="FF24" s="1257"/>
      <c r="FG24" s="1257"/>
      <c r="FH24" s="1257"/>
      <c r="FI24" s="1257"/>
      <c r="FJ24" s="1257"/>
      <c r="FK24" s="1257"/>
      <c r="FL24" s="1257"/>
      <c r="FM24" s="1257"/>
      <c r="FN24" s="1257"/>
      <c r="FO24" s="1257"/>
      <c r="FP24" s="1257"/>
      <c r="FQ24" s="1257"/>
      <c r="FR24" s="1257"/>
      <c r="FS24" s="1257"/>
      <c r="FT24" s="1257"/>
      <c r="FU24" s="1257"/>
      <c r="FV24" s="1257"/>
      <c r="FW24" s="1257"/>
      <c r="FX24" s="1257"/>
      <c r="FY24" s="1257"/>
      <c r="FZ24" s="1257"/>
      <c r="GA24" s="1257"/>
      <c r="GB24" s="1257"/>
      <c r="GC24" s="1257"/>
      <c r="GD24" s="1257"/>
      <c r="GE24" s="1257"/>
      <c r="GF24" s="1257"/>
      <c r="GG24" s="1257"/>
    </row>
    <row r="25" spans="1:189" s="500" customFormat="1">
      <c r="A25" s="1425"/>
      <c r="B25" s="691"/>
      <c r="C25" s="1480" t="e">
        <f>#REF!</f>
        <v>#REF!</v>
      </c>
      <c r="D25" s="808">
        <v>0</v>
      </c>
      <c r="E25" s="527">
        <v>15000000</v>
      </c>
      <c r="F25" s="741">
        <f>+D25*E25</f>
        <v>0</v>
      </c>
      <c r="H25" s="1254">
        <f>15%*F7</f>
        <v>75</v>
      </c>
      <c r="I25" s="1256">
        <f>1.05</f>
        <v>1.05</v>
      </c>
      <c r="J25" s="1254">
        <f>ROUND(H25*I25,0)</f>
        <v>79</v>
      </c>
      <c r="K25" s="1257"/>
      <c r="L25" s="1257"/>
      <c r="M25" s="1257"/>
      <c r="N25" s="1257"/>
      <c r="O25" s="1257"/>
      <c r="P25" s="1257"/>
      <c r="Q25" s="1257"/>
      <c r="R25" s="1257"/>
      <c r="S25" s="1257"/>
      <c r="T25" s="1257"/>
      <c r="U25" s="1257"/>
      <c r="V25" s="1257"/>
      <c r="W25" s="1257"/>
      <c r="X25" s="1257"/>
      <c r="Y25" s="1257"/>
      <c r="Z25" s="1257"/>
      <c r="AA25" s="1257"/>
      <c r="AB25" s="1257"/>
      <c r="AC25" s="1257"/>
      <c r="AD25" s="1257"/>
      <c r="AE25" s="1257"/>
      <c r="AF25" s="1257"/>
      <c r="AG25" s="1257"/>
      <c r="AH25" s="1257"/>
      <c r="AI25" s="1257"/>
      <c r="AJ25" s="1257"/>
      <c r="AK25" s="1257"/>
      <c r="AL25" s="1257"/>
      <c r="AM25" s="1257"/>
      <c r="AN25" s="1257"/>
      <c r="AO25" s="1257"/>
      <c r="AP25" s="1257"/>
      <c r="AQ25" s="1257"/>
      <c r="AR25" s="1257"/>
      <c r="AS25" s="1257"/>
      <c r="AT25" s="1257"/>
      <c r="AU25" s="1257"/>
      <c r="AV25" s="1257"/>
      <c r="AW25" s="1257"/>
      <c r="AX25" s="1257"/>
      <c r="AY25" s="1257"/>
      <c r="AZ25" s="1257"/>
      <c r="BA25" s="1257"/>
      <c r="BB25" s="1257"/>
      <c r="BC25" s="1257"/>
      <c r="BD25" s="1257"/>
      <c r="BE25" s="1257"/>
      <c r="BF25" s="1257"/>
      <c r="BG25" s="1257"/>
      <c r="BH25" s="1257"/>
      <c r="BI25" s="1257"/>
      <c r="BJ25" s="1257"/>
      <c r="BK25" s="1257"/>
      <c r="BL25" s="1257"/>
      <c r="BM25" s="1257"/>
      <c r="BN25" s="1257"/>
      <c r="BO25" s="1257"/>
      <c r="BP25" s="1257"/>
      <c r="BQ25" s="1257"/>
      <c r="BR25" s="1257"/>
      <c r="BS25" s="1257"/>
      <c r="BT25" s="1257"/>
      <c r="BU25" s="1257"/>
      <c r="BV25" s="1257"/>
      <c r="BW25" s="1257"/>
      <c r="BX25" s="1257"/>
      <c r="BY25" s="1257"/>
      <c r="BZ25" s="1257"/>
      <c r="CA25" s="1257"/>
      <c r="CB25" s="1257"/>
      <c r="CC25" s="1257"/>
      <c r="CD25" s="1257"/>
      <c r="CE25" s="1257"/>
      <c r="CF25" s="1257"/>
      <c r="CG25" s="1257"/>
      <c r="CH25" s="1257"/>
      <c r="CI25" s="1257"/>
      <c r="CJ25" s="1257"/>
      <c r="CK25" s="1257"/>
      <c r="CL25" s="1257"/>
      <c r="CM25" s="1257"/>
      <c r="CN25" s="1257"/>
      <c r="CO25" s="1257"/>
      <c r="CP25" s="1257"/>
      <c r="CQ25" s="1257"/>
      <c r="CR25" s="1257"/>
      <c r="CS25" s="1257"/>
      <c r="CT25" s="1257"/>
      <c r="CU25" s="1257"/>
      <c r="CV25" s="1257"/>
      <c r="CW25" s="1257"/>
      <c r="CX25" s="1257"/>
      <c r="CY25" s="1257"/>
      <c r="CZ25" s="1257"/>
      <c r="DA25" s="1257"/>
      <c r="DB25" s="1257"/>
      <c r="DC25" s="1257"/>
      <c r="DD25" s="1257"/>
      <c r="DE25" s="1257"/>
      <c r="DF25" s="1257"/>
      <c r="DG25" s="1257"/>
      <c r="DH25" s="1257"/>
      <c r="DI25" s="1257"/>
      <c r="DJ25" s="1257"/>
      <c r="DK25" s="1257"/>
      <c r="DL25" s="1257"/>
      <c r="DM25" s="1257"/>
      <c r="DN25" s="1257"/>
      <c r="DO25" s="1257"/>
      <c r="DP25" s="1257"/>
      <c r="DQ25" s="1257"/>
      <c r="DR25" s="1257"/>
      <c r="DS25" s="1257"/>
      <c r="DT25" s="1257"/>
      <c r="DU25" s="1257"/>
      <c r="DV25" s="1257"/>
      <c r="DW25" s="1257"/>
      <c r="DX25" s="1257"/>
      <c r="DY25" s="1257"/>
      <c r="DZ25" s="1257"/>
      <c r="EA25" s="1257"/>
      <c r="EB25" s="1257"/>
      <c r="EC25" s="1257"/>
      <c r="ED25" s="1257"/>
      <c r="EE25" s="1257"/>
      <c r="EF25" s="1257"/>
      <c r="EG25" s="1257"/>
      <c r="EH25" s="1257"/>
      <c r="EI25" s="1257"/>
      <c r="EJ25" s="1257"/>
      <c r="EK25" s="1257"/>
      <c r="EL25" s="1257"/>
      <c r="EM25" s="1257"/>
      <c r="EN25" s="1257"/>
      <c r="EO25" s="1257"/>
      <c r="EP25" s="1257"/>
      <c r="EQ25" s="1257"/>
      <c r="ER25" s="1257"/>
      <c r="ES25" s="1257"/>
      <c r="ET25" s="1257"/>
      <c r="EU25" s="1257"/>
      <c r="EV25" s="1257"/>
      <c r="EW25" s="1257"/>
      <c r="EX25" s="1257"/>
      <c r="EY25" s="1257"/>
      <c r="EZ25" s="1257"/>
      <c r="FA25" s="1257"/>
      <c r="FB25" s="1257"/>
      <c r="FC25" s="1257"/>
      <c r="FD25" s="1257"/>
      <c r="FE25" s="1257"/>
      <c r="FF25" s="1257"/>
      <c r="FG25" s="1257"/>
      <c r="FH25" s="1257"/>
      <c r="FI25" s="1257"/>
      <c r="FJ25" s="1257"/>
      <c r="FK25" s="1257"/>
      <c r="FL25" s="1257"/>
      <c r="FM25" s="1257"/>
      <c r="FN25" s="1257"/>
      <c r="FO25" s="1257"/>
      <c r="FP25" s="1257"/>
      <c r="FQ25" s="1257"/>
      <c r="FR25" s="1257"/>
      <c r="FS25" s="1257"/>
      <c r="FT25" s="1257"/>
      <c r="FU25" s="1257"/>
      <c r="FV25" s="1257"/>
      <c r="FW25" s="1257"/>
      <c r="FX25" s="1257"/>
      <c r="FY25" s="1257"/>
      <c r="FZ25" s="1257"/>
      <c r="GA25" s="1257"/>
      <c r="GB25" s="1257"/>
      <c r="GC25" s="1257"/>
      <c r="GD25" s="1257"/>
      <c r="GE25" s="1257"/>
      <c r="GF25" s="1257"/>
      <c r="GG25" s="1257"/>
    </row>
    <row r="26" spans="1:189" s="500" customFormat="1">
      <c r="A26" s="689" t="e">
        <f>#REF!</f>
        <v>#REF!</v>
      </c>
      <c r="B26" s="711" t="e">
        <f>#REF!</f>
        <v>#REF!</v>
      </c>
      <c r="C26" s="640"/>
      <c r="D26" s="807"/>
      <c r="E26" s="641"/>
      <c r="F26" s="740"/>
      <c r="H26" s="1254"/>
      <c r="I26" s="1256"/>
      <c r="J26" s="1254"/>
      <c r="K26" s="1257"/>
      <c r="L26" s="1257"/>
      <c r="M26" s="1257"/>
      <c r="N26" s="1257"/>
      <c r="O26" s="1257"/>
      <c r="P26" s="1257"/>
      <c r="Q26" s="1257"/>
      <c r="R26" s="1257"/>
      <c r="S26" s="1257"/>
      <c r="T26" s="1257"/>
      <c r="U26" s="1257"/>
      <c r="V26" s="1257"/>
      <c r="W26" s="1257"/>
      <c r="X26" s="1257"/>
      <c r="Y26" s="1257"/>
      <c r="Z26" s="1257"/>
      <c r="AA26" s="1257"/>
      <c r="AB26" s="1257"/>
      <c r="AC26" s="1257"/>
      <c r="AD26" s="1257"/>
      <c r="AE26" s="1257"/>
      <c r="AF26" s="1257"/>
      <c r="AG26" s="1257"/>
      <c r="AH26" s="1257"/>
      <c r="AI26" s="1257"/>
      <c r="AJ26" s="1257"/>
      <c r="AK26" s="1257"/>
      <c r="AL26" s="1257"/>
      <c r="AM26" s="1257"/>
      <c r="AN26" s="1257"/>
      <c r="AO26" s="1257"/>
      <c r="AP26" s="1257"/>
      <c r="AQ26" s="1257"/>
      <c r="AR26" s="1257"/>
      <c r="AS26" s="1257"/>
      <c r="AT26" s="1257"/>
      <c r="AU26" s="1257"/>
      <c r="AV26" s="1257"/>
      <c r="AW26" s="1257"/>
      <c r="AX26" s="1257"/>
      <c r="AY26" s="1257"/>
      <c r="AZ26" s="1257"/>
      <c r="BA26" s="1257"/>
      <c r="BB26" s="1257"/>
      <c r="BC26" s="1257"/>
      <c r="BD26" s="1257"/>
      <c r="BE26" s="1257"/>
      <c r="BF26" s="1257"/>
      <c r="BG26" s="1257"/>
      <c r="BH26" s="1257"/>
      <c r="BI26" s="1257"/>
      <c r="BJ26" s="1257"/>
      <c r="BK26" s="1257"/>
      <c r="BL26" s="1257"/>
      <c r="BM26" s="1257"/>
      <c r="BN26" s="1257"/>
      <c r="BO26" s="1257"/>
      <c r="BP26" s="1257"/>
      <c r="BQ26" s="1257"/>
      <c r="BR26" s="1257"/>
      <c r="BS26" s="1257"/>
      <c r="BT26" s="1257"/>
      <c r="BU26" s="1257"/>
      <c r="BV26" s="1257"/>
      <c r="BW26" s="1257"/>
      <c r="BX26" s="1257"/>
      <c r="BY26" s="1257"/>
      <c r="BZ26" s="1257"/>
      <c r="CA26" s="1257"/>
      <c r="CB26" s="1257"/>
      <c r="CC26" s="1257"/>
      <c r="CD26" s="1257"/>
      <c r="CE26" s="1257"/>
      <c r="CF26" s="1257"/>
      <c r="CG26" s="1257"/>
      <c r="CH26" s="1257"/>
      <c r="CI26" s="1257"/>
      <c r="CJ26" s="1257"/>
      <c r="CK26" s="1257"/>
      <c r="CL26" s="1257"/>
      <c r="CM26" s="1257"/>
      <c r="CN26" s="1257"/>
      <c r="CO26" s="1257"/>
      <c r="CP26" s="1257"/>
      <c r="CQ26" s="1257"/>
      <c r="CR26" s="1257"/>
      <c r="CS26" s="1257"/>
      <c r="CT26" s="1257"/>
      <c r="CU26" s="1257"/>
      <c r="CV26" s="1257"/>
      <c r="CW26" s="1257"/>
      <c r="CX26" s="1257"/>
      <c r="CY26" s="1257"/>
      <c r="CZ26" s="1257"/>
      <c r="DA26" s="1257"/>
      <c r="DB26" s="1257"/>
      <c r="DC26" s="1257"/>
      <c r="DD26" s="1257"/>
      <c r="DE26" s="1257"/>
      <c r="DF26" s="1257"/>
      <c r="DG26" s="1257"/>
      <c r="DH26" s="1257"/>
      <c r="DI26" s="1257"/>
      <c r="DJ26" s="1257"/>
      <c r="DK26" s="1257"/>
      <c r="DL26" s="1257"/>
      <c r="DM26" s="1257"/>
      <c r="DN26" s="1257"/>
      <c r="DO26" s="1257"/>
      <c r="DP26" s="1257"/>
      <c r="DQ26" s="1257"/>
      <c r="DR26" s="1257"/>
      <c r="DS26" s="1257"/>
      <c r="DT26" s="1257"/>
      <c r="DU26" s="1257"/>
      <c r="DV26" s="1257"/>
      <c r="DW26" s="1257"/>
      <c r="DX26" s="1257"/>
      <c r="DY26" s="1257"/>
      <c r="DZ26" s="1257"/>
      <c r="EA26" s="1257"/>
      <c r="EB26" s="1257"/>
      <c r="EC26" s="1257"/>
      <c r="ED26" s="1257"/>
      <c r="EE26" s="1257"/>
      <c r="EF26" s="1257"/>
      <c r="EG26" s="1257"/>
      <c r="EH26" s="1257"/>
      <c r="EI26" s="1257"/>
      <c r="EJ26" s="1257"/>
      <c r="EK26" s="1257"/>
      <c r="EL26" s="1257"/>
      <c r="EM26" s="1257"/>
      <c r="EN26" s="1257"/>
      <c r="EO26" s="1257"/>
      <c r="EP26" s="1257"/>
      <c r="EQ26" s="1257"/>
      <c r="ER26" s="1257"/>
      <c r="ES26" s="1257"/>
      <c r="ET26" s="1257"/>
      <c r="EU26" s="1257"/>
      <c r="EV26" s="1257"/>
      <c r="EW26" s="1257"/>
      <c r="EX26" s="1257"/>
      <c r="EY26" s="1257"/>
      <c r="EZ26" s="1257"/>
      <c r="FA26" s="1257"/>
      <c r="FB26" s="1257"/>
      <c r="FC26" s="1257"/>
      <c r="FD26" s="1257"/>
      <c r="FE26" s="1257"/>
      <c r="FF26" s="1257"/>
      <c r="FG26" s="1257"/>
      <c r="FH26" s="1257"/>
      <c r="FI26" s="1257"/>
      <c r="FJ26" s="1257"/>
      <c r="FK26" s="1257"/>
      <c r="FL26" s="1257"/>
      <c r="FM26" s="1257"/>
      <c r="FN26" s="1257"/>
      <c r="FO26" s="1257"/>
      <c r="FP26" s="1257"/>
      <c r="FQ26" s="1257"/>
      <c r="FR26" s="1257"/>
      <c r="FS26" s="1257"/>
      <c r="FT26" s="1257"/>
      <c r="FU26" s="1257"/>
      <c r="FV26" s="1257"/>
      <c r="FW26" s="1257"/>
      <c r="FX26" s="1257"/>
      <c r="FY26" s="1257"/>
      <c r="FZ26" s="1257"/>
      <c r="GA26" s="1257"/>
      <c r="GB26" s="1257"/>
      <c r="GC26" s="1257"/>
      <c r="GD26" s="1257"/>
      <c r="GE26" s="1257"/>
      <c r="GF26" s="1257"/>
      <c r="GG26" s="1257"/>
    </row>
    <row r="27" spans="1:189" s="500" customFormat="1">
      <c r="A27" s="1425"/>
      <c r="B27" s="691"/>
      <c r="C27" s="1480" t="e">
        <f>#REF!</f>
        <v>#REF!</v>
      </c>
      <c r="D27" s="1691">
        <v>0.2</v>
      </c>
      <c r="E27" s="527" t="e">
        <f>SUM(E19:E25)</f>
        <v>#REF!</v>
      </c>
      <c r="F27" s="741" t="e">
        <f>+D27*E27</f>
        <v>#REF!</v>
      </c>
      <c r="H27" s="1254"/>
      <c r="I27" s="1256"/>
      <c r="J27" s="1254"/>
      <c r="K27" s="1257"/>
      <c r="L27" s="1257"/>
      <c r="M27" s="1257"/>
      <c r="N27" s="1257"/>
      <c r="O27" s="1257"/>
      <c r="P27" s="1257"/>
      <c r="Q27" s="1257"/>
      <c r="R27" s="1257"/>
      <c r="S27" s="1257"/>
      <c r="T27" s="1257"/>
      <c r="U27" s="1257"/>
      <c r="V27" s="1257"/>
      <c r="W27" s="1257"/>
      <c r="X27" s="1257"/>
      <c r="Y27" s="1257"/>
      <c r="Z27" s="1257"/>
      <c r="AA27" s="1257"/>
      <c r="AB27" s="1257"/>
      <c r="AC27" s="1257"/>
      <c r="AD27" s="1257"/>
      <c r="AE27" s="1257"/>
      <c r="AF27" s="1257"/>
      <c r="AG27" s="1257"/>
      <c r="AH27" s="1257"/>
      <c r="AI27" s="1257"/>
      <c r="AJ27" s="1257"/>
      <c r="AK27" s="1257"/>
      <c r="AL27" s="1257"/>
      <c r="AM27" s="1257"/>
      <c r="AN27" s="1257"/>
      <c r="AO27" s="1257"/>
      <c r="AP27" s="1257"/>
      <c r="AQ27" s="1257"/>
      <c r="AR27" s="1257"/>
      <c r="AS27" s="1257"/>
      <c r="AT27" s="1257"/>
      <c r="AU27" s="1257"/>
      <c r="AV27" s="1257"/>
      <c r="AW27" s="1257"/>
      <c r="AX27" s="1257"/>
      <c r="AY27" s="1257"/>
      <c r="AZ27" s="1257"/>
      <c r="BA27" s="1257"/>
      <c r="BB27" s="1257"/>
      <c r="BC27" s="1257"/>
      <c r="BD27" s="1257"/>
      <c r="BE27" s="1257"/>
      <c r="BF27" s="1257"/>
      <c r="BG27" s="1257"/>
      <c r="BH27" s="1257"/>
      <c r="BI27" s="1257"/>
      <c r="BJ27" s="1257"/>
      <c r="BK27" s="1257"/>
      <c r="BL27" s="1257"/>
      <c r="BM27" s="1257"/>
      <c r="BN27" s="1257"/>
      <c r="BO27" s="1257"/>
      <c r="BP27" s="1257"/>
      <c r="BQ27" s="1257"/>
      <c r="BR27" s="1257"/>
      <c r="BS27" s="1257"/>
      <c r="BT27" s="1257"/>
      <c r="BU27" s="1257"/>
      <c r="BV27" s="1257"/>
      <c r="BW27" s="1257"/>
      <c r="BX27" s="1257"/>
      <c r="BY27" s="1257"/>
      <c r="BZ27" s="1257"/>
      <c r="CA27" s="1257"/>
      <c r="CB27" s="1257"/>
      <c r="CC27" s="1257"/>
      <c r="CD27" s="1257"/>
      <c r="CE27" s="1257"/>
      <c r="CF27" s="1257"/>
      <c r="CG27" s="1257"/>
      <c r="CH27" s="1257"/>
      <c r="CI27" s="1257"/>
      <c r="CJ27" s="1257"/>
      <c r="CK27" s="1257"/>
      <c r="CL27" s="1257"/>
      <c r="CM27" s="1257"/>
      <c r="CN27" s="1257"/>
      <c r="CO27" s="1257"/>
      <c r="CP27" s="1257"/>
      <c r="CQ27" s="1257"/>
      <c r="CR27" s="1257"/>
      <c r="CS27" s="1257"/>
      <c r="CT27" s="1257"/>
      <c r="CU27" s="1257"/>
      <c r="CV27" s="1257"/>
      <c r="CW27" s="1257"/>
      <c r="CX27" s="1257"/>
      <c r="CY27" s="1257"/>
      <c r="CZ27" s="1257"/>
      <c r="DA27" s="1257"/>
      <c r="DB27" s="1257"/>
      <c r="DC27" s="1257"/>
      <c r="DD27" s="1257"/>
      <c r="DE27" s="1257"/>
      <c r="DF27" s="1257"/>
      <c r="DG27" s="1257"/>
      <c r="DH27" s="1257"/>
      <c r="DI27" s="1257"/>
      <c r="DJ27" s="1257"/>
      <c r="DK27" s="1257"/>
      <c r="DL27" s="1257"/>
      <c r="DM27" s="1257"/>
      <c r="DN27" s="1257"/>
      <c r="DO27" s="1257"/>
      <c r="DP27" s="1257"/>
      <c r="DQ27" s="1257"/>
      <c r="DR27" s="1257"/>
      <c r="DS27" s="1257"/>
      <c r="DT27" s="1257"/>
      <c r="DU27" s="1257"/>
      <c r="DV27" s="1257"/>
      <c r="DW27" s="1257"/>
      <c r="DX27" s="1257"/>
      <c r="DY27" s="1257"/>
      <c r="DZ27" s="1257"/>
      <c r="EA27" s="1257"/>
      <c r="EB27" s="1257"/>
      <c r="EC27" s="1257"/>
      <c r="ED27" s="1257"/>
      <c r="EE27" s="1257"/>
      <c r="EF27" s="1257"/>
      <c r="EG27" s="1257"/>
      <c r="EH27" s="1257"/>
      <c r="EI27" s="1257"/>
      <c r="EJ27" s="1257"/>
      <c r="EK27" s="1257"/>
      <c r="EL27" s="1257"/>
      <c r="EM27" s="1257"/>
      <c r="EN27" s="1257"/>
      <c r="EO27" s="1257"/>
      <c r="EP27" s="1257"/>
      <c r="EQ27" s="1257"/>
      <c r="ER27" s="1257"/>
      <c r="ES27" s="1257"/>
      <c r="ET27" s="1257"/>
      <c r="EU27" s="1257"/>
      <c r="EV27" s="1257"/>
      <c r="EW27" s="1257"/>
      <c r="EX27" s="1257"/>
      <c r="EY27" s="1257"/>
      <c r="EZ27" s="1257"/>
      <c r="FA27" s="1257"/>
      <c r="FB27" s="1257"/>
      <c r="FC27" s="1257"/>
      <c r="FD27" s="1257"/>
      <c r="FE27" s="1257"/>
      <c r="FF27" s="1257"/>
      <c r="FG27" s="1257"/>
      <c r="FH27" s="1257"/>
      <c r="FI27" s="1257"/>
      <c r="FJ27" s="1257"/>
      <c r="FK27" s="1257"/>
      <c r="FL27" s="1257"/>
      <c r="FM27" s="1257"/>
      <c r="FN27" s="1257"/>
      <c r="FO27" s="1257"/>
      <c r="FP27" s="1257"/>
      <c r="FQ27" s="1257"/>
      <c r="FR27" s="1257"/>
      <c r="FS27" s="1257"/>
      <c r="FT27" s="1257"/>
      <c r="FU27" s="1257"/>
      <c r="FV27" s="1257"/>
      <c r="FW27" s="1257"/>
      <c r="FX27" s="1257"/>
      <c r="FY27" s="1257"/>
      <c r="FZ27" s="1257"/>
      <c r="GA27" s="1257"/>
      <c r="GB27" s="1257"/>
      <c r="GC27" s="1257"/>
      <c r="GD27" s="1257"/>
      <c r="GE27" s="1257"/>
      <c r="GF27" s="1257"/>
      <c r="GG27" s="1257"/>
    </row>
    <row r="28" spans="1:189" s="500" customFormat="1">
      <c r="A28" s="689" t="e">
        <f>#REF!</f>
        <v>#REF!</v>
      </c>
      <c r="B28" s="711" t="e">
        <f>#REF!</f>
        <v>#REF!</v>
      </c>
      <c r="C28" s="640"/>
      <c r="D28" s="807"/>
      <c r="E28" s="641"/>
      <c r="F28" s="740"/>
      <c r="H28" s="1254"/>
      <c r="I28" s="1256"/>
      <c r="J28" s="1254"/>
      <c r="K28" s="1257"/>
      <c r="L28" s="1257"/>
      <c r="M28" s="1257"/>
      <c r="N28" s="1257"/>
      <c r="O28" s="1257"/>
      <c r="P28" s="1257"/>
      <c r="Q28" s="1257"/>
      <c r="R28" s="1257"/>
      <c r="S28" s="1257"/>
      <c r="T28" s="1257"/>
      <c r="U28" s="1257"/>
      <c r="V28" s="1257"/>
      <c r="W28" s="1257"/>
      <c r="X28" s="1257"/>
      <c r="Y28" s="1257"/>
      <c r="Z28" s="1257"/>
      <c r="AA28" s="1257"/>
      <c r="AB28" s="1257"/>
      <c r="AC28" s="1257"/>
      <c r="AD28" s="1257"/>
      <c r="AE28" s="1257"/>
      <c r="AF28" s="1257"/>
      <c r="AG28" s="1257"/>
      <c r="AH28" s="1257"/>
      <c r="AI28" s="1257"/>
      <c r="AJ28" s="1257"/>
      <c r="AK28" s="1257"/>
      <c r="AL28" s="1257"/>
      <c r="AM28" s="1257"/>
      <c r="AN28" s="1257"/>
      <c r="AO28" s="1257"/>
      <c r="AP28" s="1257"/>
      <c r="AQ28" s="1257"/>
      <c r="AR28" s="1257"/>
      <c r="AS28" s="1257"/>
      <c r="AT28" s="1257"/>
      <c r="AU28" s="1257"/>
      <c r="AV28" s="1257"/>
      <c r="AW28" s="1257"/>
      <c r="AX28" s="1257"/>
      <c r="AY28" s="1257"/>
      <c r="AZ28" s="1257"/>
      <c r="BA28" s="1257"/>
      <c r="BB28" s="1257"/>
      <c r="BC28" s="1257"/>
      <c r="BD28" s="1257"/>
      <c r="BE28" s="1257"/>
      <c r="BF28" s="1257"/>
      <c r="BG28" s="1257"/>
      <c r="BH28" s="1257"/>
      <c r="BI28" s="1257"/>
      <c r="BJ28" s="1257"/>
      <c r="BK28" s="1257"/>
      <c r="BL28" s="1257"/>
      <c r="BM28" s="1257"/>
      <c r="BN28" s="1257"/>
      <c r="BO28" s="1257"/>
      <c r="BP28" s="1257"/>
      <c r="BQ28" s="1257"/>
      <c r="BR28" s="1257"/>
      <c r="BS28" s="1257"/>
      <c r="BT28" s="1257"/>
      <c r="BU28" s="1257"/>
      <c r="BV28" s="1257"/>
      <c r="BW28" s="1257"/>
      <c r="BX28" s="1257"/>
      <c r="BY28" s="1257"/>
      <c r="BZ28" s="1257"/>
      <c r="CA28" s="1257"/>
      <c r="CB28" s="1257"/>
      <c r="CC28" s="1257"/>
      <c r="CD28" s="1257"/>
      <c r="CE28" s="1257"/>
      <c r="CF28" s="1257"/>
      <c r="CG28" s="1257"/>
      <c r="CH28" s="1257"/>
      <c r="CI28" s="1257"/>
      <c r="CJ28" s="1257"/>
      <c r="CK28" s="1257"/>
      <c r="CL28" s="1257"/>
      <c r="CM28" s="1257"/>
      <c r="CN28" s="1257"/>
      <c r="CO28" s="1257"/>
      <c r="CP28" s="1257"/>
      <c r="CQ28" s="1257"/>
      <c r="CR28" s="1257"/>
      <c r="CS28" s="1257"/>
      <c r="CT28" s="1257"/>
      <c r="CU28" s="1257"/>
      <c r="CV28" s="1257"/>
      <c r="CW28" s="1257"/>
      <c r="CX28" s="1257"/>
      <c r="CY28" s="1257"/>
      <c r="CZ28" s="1257"/>
      <c r="DA28" s="1257"/>
      <c r="DB28" s="1257"/>
      <c r="DC28" s="1257"/>
      <c r="DD28" s="1257"/>
      <c r="DE28" s="1257"/>
      <c r="DF28" s="1257"/>
      <c r="DG28" s="1257"/>
      <c r="DH28" s="1257"/>
      <c r="DI28" s="1257"/>
      <c r="DJ28" s="1257"/>
      <c r="DK28" s="1257"/>
      <c r="DL28" s="1257"/>
      <c r="DM28" s="1257"/>
      <c r="DN28" s="1257"/>
      <c r="DO28" s="1257"/>
      <c r="DP28" s="1257"/>
      <c r="DQ28" s="1257"/>
      <c r="DR28" s="1257"/>
      <c r="DS28" s="1257"/>
      <c r="DT28" s="1257"/>
      <c r="DU28" s="1257"/>
      <c r="DV28" s="1257"/>
      <c r="DW28" s="1257"/>
      <c r="DX28" s="1257"/>
      <c r="DY28" s="1257"/>
      <c r="DZ28" s="1257"/>
      <c r="EA28" s="1257"/>
      <c r="EB28" s="1257"/>
      <c r="EC28" s="1257"/>
      <c r="ED28" s="1257"/>
      <c r="EE28" s="1257"/>
      <c r="EF28" s="1257"/>
      <c r="EG28" s="1257"/>
      <c r="EH28" s="1257"/>
      <c r="EI28" s="1257"/>
      <c r="EJ28" s="1257"/>
      <c r="EK28" s="1257"/>
      <c r="EL28" s="1257"/>
      <c r="EM28" s="1257"/>
      <c r="EN28" s="1257"/>
      <c r="EO28" s="1257"/>
      <c r="EP28" s="1257"/>
      <c r="EQ28" s="1257"/>
      <c r="ER28" s="1257"/>
      <c r="ES28" s="1257"/>
      <c r="ET28" s="1257"/>
      <c r="EU28" s="1257"/>
      <c r="EV28" s="1257"/>
      <c r="EW28" s="1257"/>
      <c r="EX28" s="1257"/>
      <c r="EY28" s="1257"/>
      <c r="EZ28" s="1257"/>
      <c r="FA28" s="1257"/>
      <c r="FB28" s="1257"/>
      <c r="FC28" s="1257"/>
      <c r="FD28" s="1257"/>
      <c r="FE28" s="1257"/>
      <c r="FF28" s="1257"/>
      <c r="FG28" s="1257"/>
      <c r="FH28" s="1257"/>
      <c r="FI28" s="1257"/>
      <c r="FJ28" s="1257"/>
      <c r="FK28" s="1257"/>
      <c r="FL28" s="1257"/>
      <c r="FM28" s="1257"/>
      <c r="FN28" s="1257"/>
      <c r="FO28" s="1257"/>
      <c r="FP28" s="1257"/>
      <c r="FQ28" s="1257"/>
      <c r="FR28" s="1257"/>
      <c r="FS28" s="1257"/>
      <c r="FT28" s="1257"/>
      <c r="FU28" s="1257"/>
      <c r="FV28" s="1257"/>
      <c r="FW28" s="1257"/>
      <c r="FX28" s="1257"/>
      <c r="FY28" s="1257"/>
      <c r="FZ28" s="1257"/>
      <c r="GA28" s="1257"/>
      <c r="GB28" s="1257"/>
      <c r="GC28" s="1257"/>
      <c r="GD28" s="1257"/>
      <c r="GE28" s="1257"/>
      <c r="GF28" s="1257"/>
      <c r="GG28" s="1257"/>
    </row>
    <row r="29" spans="1:189" s="500" customFormat="1">
      <c r="A29" s="1425"/>
      <c r="B29" s="691"/>
      <c r="C29" s="1480" t="e">
        <f>#REF!</f>
        <v>#REF!</v>
      </c>
      <c r="D29" s="808">
        <v>6</v>
      </c>
      <c r="E29" s="527" t="e">
        <f>+#REF!</f>
        <v>#REF!</v>
      </c>
      <c r="F29" s="741" t="e">
        <f>+D29*E29</f>
        <v>#REF!</v>
      </c>
      <c r="H29" s="1254"/>
      <c r="I29" s="1256"/>
      <c r="J29" s="1254"/>
      <c r="K29" s="1257"/>
      <c r="L29" s="1257"/>
      <c r="M29" s="1257"/>
      <c r="N29" s="1257"/>
      <c r="O29" s="1257"/>
      <c r="P29" s="1257"/>
      <c r="Q29" s="1257"/>
      <c r="R29" s="1257"/>
      <c r="S29" s="1257"/>
      <c r="T29" s="1257"/>
      <c r="U29" s="1257"/>
      <c r="V29" s="1257"/>
      <c r="W29" s="1257"/>
      <c r="X29" s="1257"/>
      <c r="Y29" s="1257"/>
      <c r="Z29" s="1257"/>
      <c r="AA29" s="1257"/>
      <c r="AB29" s="1257"/>
      <c r="AC29" s="1257"/>
      <c r="AD29" s="1257"/>
      <c r="AE29" s="1257"/>
      <c r="AF29" s="1257"/>
      <c r="AG29" s="1257"/>
      <c r="AH29" s="1257"/>
      <c r="AI29" s="1257"/>
      <c r="AJ29" s="1257"/>
      <c r="AK29" s="1257"/>
      <c r="AL29" s="1257"/>
      <c r="AM29" s="1257"/>
      <c r="AN29" s="1257"/>
      <c r="AO29" s="1257"/>
      <c r="AP29" s="1257"/>
      <c r="AQ29" s="1257"/>
      <c r="AR29" s="1257"/>
      <c r="AS29" s="1257"/>
      <c r="AT29" s="1257"/>
      <c r="AU29" s="1257"/>
      <c r="AV29" s="1257"/>
      <c r="AW29" s="1257"/>
      <c r="AX29" s="1257"/>
      <c r="AY29" s="1257"/>
      <c r="AZ29" s="1257"/>
      <c r="BA29" s="1257"/>
      <c r="BB29" s="1257"/>
      <c r="BC29" s="1257"/>
      <c r="BD29" s="1257"/>
      <c r="BE29" s="1257"/>
      <c r="BF29" s="1257"/>
      <c r="BG29" s="1257"/>
      <c r="BH29" s="1257"/>
      <c r="BI29" s="1257"/>
      <c r="BJ29" s="1257"/>
      <c r="BK29" s="1257"/>
      <c r="BL29" s="1257"/>
      <c r="BM29" s="1257"/>
      <c r="BN29" s="1257"/>
      <c r="BO29" s="1257"/>
      <c r="BP29" s="1257"/>
      <c r="BQ29" s="1257"/>
      <c r="BR29" s="1257"/>
      <c r="BS29" s="1257"/>
      <c r="BT29" s="1257"/>
      <c r="BU29" s="1257"/>
      <c r="BV29" s="1257"/>
      <c r="BW29" s="1257"/>
      <c r="BX29" s="1257"/>
      <c r="BY29" s="1257"/>
      <c r="BZ29" s="1257"/>
      <c r="CA29" s="1257"/>
      <c r="CB29" s="1257"/>
      <c r="CC29" s="1257"/>
      <c r="CD29" s="1257"/>
      <c r="CE29" s="1257"/>
      <c r="CF29" s="1257"/>
      <c r="CG29" s="1257"/>
      <c r="CH29" s="1257"/>
      <c r="CI29" s="1257"/>
      <c r="CJ29" s="1257"/>
      <c r="CK29" s="1257"/>
      <c r="CL29" s="1257"/>
      <c r="CM29" s="1257"/>
      <c r="CN29" s="1257"/>
      <c r="CO29" s="1257"/>
      <c r="CP29" s="1257"/>
      <c r="CQ29" s="1257"/>
      <c r="CR29" s="1257"/>
      <c r="CS29" s="1257"/>
      <c r="CT29" s="1257"/>
      <c r="CU29" s="1257"/>
      <c r="CV29" s="1257"/>
      <c r="CW29" s="1257"/>
      <c r="CX29" s="1257"/>
      <c r="CY29" s="1257"/>
      <c r="CZ29" s="1257"/>
      <c r="DA29" s="1257"/>
      <c r="DB29" s="1257"/>
      <c r="DC29" s="1257"/>
      <c r="DD29" s="1257"/>
      <c r="DE29" s="1257"/>
      <c r="DF29" s="1257"/>
      <c r="DG29" s="1257"/>
      <c r="DH29" s="1257"/>
      <c r="DI29" s="1257"/>
      <c r="DJ29" s="1257"/>
      <c r="DK29" s="1257"/>
      <c r="DL29" s="1257"/>
      <c r="DM29" s="1257"/>
      <c r="DN29" s="1257"/>
      <c r="DO29" s="1257"/>
      <c r="DP29" s="1257"/>
      <c r="DQ29" s="1257"/>
      <c r="DR29" s="1257"/>
      <c r="DS29" s="1257"/>
      <c r="DT29" s="1257"/>
      <c r="DU29" s="1257"/>
      <c r="DV29" s="1257"/>
      <c r="DW29" s="1257"/>
      <c r="DX29" s="1257"/>
      <c r="DY29" s="1257"/>
      <c r="DZ29" s="1257"/>
      <c r="EA29" s="1257"/>
      <c r="EB29" s="1257"/>
      <c r="EC29" s="1257"/>
      <c r="ED29" s="1257"/>
      <c r="EE29" s="1257"/>
      <c r="EF29" s="1257"/>
      <c r="EG29" s="1257"/>
      <c r="EH29" s="1257"/>
      <c r="EI29" s="1257"/>
      <c r="EJ29" s="1257"/>
      <c r="EK29" s="1257"/>
      <c r="EL29" s="1257"/>
      <c r="EM29" s="1257"/>
      <c r="EN29" s="1257"/>
      <c r="EO29" s="1257"/>
      <c r="EP29" s="1257"/>
      <c r="EQ29" s="1257"/>
      <c r="ER29" s="1257"/>
      <c r="ES29" s="1257"/>
      <c r="ET29" s="1257"/>
      <c r="EU29" s="1257"/>
      <c r="EV29" s="1257"/>
      <c r="EW29" s="1257"/>
      <c r="EX29" s="1257"/>
      <c r="EY29" s="1257"/>
      <c r="EZ29" s="1257"/>
      <c r="FA29" s="1257"/>
      <c r="FB29" s="1257"/>
      <c r="FC29" s="1257"/>
      <c r="FD29" s="1257"/>
      <c r="FE29" s="1257"/>
      <c r="FF29" s="1257"/>
      <c r="FG29" s="1257"/>
      <c r="FH29" s="1257"/>
      <c r="FI29" s="1257"/>
      <c r="FJ29" s="1257"/>
      <c r="FK29" s="1257"/>
      <c r="FL29" s="1257"/>
      <c r="FM29" s="1257"/>
      <c r="FN29" s="1257"/>
      <c r="FO29" s="1257"/>
      <c r="FP29" s="1257"/>
      <c r="FQ29" s="1257"/>
      <c r="FR29" s="1257"/>
      <c r="FS29" s="1257"/>
      <c r="FT29" s="1257"/>
      <c r="FU29" s="1257"/>
      <c r="FV29" s="1257"/>
      <c r="FW29" s="1257"/>
      <c r="FX29" s="1257"/>
      <c r="FY29" s="1257"/>
      <c r="FZ29" s="1257"/>
      <c r="GA29" s="1257"/>
      <c r="GB29" s="1257"/>
      <c r="GC29" s="1257"/>
      <c r="GD29" s="1257"/>
      <c r="GE29" s="1257"/>
      <c r="GF29" s="1257"/>
      <c r="GG29" s="1257"/>
    </row>
    <row r="30" spans="1:189" s="500" customFormat="1" ht="18.75">
      <c r="A30" s="1426"/>
      <c r="C30" s="686"/>
      <c r="D30" s="635"/>
      <c r="E30" s="636" t="s">
        <v>106</v>
      </c>
      <c r="F30" s="1122" t="e">
        <f>SUM(F24:F29)+F19+F21+F23</f>
        <v>#REF!</v>
      </c>
      <c r="H30" s="1254"/>
      <c r="I30" s="1256"/>
      <c r="J30" s="1254"/>
      <c r="K30" s="1257"/>
      <c r="L30" s="1257"/>
      <c r="M30" s="1257"/>
      <c r="N30" s="1257"/>
      <c r="O30" s="1257"/>
      <c r="P30" s="1257"/>
      <c r="Q30" s="1257"/>
      <c r="R30" s="1257"/>
      <c r="S30" s="1257"/>
      <c r="T30" s="1257"/>
      <c r="U30" s="1257"/>
      <c r="V30" s="1257"/>
      <c r="W30" s="1257"/>
      <c r="X30" s="1257"/>
      <c r="Y30" s="1257"/>
      <c r="Z30" s="1257"/>
      <c r="AA30" s="1257"/>
      <c r="AB30" s="1257"/>
      <c r="AC30" s="1257"/>
      <c r="AD30" s="1257"/>
      <c r="AE30" s="1257"/>
      <c r="AF30" s="1257"/>
      <c r="AG30" s="1257"/>
      <c r="AH30" s="1257"/>
      <c r="AI30" s="1257"/>
      <c r="AJ30" s="1257"/>
      <c r="AK30" s="1257"/>
      <c r="AL30" s="1257"/>
      <c r="AM30" s="1257"/>
      <c r="AN30" s="1257"/>
      <c r="AO30" s="1257"/>
      <c r="AP30" s="1257"/>
      <c r="AQ30" s="1257"/>
      <c r="AR30" s="1257"/>
      <c r="AS30" s="1257"/>
      <c r="AT30" s="1257"/>
      <c r="AU30" s="1257"/>
      <c r="AV30" s="1257"/>
      <c r="AW30" s="1257"/>
      <c r="AX30" s="1257"/>
      <c r="AY30" s="1257"/>
      <c r="AZ30" s="1257"/>
      <c r="BA30" s="1257"/>
      <c r="BB30" s="1257"/>
      <c r="BC30" s="1257"/>
      <c r="BD30" s="1257"/>
      <c r="BE30" s="1257"/>
      <c r="BF30" s="1257"/>
      <c r="BG30" s="1257"/>
      <c r="BH30" s="1257"/>
      <c r="BI30" s="1257"/>
      <c r="BJ30" s="1257"/>
      <c r="BK30" s="1257"/>
      <c r="BL30" s="1257"/>
      <c r="BM30" s="1257"/>
      <c r="BN30" s="1257"/>
      <c r="BO30" s="1257"/>
      <c r="BP30" s="1257"/>
      <c r="BQ30" s="1257"/>
      <c r="BR30" s="1257"/>
      <c r="BS30" s="1257"/>
      <c r="BT30" s="1257"/>
      <c r="BU30" s="1257"/>
      <c r="BV30" s="1257"/>
      <c r="BW30" s="1257"/>
      <c r="BX30" s="1257"/>
      <c r="BY30" s="1257"/>
      <c r="BZ30" s="1257"/>
      <c r="CA30" s="1257"/>
      <c r="CB30" s="1257"/>
      <c r="CC30" s="1257"/>
      <c r="CD30" s="1257"/>
      <c r="CE30" s="1257"/>
      <c r="CF30" s="1257"/>
      <c r="CG30" s="1257"/>
      <c r="CH30" s="1257"/>
      <c r="CI30" s="1257"/>
      <c r="CJ30" s="1257"/>
      <c r="CK30" s="1257"/>
      <c r="CL30" s="1257"/>
      <c r="CM30" s="1257"/>
      <c r="CN30" s="1257"/>
      <c r="CO30" s="1257"/>
      <c r="CP30" s="1257"/>
      <c r="CQ30" s="1257"/>
      <c r="CR30" s="1257"/>
      <c r="CS30" s="1257"/>
      <c r="CT30" s="1257"/>
      <c r="CU30" s="1257"/>
      <c r="CV30" s="1257"/>
      <c r="CW30" s="1257"/>
      <c r="CX30" s="1257"/>
      <c r="CY30" s="1257"/>
      <c r="CZ30" s="1257"/>
      <c r="DA30" s="1257"/>
      <c r="DB30" s="1257"/>
      <c r="DC30" s="1257"/>
      <c r="DD30" s="1257"/>
      <c r="DE30" s="1257"/>
      <c r="DF30" s="1257"/>
      <c r="DG30" s="1257"/>
      <c r="DH30" s="1257"/>
      <c r="DI30" s="1257"/>
      <c r="DJ30" s="1257"/>
      <c r="DK30" s="1257"/>
      <c r="DL30" s="1257"/>
      <c r="DM30" s="1257"/>
      <c r="DN30" s="1257"/>
      <c r="DO30" s="1257"/>
      <c r="DP30" s="1257"/>
      <c r="DQ30" s="1257"/>
      <c r="DR30" s="1257"/>
      <c r="DS30" s="1257"/>
      <c r="DT30" s="1257"/>
      <c r="DU30" s="1257"/>
      <c r="DV30" s="1257"/>
      <c r="DW30" s="1257"/>
      <c r="DX30" s="1257"/>
      <c r="DY30" s="1257"/>
      <c r="DZ30" s="1257"/>
      <c r="EA30" s="1257"/>
      <c r="EB30" s="1257"/>
      <c r="EC30" s="1257"/>
      <c r="ED30" s="1257"/>
      <c r="EE30" s="1257"/>
      <c r="EF30" s="1257"/>
      <c r="EG30" s="1257"/>
      <c r="EH30" s="1257"/>
      <c r="EI30" s="1257"/>
      <c r="EJ30" s="1257"/>
      <c r="EK30" s="1257"/>
      <c r="EL30" s="1257"/>
      <c r="EM30" s="1257"/>
      <c r="EN30" s="1257"/>
      <c r="EO30" s="1257"/>
      <c r="EP30" s="1257"/>
      <c r="EQ30" s="1257"/>
      <c r="ER30" s="1257"/>
      <c r="ES30" s="1257"/>
      <c r="ET30" s="1257"/>
      <c r="EU30" s="1257"/>
      <c r="EV30" s="1257"/>
      <c r="EW30" s="1257"/>
      <c r="EX30" s="1257"/>
      <c r="EY30" s="1257"/>
      <c r="EZ30" s="1257"/>
      <c r="FA30" s="1257"/>
      <c r="FB30" s="1257"/>
      <c r="FC30" s="1257"/>
      <c r="FD30" s="1257"/>
      <c r="FE30" s="1257"/>
      <c r="FF30" s="1257"/>
      <c r="FG30" s="1257"/>
      <c r="FH30" s="1257"/>
      <c r="FI30" s="1257"/>
      <c r="FJ30" s="1257"/>
      <c r="FK30" s="1257"/>
      <c r="FL30" s="1257"/>
      <c r="FM30" s="1257"/>
      <c r="FN30" s="1257"/>
      <c r="FO30" s="1257"/>
      <c r="FP30" s="1257"/>
      <c r="FQ30" s="1257"/>
      <c r="FR30" s="1257"/>
      <c r="FS30" s="1257"/>
      <c r="FT30" s="1257"/>
      <c r="FU30" s="1257"/>
      <c r="FV30" s="1257"/>
      <c r="FW30" s="1257"/>
      <c r="FX30" s="1257"/>
      <c r="FY30" s="1257"/>
      <c r="FZ30" s="1257"/>
      <c r="GA30" s="1257"/>
      <c r="GB30" s="1257"/>
      <c r="GC30" s="1257"/>
      <c r="GD30" s="1257"/>
      <c r="GE30" s="1257"/>
      <c r="GF30" s="1257"/>
      <c r="GG30" s="1257"/>
    </row>
    <row r="31" spans="1:189" s="500" customFormat="1" ht="15" customHeight="1">
      <c r="A31" s="1426"/>
      <c r="H31" s="1254"/>
      <c r="I31" s="1256"/>
      <c r="J31" s="1254"/>
      <c r="K31" s="1257"/>
      <c r="L31" s="1257"/>
      <c r="M31" s="1257"/>
      <c r="N31" s="1257"/>
      <c r="O31" s="1257"/>
      <c r="P31" s="1257"/>
      <c r="Q31" s="1257"/>
      <c r="R31" s="1257"/>
      <c r="S31" s="1257"/>
      <c r="T31" s="1257"/>
      <c r="U31" s="1257"/>
      <c r="V31" s="1257"/>
      <c r="W31" s="1257"/>
      <c r="X31" s="1257"/>
      <c r="Y31" s="1257"/>
      <c r="Z31" s="1257"/>
      <c r="AA31" s="1257"/>
      <c r="AB31" s="1257"/>
      <c r="AC31" s="1257"/>
      <c r="AD31" s="1257"/>
      <c r="AE31" s="1257"/>
      <c r="AF31" s="1257"/>
      <c r="AG31" s="1257"/>
      <c r="AH31" s="1257"/>
      <c r="AI31" s="1257"/>
      <c r="AJ31" s="1257"/>
      <c r="AK31" s="1257"/>
      <c r="AL31" s="1257"/>
      <c r="AM31" s="1257"/>
      <c r="AN31" s="1257"/>
      <c r="AO31" s="1257"/>
      <c r="AP31" s="1257"/>
      <c r="AQ31" s="1257"/>
      <c r="AR31" s="1257"/>
      <c r="AS31" s="1257"/>
      <c r="AT31" s="1257"/>
      <c r="AU31" s="1257"/>
      <c r="AV31" s="1257"/>
      <c r="AW31" s="1257"/>
      <c r="AX31" s="1257"/>
      <c r="AY31" s="1257"/>
      <c r="AZ31" s="1257"/>
      <c r="BA31" s="1257"/>
      <c r="BB31" s="1257"/>
      <c r="BC31" s="1257"/>
      <c r="BD31" s="1257"/>
      <c r="BE31" s="1257"/>
      <c r="BF31" s="1257"/>
      <c r="BG31" s="1257"/>
      <c r="BH31" s="1257"/>
      <c r="BI31" s="1257"/>
      <c r="BJ31" s="1257"/>
      <c r="BK31" s="1257"/>
      <c r="BL31" s="1257"/>
      <c r="BM31" s="1257"/>
      <c r="BN31" s="1257"/>
      <c r="BO31" s="1257"/>
      <c r="BP31" s="1257"/>
      <c r="BQ31" s="1257"/>
      <c r="BR31" s="1257"/>
      <c r="BS31" s="1257"/>
      <c r="BT31" s="1257"/>
      <c r="BU31" s="1257"/>
      <c r="BV31" s="1257"/>
      <c r="BW31" s="1257"/>
      <c r="BX31" s="1257"/>
      <c r="BY31" s="1257"/>
      <c r="BZ31" s="1257"/>
      <c r="CA31" s="1257"/>
      <c r="CB31" s="1257"/>
      <c r="CC31" s="1257"/>
      <c r="CD31" s="1257"/>
      <c r="CE31" s="1257"/>
      <c r="CF31" s="1257"/>
      <c r="CG31" s="1257"/>
      <c r="CH31" s="1257"/>
      <c r="CI31" s="1257"/>
      <c r="CJ31" s="1257"/>
      <c r="CK31" s="1257"/>
      <c r="CL31" s="1257"/>
      <c r="CM31" s="1257"/>
      <c r="CN31" s="1257"/>
      <c r="CO31" s="1257"/>
      <c r="CP31" s="1257"/>
      <c r="CQ31" s="1257"/>
      <c r="CR31" s="1257"/>
      <c r="CS31" s="1257"/>
      <c r="CT31" s="1257"/>
      <c r="CU31" s="1257"/>
      <c r="CV31" s="1257"/>
      <c r="CW31" s="1257"/>
      <c r="CX31" s="1257"/>
      <c r="CY31" s="1257"/>
      <c r="CZ31" s="1257"/>
      <c r="DA31" s="1257"/>
      <c r="DB31" s="1257"/>
      <c r="DC31" s="1257"/>
      <c r="DD31" s="1257"/>
      <c r="DE31" s="1257"/>
      <c r="DF31" s="1257"/>
      <c r="DG31" s="1257"/>
      <c r="DH31" s="1257"/>
      <c r="DI31" s="1257"/>
      <c r="DJ31" s="1257"/>
      <c r="DK31" s="1257"/>
      <c r="DL31" s="1257"/>
      <c r="DM31" s="1257"/>
      <c r="DN31" s="1257"/>
      <c r="DO31" s="1257"/>
      <c r="DP31" s="1257"/>
      <c r="DQ31" s="1257"/>
      <c r="DR31" s="1257"/>
      <c r="DS31" s="1257"/>
      <c r="DT31" s="1257"/>
      <c r="DU31" s="1257"/>
      <c r="DV31" s="1257"/>
      <c r="DW31" s="1257"/>
      <c r="DX31" s="1257"/>
      <c r="DY31" s="1257"/>
      <c r="DZ31" s="1257"/>
      <c r="EA31" s="1257"/>
      <c r="EB31" s="1257"/>
      <c r="EC31" s="1257"/>
      <c r="ED31" s="1257"/>
      <c r="EE31" s="1257"/>
      <c r="EF31" s="1257"/>
      <c r="EG31" s="1257"/>
      <c r="EH31" s="1257"/>
      <c r="EI31" s="1257"/>
      <c r="EJ31" s="1257"/>
      <c r="EK31" s="1257"/>
      <c r="EL31" s="1257"/>
      <c r="EM31" s="1257"/>
      <c r="EN31" s="1257"/>
      <c r="EO31" s="1257"/>
      <c r="EP31" s="1257"/>
      <c r="EQ31" s="1257"/>
      <c r="ER31" s="1257"/>
      <c r="ES31" s="1257"/>
      <c r="ET31" s="1257"/>
      <c r="EU31" s="1257"/>
      <c r="EV31" s="1257"/>
      <c r="EW31" s="1257"/>
      <c r="EX31" s="1257"/>
      <c r="EY31" s="1257"/>
      <c r="EZ31" s="1257"/>
      <c r="FA31" s="1257"/>
      <c r="FB31" s="1257"/>
      <c r="FC31" s="1257"/>
      <c r="FD31" s="1257"/>
      <c r="FE31" s="1257"/>
      <c r="FF31" s="1257"/>
      <c r="FG31" s="1257"/>
      <c r="FH31" s="1257"/>
      <c r="FI31" s="1257"/>
      <c r="FJ31" s="1257"/>
      <c r="FK31" s="1257"/>
      <c r="FL31" s="1257"/>
      <c r="FM31" s="1257"/>
      <c r="FN31" s="1257"/>
      <c r="FO31" s="1257"/>
      <c r="FP31" s="1257"/>
      <c r="FQ31" s="1257"/>
      <c r="FR31" s="1257"/>
      <c r="FS31" s="1257"/>
      <c r="FT31" s="1257"/>
      <c r="FU31" s="1257"/>
      <c r="FV31" s="1257"/>
      <c r="FW31" s="1257"/>
      <c r="FX31" s="1257"/>
      <c r="FY31" s="1257"/>
      <c r="FZ31" s="1257"/>
      <c r="GA31" s="1257"/>
      <c r="GB31" s="1257"/>
      <c r="GC31" s="1257"/>
      <c r="GD31" s="1257"/>
      <c r="GE31" s="1257"/>
      <c r="GF31" s="1257"/>
      <c r="GG31" s="1257"/>
    </row>
    <row r="32" spans="1:189" s="500" customFormat="1" ht="24.95" customHeight="1">
      <c r="A32" s="1426"/>
      <c r="C32" s="686"/>
      <c r="D32" s="635"/>
      <c r="E32" s="636" t="s">
        <v>107</v>
      </c>
      <c r="F32" s="1122" t="e">
        <f>+F15+F30</f>
        <v>#REF!</v>
      </c>
      <c r="H32" s="1254"/>
      <c r="I32" s="1256"/>
      <c r="J32" s="1254"/>
      <c r="K32" s="1257"/>
      <c r="L32" s="1257"/>
      <c r="M32" s="1257"/>
      <c r="N32" s="1257"/>
      <c r="O32" s="1257"/>
      <c r="P32" s="1257"/>
      <c r="Q32" s="1257"/>
      <c r="R32" s="1257"/>
      <c r="S32" s="1257"/>
      <c r="T32" s="1257"/>
      <c r="U32" s="1257"/>
      <c r="V32" s="1257"/>
      <c r="W32" s="1257"/>
      <c r="X32" s="1257"/>
      <c r="Y32" s="1257"/>
      <c r="Z32" s="1257"/>
      <c r="AA32" s="1257"/>
      <c r="AB32" s="1257"/>
      <c r="AC32" s="1257"/>
      <c r="AD32" s="1257"/>
      <c r="AE32" s="1257"/>
      <c r="AF32" s="1257"/>
      <c r="AG32" s="1257"/>
      <c r="AH32" s="1257"/>
      <c r="AI32" s="1257"/>
      <c r="AJ32" s="1257"/>
      <c r="AK32" s="1257"/>
      <c r="AL32" s="1257"/>
      <c r="AM32" s="1257"/>
      <c r="AN32" s="1257"/>
      <c r="AO32" s="1257"/>
      <c r="AP32" s="1257"/>
      <c r="AQ32" s="1257"/>
      <c r="AR32" s="1257"/>
      <c r="AS32" s="1257"/>
      <c r="AT32" s="1257"/>
      <c r="AU32" s="1257"/>
      <c r="AV32" s="1257"/>
      <c r="AW32" s="1257"/>
      <c r="AX32" s="1257"/>
      <c r="AY32" s="1257"/>
      <c r="AZ32" s="1257"/>
      <c r="BA32" s="1257"/>
      <c r="BB32" s="1257"/>
      <c r="BC32" s="1257"/>
      <c r="BD32" s="1257"/>
      <c r="BE32" s="1257"/>
      <c r="BF32" s="1257"/>
      <c r="BG32" s="1257"/>
      <c r="BH32" s="1257"/>
      <c r="BI32" s="1257"/>
      <c r="BJ32" s="1257"/>
      <c r="BK32" s="1257"/>
      <c r="BL32" s="1257"/>
      <c r="BM32" s="1257"/>
      <c r="BN32" s="1257"/>
      <c r="BO32" s="1257"/>
      <c r="BP32" s="1257"/>
      <c r="BQ32" s="1257"/>
      <c r="BR32" s="1257"/>
      <c r="BS32" s="1257"/>
      <c r="BT32" s="1257"/>
      <c r="BU32" s="1257"/>
      <c r="BV32" s="1257"/>
      <c r="BW32" s="1257"/>
      <c r="BX32" s="1257"/>
      <c r="BY32" s="1257"/>
      <c r="BZ32" s="1257"/>
      <c r="CA32" s="1257"/>
      <c r="CB32" s="1257"/>
      <c r="CC32" s="1257"/>
      <c r="CD32" s="1257"/>
      <c r="CE32" s="1257"/>
      <c r="CF32" s="1257"/>
      <c r="CG32" s="1257"/>
      <c r="CH32" s="1257"/>
      <c r="CI32" s="1257"/>
      <c r="CJ32" s="1257"/>
      <c r="CK32" s="1257"/>
      <c r="CL32" s="1257"/>
      <c r="CM32" s="1257"/>
      <c r="CN32" s="1257"/>
      <c r="CO32" s="1257"/>
      <c r="CP32" s="1257"/>
      <c r="CQ32" s="1257"/>
      <c r="CR32" s="1257"/>
      <c r="CS32" s="1257"/>
      <c r="CT32" s="1257"/>
      <c r="CU32" s="1257"/>
      <c r="CV32" s="1257"/>
      <c r="CW32" s="1257"/>
      <c r="CX32" s="1257"/>
      <c r="CY32" s="1257"/>
      <c r="CZ32" s="1257"/>
      <c r="DA32" s="1257"/>
      <c r="DB32" s="1257"/>
      <c r="DC32" s="1257"/>
      <c r="DD32" s="1257"/>
      <c r="DE32" s="1257"/>
      <c r="DF32" s="1257"/>
      <c r="DG32" s="1257"/>
      <c r="DH32" s="1257"/>
      <c r="DI32" s="1257"/>
      <c r="DJ32" s="1257"/>
      <c r="DK32" s="1257"/>
      <c r="DL32" s="1257"/>
      <c r="DM32" s="1257"/>
      <c r="DN32" s="1257"/>
      <c r="DO32" s="1257"/>
      <c r="DP32" s="1257"/>
      <c r="DQ32" s="1257"/>
      <c r="DR32" s="1257"/>
      <c r="DS32" s="1257"/>
      <c r="DT32" s="1257"/>
      <c r="DU32" s="1257"/>
      <c r="DV32" s="1257"/>
      <c r="DW32" s="1257"/>
      <c r="DX32" s="1257"/>
      <c r="DY32" s="1257"/>
      <c r="DZ32" s="1257"/>
      <c r="EA32" s="1257"/>
      <c r="EB32" s="1257"/>
      <c r="EC32" s="1257"/>
      <c r="ED32" s="1257"/>
      <c r="EE32" s="1257"/>
      <c r="EF32" s="1257"/>
      <c r="EG32" s="1257"/>
      <c r="EH32" s="1257"/>
      <c r="EI32" s="1257"/>
      <c r="EJ32" s="1257"/>
      <c r="EK32" s="1257"/>
      <c r="EL32" s="1257"/>
      <c r="EM32" s="1257"/>
      <c r="EN32" s="1257"/>
      <c r="EO32" s="1257"/>
      <c r="EP32" s="1257"/>
      <c r="EQ32" s="1257"/>
      <c r="ER32" s="1257"/>
      <c r="ES32" s="1257"/>
      <c r="ET32" s="1257"/>
      <c r="EU32" s="1257"/>
      <c r="EV32" s="1257"/>
      <c r="EW32" s="1257"/>
      <c r="EX32" s="1257"/>
      <c r="EY32" s="1257"/>
      <c r="EZ32" s="1257"/>
      <c r="FA32" s="1257"/>
      <c r="FB32" s="1257"/>
      <c r="FC32" s="1257"/>
      <c r="FD32" s="1257"/>
      <c r="FE32" s="1257"/>
      <c r="FF32" s="1257"/>
      <c r="FG32" s="1257"/>
      <c r="FH32" s="1257"/>
      <c r="FI32" s="1257"/>
      <c r="FJ32" s="1257"/>
      <c r="FK32" s="1257"/>
      <c r="FL32" s="1257"/>
      <c r="FM32" s="1257"/>
      <c r="FN32" s="1257"/>
      <c r="FO32" s="1257"/>
      <c r="FP32" s="1257"/>
      <c r="FQ32" s="1257"/>
      <c r="FR32" s="1257"/>
      <c r="FS32" s="1257"/>
      <c r="FT32" s="1257"/>
      <c r="FU32" s="1257"/>
      <c r="FV32" s="1257"/>
      <c r="FW32" s="1257"/>
      <c r="FX32" s="1257"/>
      <c r="FY32" s="1257"/>
      <c r="FZ32" s="1257"/>
      <c r="GA32" s="1257"/>
      <c r="GB32" s="1257"/>
      <c r="GC32" s="1257"/>
      <c r="GD32" s="1257"/>
      <c r="GE32" s="1257"/>
      <c r="GF32" s="1257"/>
      <c r="GG32" s="1257"/>
    </row>
    <row r="33" spans="1:189" s="114" customFormat="1" ht="15" customHeight="1">
      <c r="A33" s="438"/>
      <c r="C33" s="115"/>
      <c r="D33" s="116"/>
      <c r="E33" s="117"/>
      <c r="F33" s="118"/>
      <c r="H33" s="257"/>
      <c r="I33" s="263"/>
      <c r="J33" s="257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29"/>
      <c r="W33" s="129"/>
      <c r="X33" s="129"/>
      <c r="Y33" s="129"/>
      <c r="Z33" s="129"/>
      <c r="AA33" s="129"/>
      <c r="AB33" s="129"/>
      <c r="AC33" s="129"/>
      <c r="AD33" s="129"/>
      <c r="AE33" s="129"/>
      <c r="AF33" s="129"/>
      <c r="AG33" s="129"/>
      <c r="AH33" s="129"/>
      <c r="AI33" s="129"/>
      <c r="AJ33" s="129"/>
      <c r="AK33" s="129"/>
      <c r="AL33" s="129"/>
      <c r="AM33" s="129"/>
      <c r="AN33" s="129"/>
      <c r="AO33" s="129"/>
      <c r="AP33" s="129"/>
      <c r="AQ33" s="129"/>
      <c r="AR33" s="129"/>
      <c r="AS33" s="129"/>
      <c r="AT33" s="129"/>
      <c r="AU33" s="129"/>
      <c r="AV33" s="129"/>
      <c r="AW33" s="129"/>
      <c r="AX33" s="129"/>
      <c r="AY33" s="129"/>
      <c r="AZ33" s="129"/>
      <c r="BA33" s="129"/>
      <c r="BB33" s="129"/>
      <c r="BC33" s="129"/>
      <c r="BD33" s="129"/>
      <c r="BE33" s="129"/>
      <c r="BF33" s="129"/>
      <c r="BG33" s="129"/>
      <c r="BH33" s="129"/>
      <c r="BI33" s="129"/>
      <c r="BJ33" s="129"/>
      <c r="BK33" s="129"/>
      <c r="BL33" s="129"/>
      <c r="BM33" s="129"/>
      <c r="BN33" s="129"/>
      <c r="BO33" s="129"/>
      <c r="BP33" s="129"/>
      <c r="BQ33" s="129"/>
      <c r="BR33" s="129"/>
      <c r="BS33" s="129"/>
      <c r="BT33" s="129"/>
      <c r="BU33" s="129"/>
      <c r="BV33" s="129"/>
      <c r="BW33" s="129"/>
      <c r="BX33" s="129"/>
      <c r="BY33" s="129"/>
      <c r="BZ33" s="129"/>
      <c r="CA33" s="129"/>
      <c r="CB33" s="129"/>
      <c r="CC33" s="129"/>
      <c r="CD33" s="129"/>
      <c r="CE33" s="129"/>
      <c r="CF33" s="129"/>
      <c r="CG33" s="129"/>
      <c r="CH33" s="129"/>
      <c r="CI33" s="129"/>
      <c r="CJ33" s="129"/>
      <c r="CK33" s="129"/>
      <c r="CL33" s="129"/>
      <c r="CM33" s="129"/>
      <c r="CN33" s="129"/>
      <c r="CO33" s="129"/>
      <c r="CP33" s="129"/>
      <c r="CQ33" s="129"/>
      <c r="CR33" s="129"/>
      <c r="CS33" s="129"/>
      <c r="CT33" s="129"/>
      <c r="CU33" s="129"/>
      <c r="CV33" s="129"/>
      <c r="CW33" s="129"/>
      <c r="CX33" s="129"/>
      <c r="CY33" s="129"/>
      <c r="CZ33" s="129"/>
      <c r="DA33" s="129"/>
      <c r="DB33" s="129"/>
      <c r="DC33" s="129"/>
      <c r="DD33" s="129"/>
      <c r="DE33" s="129"/>
      <c r="DF33" s="129"/>
      <c r="DG33" s="129"/>
      <c r="DH33" s="129"/>
      <c r="DI33" s="129"/>
      <c r="DJ33" s="129"/>
      <c r="DK33" s="129"/>
      <c r="DL33" s="129"/>
      <c r="DM33" s="129"/>
      <c r="DN33" s="129"/>
      <c r="DO33" s="129"/>
      <c r="DP33" s="129"/>
      <c r="DQ33" s="129"/>
      <c r="DR33" s="129"/>
      <c r="DS33" s="129"/>
      <c r="DT33" s="129"/>
      <c r="DU33" s="129"/>
      <c r="DV33" s="129"/>
      <c r="DW33" s="129"/>
      <c r="DX33" s="129"/>
      <c r="DY33" s="129"/>
      <c r="DZ33" s="129"/>
      <c r="EA33" s="129"/>
      <c r="EB33" s="129"/>
      <c r="EC33" s="129"/>
      <c r="ED33" s="129"/>
      <c r="EE33" s="129"/>
      <c r="EF33" s="129"/>
      <c r="EG33" s="129"/>
      <c r="EH33" s="129"/>
      <c r="EI33" s="129"/>
      <c r="EJ33" s="129"/>
      <c r="EK33" s="129"/>
      <c r="EL33" s="129"/>
      <c r="EM33" s="129"/>
      <c r="EN33" s="129"/>
      <c r="EO33" s="129"/>
      <c r="EP33" s="129"/>
      <c r="EQ33" s="129"/>
      <c r="ER33" s="129"/>
      <c r="ES33" s="129"/>
      <c r="ET33" s="129"/>
      <c r="EU33" s="129"/>
      <c r="EV33" s="129"/>
      <c r="EW33" s="129"/>
      <c r="EX33" s="129"/>
      <c r="EY33" s="129"/>
      <c r="EZ33" s="129"/>
      <c r="FA33" s="129"/>
      <c r="FB33" s="129"/>
      <c r="FC33" s="129"/>
      <c r="FD33" s="129"/>
      <c r="FE33" s="129"/>
      <c r="FF33" s="129"/>
      <c r="FG33" s="129"/>
      <c r="FH33" s="129"/>
      <c r="FI33" s="129"/>
      <c r="FJ33" s="129"/>
      <c r="FK33" s="129"/>
      <c r="FL33" s="129"/>
      <c r="FM33" s="129"/>
      <c r="FN33" s="129"/>
      <c r="FO33" s="129"/>
      <c r="FP33" s="129"/>
      <c r="FQ33" s="129"/>
      <c r="FR33" s="129"/>
      <c r="FS33" s="129"/>
      <c r="FT33" s="129"/>
      <c r="FU33" s="129"/>
      <c r="FV33" s="129"/>
      <c r="FW33" s="129"/>
      <c r="FX33" s="129"/>
      <c r="FY33" s="129"/>
      <c r="FZ33" s="129"/>
      <c r="GA33" s="129"/>
      <c r="GB33" s="129"/>
      <c r="GC33" s="129"/>
      <c r="GD33" s="129"/>
      <c r="GE33" s="129"/>
      <c r="GF33" s="129"/>
      <c r="GG33" s="129"/>
    </row>
    <row r="34" spans="1:189" ht="24.95" customHeight="1">
      <c r="A34" s="1972" t="e">
        <f>#REF!</f>
        <v>#REF!</v>
      </c>
      <c r="B34" s="1973"/>
      <c r="C34" s="1973"/>
      <c r="D34" s="1973"/>
      <c r="E34" s="1973"/>
      <c r="F34" s="1974"/>
    </row>
    <row r="35" spans="1:189" s="500" customFormat="1">
      <c r="A35" s="689" t="e">
        <f>#REF!</f>
        <v>#REF!</v>
      </c>
      <c r="B35" s="711" t="e">
        <f>#REF!</f>
        <v>#REF!</v>
      </c>
      <c r="C35" s="640"/>
      <c r="D35" s="807"/>
      <c r="E35" s="641"/>
      <c r="F35" s="740"/>
      <c r="H35" s="1254"/>
      <c r="I35" s="1256"/>
      <c r="J35" s="1254"/>
      <c r="K35" s="1257"/>
      <c r="L35" s="1257"/>
      <c r="M35" s="1257"/>
      <c r="N35" s="1257"/>
      <c r="O35" s="1257"/>
      <c r="P35" s="1257"/>
      <c r="Q35" s="1257"/>
      <c r="R35" s="1257"/>
      <c r="S35" s="1257"/>
      <c r="T35" s="1257"/>
      <c r="U35" s="1257"/>
      <c r="V35" s="1257"/>
      <c r="W35" s="1257"/>
      <c r="X35" s="1257"/>
      <c r="Y35" s="1257"/>
      <c r="Z35" s="1257"/>
      <c r="AA35" s="1257"/>
      <c r="AB35" s="1257"/>
      <c r="AC35" s="1257"/>
      <c r="AD35" s="1257"/>
      <c r="AE35" s="1257"/>
      <c r="AF35" s="1257"/>
      <c r="AG35" s="1257"/>
      <c r="AH35" s="1257"/>
      <c r="AI35" s="1257"/>
      <c r="AJ35" s="1257"/>
      <c r="AK35" s="1257"/>
      <c r="AL35" s="1257"/>
      <c r="AM35" s="1257"/>
      <c r="AN35" s="1257"/>
      <c r="AO35" s="1257"/>
      <c r="AP35" s="1257"/>
      <c r="AQ35" s="1257"/>
      <c r="AR35" s="1257"/>
      <c r="AS35" s="1257"/>
      <c r="AT35" s="1257"/>
      <c r="AU35" s="1257"/>
      <c r="AV35" s="1257"/>
      <c r="AW35" s="1257"/>
      <c r="AX35" s="1257"/>
      <c r="AY35" s="1257"/>
      <c r="AZ35" s="1257"/>
      <c r="BA35" s="1257"/>
      <c r="BB35" s="1257"/>
      <c r="BC35" s="1257"/>
      <c r="BD35" s="1257"/>
      <c r="BE35" s="1257"/>
      <c r="BF35" s="1257"/>
      <c r="BG35" s="1257"/>
      <c r="BH35" s="1257"/>
      <c r="BI35" s="1257"/>
      <c r="BJ35" s="1257"/>
      <c r="BK35" s="1257"/>
      <c r="BL35" s="1257"/>
      <c r="BM35" s="1257"/>
      <c r="BN35" s="1257"/>
      <c r="BO35" s="1257"/>
      <c r="BP35" s="1257"/>
      <c r="BQ35" s="1257"/>
      <c r="BR35" s="1257"/>
      <c r="BS35" s="1257"/>
      <c r="BT35" s="1257"/>
      <c r="BU35" s="1257"/>
      <c r="BV35" s="1257"/>
      <c r="BW35" s="1257"/>
      <c r="BX35" s="1257"/>
      <c r="BY35" s="1257"/>
      <c r="BZ35" s="1257"/>
      <c r="CA35" s="1257"/>
      <c r="CB35" s="1257"/>
      <c r="CC35" s="1257"/>
      <c r="CD35" s="1257"/>
      <c r="CE35" s="1257"/>
      <c r="CF35" s="1257"/>
      <c r="CG35" s="1257"/>
      <c r="CH35" s="1257"/>
      <c r="CI35" s="1257"/>
      <c r="CJ35" s="1257"/>
      <c r="CK35" s="1257"/>
      <c r="CL35" s="1257"/>
      <c r="CM35" s="1257"/>
      <c r="CN35" s="1257"/>
      <c r="CO35" s="1257"/>
      <c r="CP35" s="1257"/>
      <c r="CQ35" s="1257"/>
      <c r="CR35" s="1257"/>
      <c r="CS35" s="1257"/>
      <c r="CT35" s="1257"/>
      <c r="CU35" s="1257"/>
      <c r="CV35" s="1257"/>
      <c r="CW35" s="1257"/>
      <c r="CX35" s="1257"/>
      <c r="CY35" s="1257"/>
      <c r="CZ35" s="1257"/>
      <c r="DA35" s="1257"/>
      <c r="DB35" s="1257"/>
      <c r="DC35" s="1257"/>
      <c r="DD35" s="1257"/>
      <c r="DE35" s="1257"/>
      <c r="DF35" s="1257"/>
      <c r="DG35" s="1257"/>
      <c r="DH35" s="1257"/>
      <c r="DI35" s="1257"/>
      <c r="DJ35" s="1257"/>
      <c r="DK35" s="1257"/>
      <c r="DL35" s="1257"/>
      <c r="DM35" s="1257"/>
      <c r="DN35" s="1257"/>
      <c r="DO35" s="1257"/>
      <c r="DP35" s="1257"/>
      <c r="DQ35" s="1257"/>
      <c r="DR35" s="1257"/>
      <c r="DS35" s="1257"/>
      <c r="DT35" s="1257"/>
      <c r="DU35" s="1257"/>
      <c r="DV35" s="1257"/>
      <c r="DW35" s="1257"/>
      <c r="DX35" s="1257"/>
      <c r="DY35" s="1257"/>
      <c r="DZ35" s="1257"/>
      <c r="EA35" s="1257"/>
      <c r="EB35" s="1257"/>
      <c r="EC35" s="1257"/>
      <c r="ED35" s="1257"/>
      <c r="EE35" s="1257"/>
      <c r="EF35" s="1257"/>
      <c r="EG35" s="1257"/>
      <c r="EH35" s="1257"/>
      <c r="EI35" s="1257"/>
      <c r="EJ35" s="1257"/>
      <c r="EK35" s="1257"/>
      <c r="EL35" s="1257"/>
      <c r="EM35" s="1257"/>
      <c r="EN35" s="1257"/>
      <c r="EO35" s="1257"/>
      <c r="EP35" s="1257"/>
      <c r="EQ35" s="1257"/>
      <c r="ER35" s="1257"/>
      <c r="ES35" s="1257"/>
      <c r="ET35" s="1257"/>
      <c r="EU35" s="1257"/>
      <c r="EV35" s="1257"/>
      <c r="EW35" s="1257"/>
      <c r="EX35" s="1257"/>
      <c r="EY35" s="1257"/>
      <c r="EZ35" s="1257"/>
      <c r="FA35" s="1257"/>
      <c r="FB35" s="1257"/>
      <c r="FC35" s="1257"/>
      <c r="FD35" s="1257"/>
      <c r="FE35" s="1257"/>
      <c r="FF35" s="1257"/>
      <c r="FG35" s="1257"/>
      <c r="FH35" s="1257"/>
      <c r="FI35" s="1257"/>
      <c r="FJ35" s="1257"/>
      <c r="FK35" s="1257"/>
      <c r="FL35" s="1257"/>
      <c r="FM35" s="1257"/>
      <c r="FN35" s="1257"/>
      <c r="FO35" s="1257"/>
      <c r="FP35" s="1257"/>
      <c r="FQ35" s="1257"/>
      <c r="FR35" s="1257"/>
      <c r="FS35" s="1257"/>
      <c r="FT35" s="1257"/>
      <c r="FU35" s="1257"/>
      <c r="FV35" s="1257"/>
      <c r="FW35" s="1257"/>
      <c r="FX35" s="1257"/>
      <c r="FY35" s="1257"/>
      <c r="FZ35" s="1257"/>
      <c r="GA35" s="1257"/>
      <c r="GB35" s="1257"/>
      <c r="GC35" s="1257"/>
      <c r="GD35" s="1257"/>
      <c r="GE35" s="1257"/>
      <c r="GF35" s="1257"/>
      <c r="GG35" s="1257"/>
    </row>
    <row r="36" spans="1:189" s="500" customFormat="1">
      <c r="A36" s="751"/>
      <c r="B36" s="753"/>
      <c r="C36" s="643" t="e">
        <f>#REF!</f>
        <v>#REF!</v>
      </c>
      <c r="D36" s="808">
        <v>1</v>
      </c>
      <c r="E36" s="527">
        <v>5672373</v>
      </c>
      <c r="F36" s="741">
        <f>+D36*E36</f>
        <v>5672373</v>
      </c>
      <c r="H36" s="1254"/>
      <c r="I36" s="1256"/>
      <c r="J36" s="1254"/>
      <c r="K36" s="1257"/>
      <c r="L36" s="1257"/>
      <c r="M36" s="1257"/>
      <c r="N36" s="1257"/>
      <c r="O36" s="1257"/>
      <c r="P36" s="1257"/>
      <c r="Q36" s="1257"/>
      <c r="R36" s="1257"/>
      <c r="S36" s="1257"/>
      <c r="T36" s="1257"/>
      <c r="U36" s="1257"/>
      <c r="V36" s="1257"/>
      <c r="W36" s="1257"/>
      <c r="X36" s="1257"/>
      <c r="Y36" s="1257"/>
      <c r="Z36" s="1257"/>
      <c r="AA36" s="1257"/>
      <c r="AB36" s="1257"/>
      <c r="AC36" s="1257"/>
      <c r="AD36" s="1257"/>
      <c r="AE36" s="1257"/>
      <c r="AF36" s="1257"/>
      <c r="AG36" s="1257"/>
      <c r="AH36" s="1257"/>
      <c r="AI36" s="1257"/>
      <c r="AJ36" s="1257"/>
      <c r="AK36" s="1257"/>
      <c r="AL36" s="1257"/>
      <c r="AM36" s="1257"/>
      <c r="AN36" s="1257"/>
      <c r="AO36" s="1257"/>
      <c r="AP36" s="1257"/>
      <c r="AQ36" s="1257"/>
      <c r="AR36" s="1257"/>
      <c r="AS36" s="1257"/>
      <c r="AT36" s="1257"/>
      <c r="AU36" s="1257"/>
      <c r="AV36" s="1257"/>
      <c r="AW36" s="1257"/>
      <c r="AX36" s="1257"/>
      <c r="AY36" s="1257"/>
      <c r="AZ36" s="1257"/>
      <c r="BA36" s="1257"/>
      <c r="BB36" s="1257"/>
      <c r="BC36" s="1257"/>
      <c r="BD36" s="1257"/>
      <c r="BE36" s="1257"/>
      <c r="BF36" s="1257"/>
      <c r="BG36" s="1257"/>
      <c r="BH36" s="1257"/>
      <c r="BI36" s="1257"/>
      <c r="BJ36" s="1257"/>
      <c r="BK36" s="1257"/>
      <c r="BL36" s="1257"/>
      <c r="BM36" s="1257"/>
      <c r="BN36" s="1257"/>
      <c r="BO36" s="1257"/>
      <c r="BP36" s="1257"/>
      <c r="BQ36" s="1257"/>
      <c r="BR36" s="1257"/>
      <c r="BS36" s="1257"/>
      <c r="BT36" s="1257"/>
      <c r="BU36" s="1257"/>
      <c r="BV36" s="1257"/>
      <c r="BW36" s="1257"/>
      <c r="BX36" s="1257"/>
      <c r="BY36" s="1257"/>
      <c r="BZ36" s="1257"/>
      <c r="CA36" s="1257"/>
      <c r="CB36" s="1257"/>
      <c r="CC36" s="1257"/>
      <c r="CD36" s="1257"/>
      <c r="CE36" s="1257"/>
      <c r="CF36" s="1257"/>
      <c r="CG36" s="1257"/>
      <c r="CH36" s="1257"/>
      <c r="CI36" s="1257"/>
      <c r="CJ36" s="1257"/>
      <c r="CK36" s="1257"/>
      <c r="CL36" s="1257"/>
      <c r="CM36" s="1257"/>
      <c r="CN36" s="1257"/>
      <c r="CO36" s="1257"/>
      <c r="CP36" s="1257"/>
      <c r="CQ36" s="1257"/>
      <c r="CR36" s="1257"/>
      <c r="CS36" s="1257"/>
      <c r="CT36" s="1257"/>
      <c r="CU36" s="1257"/>
      <c r="CV36" s="1257"/>
      <c r="CW36" s="1257"/>
      <c r="CX36" s="1257"/>
      <c r="CY36" s="1257"/>
      <c r="CZ36" s="1257"/>
      <c r="DA36" s="1257"/>
      <c r="DB36" s="1257"/>
      <c r="DC36" s="1257"/>
      <c r="DD36" s="1257"/>
      <c r="DE36" s="1257"/>
      <c r="DF36" s="1257"/>
      <c r="DG36" s="1257"/>
      <c r="DH36" s="1257"/>
      <c r="DI36" s="1257"/>
      <c r="DJ36" s="1257"/>
      <c r="DK36" s="1257"/>
      <c r="DL36" s="1257"/>
      <c r="DM36" s="1257"/>
      <c r="DN36" s="1257"/>
      <c r="DO36" s="1257"/>
      <c r="DP36" s="1257"/>
      <c r="DQ36" s="1257"/>
      <c r="DR36" s="1257"/>
      <c r="DS36" s="1257"/>
      <c r="DT36" s="1257"/>
      <c r="DU36" s="1257"/>
      <c r="DV36" s="1257"/>
      <c r="DW36" s="1257"/>
      <c r="DX36" s="1257"/>
      <c r="DY36" s="1257"/>
      <c r="DZ36" s="1257"/>
      <c r="EA36" s="1257"/>
      <c r="EB36" s="1257"/>
      <c r="EC36" s="1257"/>
      <c r="ED36" s="1257"/>
      <c r="EE36" s="1257"/>
      <c r="EF36" s="1257"/>
      <c r="EG36" s="1257"/>
      <c r="EH36" s="1257"/>
      <c r="EI36" s="1257"/>
      <c r="EJ36" s="1257"/>
      <c r="EK36" s="1257"/>
      <c r="EL36" s="1257"/>
      <c r="EM36" s="1257"/>
      <c r="EN36" s="1257"/>
      <c r="EO36" s="1257"/>
      <c r="EP36" s="1257"/>
      <c r="EQ36" s="1257"/>
      <c r="ER36" s="1257"/>
      <c r="ES36" s="1257"/>
      <c r="ET36" s="1257"/>
      <c r="EU36" s="1257"/>
      <c r="EV36" s="1257"/>
      <c r="EW36" s="1257"/>
      <c r="EX36" s="1257"/>
      <c r="EY36" s="1257"/>
      <c r="EZ36" s="1257"/>
      <c r="FA36" s="1257"/>
      <c r="FB36" s="1257"/>
      <c r="FC36" s="1257"/>
      <c r="FD36" s="1257"/>
      <c r="FE36" s="1257"/>
      <c r="FF36" s="1257"/>
      <c r="FG36" s="1257"/>
      <c r="FH36" s="1257"/>
      <c r="FI36" s="1257"/>
      <c r="FJ36" s="1257"/>
      <c r="FK36" s="1257"/>
      <c r="FL36" s="1257"/>
      <c r="FM36" s="1257"/>
      <c r="FN36" s="1257"/>
      <c r="FO36" s="1257"/>
      <c r="FP36" s="1257"/>
      <c r="FQ36" s="1257"/>
      <c r="FR36" s="1257"/>
      <c r="FS36" s="1257"/>
      <c r="FT36" s="1257"/>
      <c r="FU36" s="1257"/>
      <c r="FV36" s="1257"/>
      <c r="FW36" s="1257"/>
      <c r="FX36" s="1257"/>
      <c r="FY36" s="1257"/>
      <c r="FZ36" s="1257"/>
      <c r="GA36" s="1257"/>
      <c r="GB36" s="1257"/>
      <c r="GC36" s="1257"/>
      <c r="GD36" s="1257"/>
      <c r="GE36" s="1257"/>
      <c r="GF36" s="1257"/>
      <c r="GG36" s="1257"/>
    </row>
    <row r="37" spans="1:189" s="500" customFormat="1">
      <c r="A37" s="689" t="e">
        <f>#REF!</f>
        <v>#REF!</v>
      </c>
      <c r="B37" s="711" t="e">
        <f>#REF!</f>
        <v>#REF!</v>
      </c>
      <c r="C37" s="1407"/>
      <c r="D37" s="1416"/>
      <c r="E37" s="641"/>
      <c r="F37" s="740"/>
      <c r="H37" s="1254"/>
      <c r="I37" s="1256"/>
      <c r="J37" s="1254"/>
      <c r="K37" s="1257"/>
      <c r="L37" s="1257"/>
      <c r="M37" s="1257"/>
      <c r="N37" s="1257"/>
      <c r="O37" s="1257"/>
      <c r="P37" s="1257"/>
      <c r="Q37" s="1257"/>
      <c r="R37" s="1257"/>
      <c r="S37" s="1257"/>
      <c r="T37" s="1257"/>
      <c r="U37" s="1257"/>
      <c r="V37" s="1257"/>
      <c r="W37" s="1257"/>
      <c r="X37" s="1257"/>
      <c r="Y37" s="1257"/>
      <c r="Z37" s="1257"/>
      <c r="AA37" s="1257"/>
      <c r="AB37" s="1257"/>
      <c r="AC37" s="1257"/>
      <c r="AD37" s="1257"/>
      <c r="AE37" s="1257"/>
      <c r="AF37" s="1257"/>
      <c r="AG37" s="1257"/>
      <c r="AH37" s="1257"/>
      <c r="AI37" s="1257"/>
      <c r="AJ37" s="1257"/>
      <c r="AK37" s="1257"/>
      <c r="AL37" s="1257"/>
      <c r="AM37" s="1257"/>
      <c r="AN37" s="1257"/>
      <c r="AO37" s="1257"/>
      <c r="AP37" s="1257"/>
      <c r="AQ37" s="1257"/>
      <c r="AR37" s="1257"/>
      <c r="AS37" s="1257"/>
      <c r="AT37" s="1257"/>
      <c r="AU37" s="1257"/>
      <c r="AV37" s="1257"/>
      <c r="AW37" s="1257"/>
      <c r="AX37" s="1257"/>
      <c r="AY37" s="1257"/>
      <c r="AZ37" s="1257"/>
      <c r="BA37" s="1257"/>
      <c r="BB37" s="1257"/>
      <c r="BC37" s="1257"/>
      <c r="BD37" s="1257"/>
      <c r="BE37" s="1257"/>
      <c r="BF37" s="1257"/>
      <c r="BG37" s="1257"/>
      <c r="BH37" s="1257"/>
      <c r="BI37" s="1257"/>
      <c r="BJ37" s="1257"/>
      <c r="BK37" s="1257"/>
      <c r="BL37" s="1257"/>
      <c r="BM37" s="1257"/>
      <c r="BN37" s="1257"/>
      <c r="BO37" s="1257"/>
      <c r="BP37" s="1257"/>
      <c r="BQ37" s="1257"/>
      <c r="BR37" s="1257"/>
      <c r="BS37" s="1257"/>
      <c r="BT37" s="1257"/>
      <c r="BU37" s="1257"/>
      <c r="BV37" s="1257"/>
      <c r="BW37" s="1257"/>
      <c r="BX37" s="1257"/>
      <c r="BY37" s="1257"/>
      <c r="BZ37" s="1257"/>
      <c r="CA37" s="1257"/>
      <c r="CB37" s="1257"/>
      <c r="CC37" s="1257"/>
      <c r="CD37" s="1257"/>
      <c r="CE37" s="1257"/>
      <c r="CF37" s="1257"/>
      <c r="CG37" s="1257"/>
      <c r="CH37" s="1257"/>
      <c r="CI37" s="1257"/>
      <c r="CJ37" s="1257"/>
      <c r="CK37" s="1257"/>
      <c r="CL37" s="1257"/>
      <c r="CM37" s="1257"/>
      <c r="CN37" s="1257"/>
      <c r="CO37" s="1257"/>
      <c r="CP37" s="1257"/>
      <c r="CQ37" s="1257"/>
      <c r="CR37" s="1257"/>
      <c r="CS37" s="1257"/>
      <c r="CT37" s="1257"/>
      <c r="CU37" s="1257"/>
      <c r="CV37" s="1257"/>
      <c r="CW37" s="1257"/>
      <c r="CX37" s="1257"/>
      <c r="CY37" s="1257"/>
      <c r="CZ37" s="1257"/>
      <c r="DA37" s="1257"/>
      <c r="DB37" s="1257"/>
      <c r="DC37" s="1257"/>
      <c r="DD37" s="1257"/>
      <c r="DE37" s="1257"/>
      <c r="DF37" s="1257"/>
      <c r="DG37" s="1257"/>
      <c r="DH37" s="1257"/>
      <c r="DI37" s="1257"/>
      <c r="DJ37" s="1257"/>
      <c r="DK37" s="1257"/>
      <c r="DL37" s="1257"/>
      <c r="DM37" s="1257"/>
      <c r="DN37" s="1257"/>
      <c r="DO37" s="1257"/>
      <c r="DP37" s="1257"/>
      <c r="DQ37" s="1257"/>
      <c r="DR37" s="1257"/>
      <c r="DS37" s="1257"/>
      <c r="DT37" s="1257"/>
      <c r="DU37" s="1257"/>
      <c r="DV37" s="1257"/>
      <c r="DW37" s="1257"/>
      <c r="DX37" s="1257"/>
      <c r="DY37" s="1257"/>
      <c r="DZ37" s="1257"/>
      <c r="EA37" s="1257"/>
      <c r="EB37" s="1257"/>
      <c r="EC37" s="1257"/>
      <c r="ED37" s="1257"/>
      <c r="EE37" s="1257"/>
      <c r="EF37" s="1257"/>
      <c r="EG37" s="1257"/>
      <c r="EH37" s="1257"/>
      <c r="EI37" s="1257"/>
      <c r="EJ37" s="1257"/>
      <c r="EK37" s="1257"/>
      <c r="EL37" s="1257"/>
      <c r="EM37" s="1257"/>
      <c r="EN37" s="1257"/>
      <c r="EO37" s="1257"/>
      <c r="EP37" s="1257"/>
      <c r="EQ37" s="1257"/>
      <c r="ER37" s="1257"/>
      <c r="ES37" s="1257"/>
      <c r="ET37" s="1257"/>
      <c r="EU37" s="1257"/>
      <c r="EV37" s="1257"/>
      <c r="EW37" s="1257"/>
      <c r="EX37" s="1257"/>
      <c r="EY37" s="1257"/>
      <c r="EZ37" s="1257"/>
      <c r="FA37" s="1257"/>
      <c r="FB37" s="1257"/>
      <c r="FC37" s="1257"/>
      <c r="FD37" s="1257"/>
      <c r="FE37" s="1257"/>
      <c r="FF37" s="1257"/>
      <c r="FG37" s="1257"/>
      <c r="FH37" s="1257"/>
      <c r="FI37" s="1257"/>
      <c r="FJ37" s="1257"/>
      <c r="FK37" s="1257"/>
      <c r="FL37" s="1257"/>
      <c r="FM37" s="1257"/>
      <c r="FN37" s="1257"/>
      <c r="FO37" s="1257"/>
      <c r="FP37" s="1257"/>
      <c r="FQ37" s="1257"/>
      <c r="FR37" s="1257"/>
      <c r="FS37" s="1257"/>
      <c r="FT37" s="1257"/>
      <c r="FU37" s="1257"/>
      <c r="FV37" s="1257"/>
      <c r="FW37" s="1257"/>
      <c r="FX37" s="1257"/>
      <c r="FY37" s="1257"/>
      <c r="FZ37" s="1257"/>
      <c r="GA37" s="1257"/>
      <c r="GB37" s="1257"/>
      <c r="GC37" s="1257"/>
      <c r="GD37" s="1257"/>
      <c r="GE37" s="1257"/>
      <c r="GF37" s="1257"/>
      <c r="GG37" s="1257"/>
    </row>
    <row r="38" spans="1:189" s="500" customFormat="1">
      <c r="A38" s="639" t="e">
        <f>#REF!</f>
        <v>#REF!</v>
      </c>
      <c r="B38" s="681" t="e">
        <f>#REF!</f>
        <v>#REF!</v>
      </c>
      <c r="C38" s="1408" t="e">
        <f>#REF!</f>
        <v>#REF!</v>
      </c>
      <c r="D38" s="1414">
        <f>J38</f>
        <v>8000</v>
      </c>
      <c r="E38" s="527" t="e">
        <f>#REF!</f>
        <v>#REF!</v>
      </c>
      <c r="F38" s="741" t="e">
        <f>+D38*E38</f>
        <v>#REF!</v>
      </c>
      <c r="H38" s="1254">
        <f>F7*40*40%</f>
        <v>8000</v>
      </c>
      <c r="I38" s="1256">
        <v>1</v>
      </c>
      <c r="J38" s="1254">
        <f>H38*I38</f>
        <v>8000</v>
      </c>
      <c r="K38" s="1257"/>
      <c r="L38" s="1257"/>
      <c r="M38" s="1257"/>
      <c r="N38" s="1257"/>
      <c r="O38" s="1257"/>
      <c r="P38" s="1257"/>
      <c r="Q38" s="1257"/>
      <c r="R38" s="1257"/>
      <c r="S38" s="1257"/>
      <c r="T38" s="1257"/>
      <c r="U38" s="1257"/>
      <c r="V38" s="1257"/>
      <c r="W38" s="1257"/>
      <c r="X38" s="1257"/>
      <c r="Y38" s="1257"/>
      <c r="Z38" s="1257"/>
      <c r="AA38" s="1257"/>
      <c r="AB38" s="1257"/>
      <c r="AC38" s="1257"/>
      <c r="AD38" s="1257"/>
      <c r="AE38" s="1257"/>
      <c r="AF38" s="1257"/>
      <c r="AG38" s="1257"/>
      <c r="AH38" s="1257"/>
      <c r="AI38" s="1257"/>
      <c r="AJ38" s="1257"/>
      <c r="AK38" s="1257"/>
      <c r="AL38" s="1257"/>
      <c r="AM38" s="1257"/>
      <c r="AN38" s="1257"/>
      <c r="AO38" s="1257"/>
      <c r="AP38" s="1257"/>
      <c r="AQ38" s="1257"/>
      <c r="AR38" s="1257"/>
      <c r="AS38" s="1257"/>
      <c r="AT38" s="1257"/>
      <c r="AU38" s="1257"/>
      <c r="AV38" s="1257"/>
      <c r="AW38" s="1257"/>
      <c r="AX38" s="1257"/>
      <c r="AY38" s="1257"/>
      <c r="AZ38" s="1257"/>
      <c r="BA38" s="1257"/>
      <c r="BB38" s="1257"/>
      <c r="BC38" s="1257"/>
      <c r="BD38" s="1257"/>
      <c r="BE38" s="1257"/>
      <c r="BF38" s="1257"/>
      <c r="BG38" s="1257"/>
      <c r="BH38" s="1257"/>
      <c r="BI38" s="1257"/>
      <c r="BJ38" s="1257"/>
      <c r="BK38" s="1257"/>
      <c r="BL38" s="1257"/>
      <c r="BM38" s="1257"/>
      <c r="BN38" s="1257"/>
      <c r="BO38" s="1257"/>
      <c r="BP38" s="1257"/>
      <c r="BQ38" s="1257"/>
      <c r="BR38" s="1257"/>
      <c r="BS38" s="1257"/>
      <c r="BT38" s="1257"/>
      <c r="BU38" s="1257"/>
      <c r="BV38" s="1257"/>
      <c r="BW38" s="1257"/>
      <c r="BX38" s="1257"/>
      <c r="BY38" s="1257"/>
      <c r="BZ38" s="1257"/>
      <c r="CA38" s="1257"/>
      <c r="CB38" s="1257"/>
      <c r="CC38" s="1257"/>
      <c r="CD38" s="1257"/>
      <c r="CE38" s="1257"/>
      <c r="CF38" s="1257"/>
      <c r="CG38" s="1257"/>
      <c r="CH38" s="1257"/>
      <c r="CI38" s="1257"/>
      <c r="CJ38" s="1257"/>
      <c r="CK38" s="1257"/>
      <c r="CL38" s="1257"/>
      <c r="CM38" s="1257"/>
      <c r="CN38" s="1257"/>
      <c r="CO38" s="1257"/>
      <c r="CP38" s="1257"/>
      <c r="CQ38" s="1257"/>
      <c r="CR38" s="1257"/>
      <c r="CS38" s="1257"/>
      <c r="CT38" s="1257"/>
      <c r="CU38" s="1257"/>
      <c r="CV38" s="1257"/>
      <c r="CW38" s="1257"/>
      <c r="CX38" s="1257"/>
      <c r="CY38" s="1257"/>
      <c r="CZ38" s="1257"/>
      <c r="DA38" s="1257"/>
      <c r="DB38" s="1257"/>
      <c r="DC38" s="1257"/>
      <c r="DD38" s="1257"/>
      <c r="DE38" s="1257"/>
      <c r="DF38" s="1257"/>
      <c r="DG38" s="1257"/>
      <c r="DH38" s="1257"/>
      <c r="DI38" s="1257"/>
      <c r="DJ38" s="1257"/>
      <c r="DK38" s="1257"/>
      <c r="DL38" s="1257"/>
      <c r="DM38" s="1257"/>
      <c r="DN38" s="1257"/>
      <c r="DO38" s="1257"/>
      <c r="DP38" s="1257"/>
      <c r="DQ38" s="1257"/>
      <c r="DR38" s="1257"/>
      <c r="DS38" s="1257"/>
      <c r="DT38" s="1257"/>
      <c r="DU38" s="1257"/>
      <c r="DV38" s="1257"/>
      <c r="DW38" s="1257"/>
      <c r="DX38" s="1257"/>
      <c r="DY38" s="1257"/>
      <c r="DZ38" s="1257"/>
      <c r="EA38" s="1257"/>
      <c r="EB38" s="1257"/>
      <c r="EC38" s="1257"/>
      <c r="ED38" s="1257"/>
      <c r="EE38" s="1257"/>
      <c r="EF38" s="1257"/>
      <c r="EG38" s="1257"/>
      <c r="EH38" s="1257"/>
      <c r="EI38" s="1257"/>
      <c r="EJ38" s="1257"/>
      <c r="EK38" s="1257"/>
      <c r="EL38" s="1257"/>
      <c r="EM38" s="1257"/>
      <c r="EN38" s="1257"/>
      <c r="EO38" s="1257"/>
      <c r="EP38" s="1257"/>
      <c r="EQ38" s="1257"/>
      <c r="ER38" s="1257"/>
      <c r="ES38" s="1257"/>
      <c r="ET38" s="1257"/>
      <c r="EU38" s="1257"/>
      <c r="EV38" s="1257"/>
      <c r="EW38" s="1257"/>
      <c r="EX38" s="1257"/>
      <c r="EY38" s="1257"/>
      <c r="EZ38" s="1257"/>
      <c r="FA38" s="1257"/>
      <c r="FB38" s="1257"/>
      <c r="FC38" s="1257"/>
      <c r="FD38" s="1257"/>
      <c r="FE38" s="1257"/>
      <c r="FF38" s="1257"/>
      <c r="FG38" s="1257"/>
      <c r="FH38" s="1257"/>
      <c r="FI38" s="1257"/>
      <c r="FJ38" s="1257"/>
      <c r="FK38" s="1257"/>
      <c r="FL38" s="1257"/>
      <c r="FM38" s="1257"/>
      <c r="FN38" s="1257"/>
      <c r="FO38" s="1257"/>
      <c r="FP38" s="1257"/>
      <c r="FQ38" s="1257"/>
      <c r="FR38" s="1257"/>
      <c r="FS38" s="1257"/>
      <c r="FT38" s="1257"/>
      <c r="FU38" s="1257"/>
      <c r="FV38" s="1257"/>
      <c r="FW38" s="1257"/>
      <c r="FX38" s="1257"/>
      <c r="FY38" s="1257"/>
      <c r="FZ38" s="1257"/>
      <c r="GA38" s="1257"/>
      <c r="GB38" s="1257"/>
      <c r="GC38" s="1257"/>
      <c r="GD38" s="1257"/>
      <c r="GE38" s="1257"/>
      <c r="GF38" s="1257"/>
      <c r="GG38" s="1257"/>
    </row>
    <row r="39" spans="1:189" s="500" customFormat="1">
      <c r="A39" s="689" t="e">
        <f>#REF!</f>
        <v>#REF!</v>
      </c>
      <c r="B39" s="711" t="e">
        <f>#REF!</f>
        <v>#REF!</v>
      </c>
      <c r="C39" s="1487"/>
      <c r="D39" s="739"/>
      <c r="E39" s="641"/>
      <c r="F39" s="740"/>
      <c r="H39" s="1254"/>
      <c r="I39" s="1256"/>
      <c r="J39" s="1254"/>
      <c r="K39" s="1257"/>
      <c r="L39" s="1257"/>
      <c r="M39" s="1257"/>
      <c r="N39" s="1257"/>
      <c r="O39" s="1257"/>
      <c r="P39" s="1257"/>
      <c r="Q39" s="1257"/>
      <c r="R39" s="1257"/>
      <c r="S39" s="1257"/>
      <c r="T39" s="1257"/>
      <c r="U39" s="1257"/>
      <c r="V39" s="1257"/>
      <c r="W39" s="1257"/>
      <c r="X39" s="1257"/>
      <c r="Y39" s="1257"/>
      <c r="Z39" s="1257"/>
      <c r="AA39" s="1257"/>
      <c r="AB39" s="1257"/>
      <c r="AC39" s="1257"/>
      <c r="AD39" s="1257"/>
      <c r="AE39" s="1257"/>
      <c r="AF39" s="1257"/>
      <c r="AG39" s="1257"/>
      <c r="AH39" s="1257"/>
      <c r="AI39" s="1257"/>
      <c r="AJ39" s="1257"/>
      <c r="AK39" s="1257"/>
      <c r="AL39" s="1257"/>
      <c r="AM39" s="1257"/>
      <c r="AN39" s="1257"/>
      <c r="AO39" s="1257"/>
      <c r="AP39" s="1257"/>
      <c r="AQ39" s="1257"/>
      <c r="AR39" s="1257"/>
      <c r="AS39" s="1257"/>
      <c r="AT39" s="1257"/>
      <c r="AU39" s="1257"/>
      <c r="AV39" s="1257"/>
      <c r="AW39" s="1257"/>
      <c r="AX39" s="1257"/>
      <c r="AY39" s="1257"/>
      <c r="AZ39" s="1257"/>
      <c r="BA39" s="1257"/>
      <c r="BB39" s="1257"/>
      <c r="BC39" s="1257"/>
      <c r="BD39" s="1257"/>
      <c r="BE39" s="1257"/>
      <c r="BF39" s="1257"/>
      <c r="BG39" s="1257"/>
      <c r="BH39" s="1257"/>
      <c r="BI39" s="1257"/>
      <c r="BJ39" s="1257"/>
      <c r="BK39" s="1257"/>
      <c r="BL39" s="1257"/>
      <c r="BM39" s="1257"/>
      <c r="BN39" s="1257"/>
      <c r="BO39" s="1257"/>
      <c r="BP39" s="1257"/>
      <c r="BQ39" s="1257"/>
      <c r="BR39" s="1257"/>
      <c r="BS39" s="1257"/>
      <c r="BT39" s="1257"/>
      <c r="BU39" s="1257"/>
      <c r="BV39" s="1257"/>
      <c r="BW39" s="1257"/>
      <c r="BX39" s="1257"/>
      <c r="BY39" s="1257"/>
      <c r="BZ39" s="1257"/>
      <c r="CA39" s="1257"/>
      <c r="CB39" s="1257"/>
      <c r="CC39" s="1257"/>
      <c r="CD39" s="1257"/>
      <c r="CE39" s="1257"/>
      <c r="CF39" s="1257"/>
      <c r="CG39" s="1257"/>
      <c r="CH39" s="1257"/>
      <c r="CI39" s="1257"/>
      <c r="CJ39" s="1257"/>
      <c r="CK39" s="1257"/>
      <c r="CL39" s="1257"/>
      <c r="CM39" s="1257"/>
      <c r="CN39" s="1257"/>
      <c r="CO39" s="1257"/>
      <c r="CP39" s="1257"/>
      <c r="CQ39" s="1257"/>
      <c r="CR39" s="1257"/>
      <c r="CS39" s="1257"/>
      <c r="CT39" s="1257"/>
      <c r="CU39" s="1257"/>
      <c r="CV39" s="1257"/>
      <c r="CW39" s="1257"/>
      <c r="CX39" s="1257"/>
      <c r="CY39" s="1257"/>
      <c r="CZ39" s="1257"/>
      <c r="DA39" s="1257"/>
      <c r="DB39" s="1257"/>
      <c r="DC39" s="1257"/>
      <c r="DD39" s="1257"/>
      <c r="DE39" s="1257"/>
      <c r="DF39" s="1257"/>
      <c r="DG39" s="1257"/>
      <c r="DH39" s="1257"/>
      <c r="DI39" s="1257"/>
      <c r="DJ39" s="1257"/>
      <c r="DK39" s="1257"/>
      <c r="DL39" s="1257"/>
      <c r="DM39" s="1257"/>
      <c r="DN39" s="1257"/>
      <c r="DO39" s="1257"/>
      <c r="DP39" s="1257"/>
      <c r="DQ39" s="1257"/>
      <c r="DR39" s="1257"/>
      <c r="DS39" s="1257"/>
      <c r="DT39" s="1257"/>
      <c r="DU39" s="1257"/>
      <c r="DV39" s="1257"/>
      <c r="DW39" s="1257"/>
      <c r="DX39" s="1257"/>
      <c r="DY39" s="1257"/>
      <c r="DZ39" s="1257"/>
      <c r="EA39" s="1257"/>
      <c r="EB39" s="1257"/>
      <c r="EC39" s="1257"/>
      <c r="ED39" s="1257"/>
      <c r="EE39" s="1257"/>
      <c r="EF39" s="1257"/>
      <c r="EG39" s="1257"/>
      <c r="EH39" s="1257"/>
      <c r="EI39" s="1257"/>
      <c r="EJ39" s="1257"/>
      <c r="EK39" s="1257"/>
      <c r="EL39" s="1257"/>
      <c r="EM39" s="1257"/>
      <c r="EN39" s="1257"/>
      <c r="EO39" s="1257"/>
      <c r="EP39" s="1257"/>
      <c r="EQ39" s="1257"/>
      <c r="ER39" s="1257"/>
      <c r="ES39" s="1257"/>
      <c r="ET39" s="1257"/>
      <c r="EU39" s="1257"/>
      <c r="EV39" s="1257"/>
      <c r="EW39" s="1257"/>
      <c r="EX39" s="1257"/>
      <c r="EY39" s="1257"/>
      <c r="EZ39" s="1257"/>
      <c r="FA39" s="1257"/>
      <c r="FB39" s="1257"/>
      <c r="FC39" s="1257"/>
      <c r="FD39" s="1257"/>
      <c r="FE39" s="1257"/>
      <c r="FF39" s="1257"/>
      <c r="FG39" s="1257"/>
      <c r="FH39" s="1257"/>
      <c r="FI39" s="1257"/>
      <c r="FJ39" s="1257"/>
      <c r="FK39" s="1257"/>
      <c r="FL39" s="1257"/>
      <c r="FM39" s="1257"/>
      <c r="FN39" s="1257"/>
      <c r="FO39" s="1257"/>
      <c r="FP39" s="1257"/>
      <c r="FQ39" s="1257"/>
      <c r="FR39" s="1257"/>
      <c r="FS39" s="1257"/>
      <c r="FT39" s="1257"/>
      <c r="FU39" s="1257"/>
      <c r="FV39" s="1257"/>
      <c r="FW39" s="1257"/>
      <c r="FX39" s="1257"/>
      <c r="FY39" s="1257"/>
      <c r="FZ39" s="1257"/>
      <c r="GA39" s="1257"/>
      <c r="GB39" s="1257"/>
      <c r="GC39" s="1257"/>
      <c r="GD39" s="1257"/>
      <c r="GE39" s="1257"/>
      <c r="GF39" s="1257"/>
      <c r="GG39" s="1257"/>
    </row>
    <row r="40" spans="1:189" s="500" customFormat="1">
      <c r="A40" s="750" t="e">
        <f>#REF!</f>
        <v>#REF!</v>
      </c>
      <c r="B40" s="677" t="e">
        <f>#REF!</f>
        <v>#REF!</v>
      </c>
      <c r="C40" s="1522" t="e">
        <f>#REF!</f>
        <v>#REF!</v>
      </c>
      <c r="D40" s="1457">
        <v>1</v>
      </c>
      <c r="E40" s="633" t="e">
        <f>#REF!</f>
        <v>#REF!</v>
      </c>
      <c r="F40" s="655" t="e">
        <f>+D40*E40</f>
        <v>#REF!</v>
      </c>
      <c r="H40" s="1256">
        <f>F7/1000</f>
        <v>0.5</v>
      </c>
      <c r="I40" s="1256">
        <v>1.05</v>
      </c>
      <c r="J40" s="1458">
        <f>H40*I40</f>
        <v>0.52500000000000002</v>
      </c>
      <c r="K40" s="1257"/>
      <c r="L40" s="1257"/>
      <c r="M40" s="1257"/>
      <c r="N40" s="1257"/>
      <c r="O40" s="1257"/>
      <c r="P40" s="1257"/>
      <c r="Q40" s="1257"/>
      <c r="R40" s="1257"/>
      <c r="S40" s="1257"/>
      <c r="T40" s="1257"/>
      <c r="U40" s="1257"/>
      <c r="V40" s="1257"/>
      <c r="W40" s="1257"/>
      <c r="X40" s="1257"/>
      <c r="Y40" s="1257"/>
      <c r="Z40" s="1257"/>
      <c r="AA40" s="1257"/>
      <c r="AB40" s="1257"/>
      <c r="AC40" s="1257"/>
      <c r="AD40" s="1257"/>
      <c r="AE40" s="1257"/>
      <c r="AF40" s="1257"/>
      <c r="AG40" s="1257"/>
      <c r="AH40" s="1257"/>
      <c r="AI40" s="1257"/>
      <c r="AJ40" s="1257"/>
      <c r="AK40" s="1257"/>
      <c r="AL40" s="1257"/>
      <c r="AM40" s="1257"/>
      <c r="AN40" s="1257"/>
      <c r="AO40" s="1257"/>
      <c r="AP40" s="1257"/>
      <c r="AQ40" s="1257"/>
      <c r="AR40" s="1257"/>
      <c r="AS40" s="1257"/>
      <c r="AT40" s="1257"/>
      <c r="AU40" s="1257"/>
      <c r="AV40" s="1257"/>
      <c r="AW40" s="1257"/>
      <c r="AX40" s="1257"/>
      <c r="AY40" s="1257"/>
      <c r="AZ40" s="1257"/>
      <c r="BA40" s="1257"/>
      <c r="BB40" s="1257"/>
      <c r="BC40" s="1257"/>
      <c r="BD40" s="1257"/>
      <c r="BE40" s="1257"/>
      <c r="BF40" s="1257"/>
      <c r="BG40" s="1257"/>
      <c r="BH40" s="1257"/>
      <c r="BI40" s="1257"/>
      <c r="BJ40" s="1257"/>
      <c r="BK40" s="1257"/>
      <c r="BL40" s="1257"/>
      <c r="BM40" s="1257"/>
      <c r="BN40" s="1257"/>
      <c r="BO40" s="1257"/>
      <c r="BP40" s="1257"/>
      <c r="BQ40" s="1257"/>
      <c r="BR40" s="1257"/>
      <c r="BS40" s="1257"/>
      <c r="BT40" s="1257"/>
      <c r="BU40" s="1257"/>
      <c r="BV40" s="1257"/>
      <c r="BW40" s="1257"/>
      <c r="BX40" s="1257"/>
      <c r="BY40" s="1257"/>
      <c r="BZ40" s="1257"/>
      <c r="CA40" s="1257"/>
      <c r="CB40" s="1257"/>
      <c r="CC40" s="1257"/>
      <c r="CD40" s="1257"/>
      <c r="CE40" s="1257"/>
      <c r="CF40" s="1257"/>
      <c r="CG40" s="1257"/>
      <c r="CH40" s="1257"/>
      <c r="CI40" s="1257"/>
      <c r="CJ40" s="1257"/>
      <c r="CK40" s="1257"/>
      <c r="CL40" s="1257"/>
      <c r="CM40" s="1257"/>
      <c r="CN40" s="1257"/>
      <c r="CO40" s="1257"/>
      <c r="CP40" s="1257"/>
      <c r="CQ40" s="1257"/>
      <c r="CR40" s="1257"/>
      <c r="CS40" s="1257"/>
      <c r="CT40" s="1257"/>
      <c r="CU40" s="1257"/>
      <c r="CV40" s="1257"/>
      <c r="CW40" s="1257"/>
      <c r="CX40" s="1257"/>
      <c r="CY40" s="1257"/>
      <c r="CZ40" s="1257"/>
      <c r="DA40" s="1257"/>
      <c r="DB40" s="1257"/>
      <c r="DC40" s="1257"/>
      <c r="DD40" s="1257"/>
      <c r="DE40" s="1257"/>
      <c r="DF40" s="1257"/>
      <c r="DG40" s="1257"/>
      <c r="DH40" s="1257"/>
      <c r="DI40" s="1257"/>
      <c r="DJ40" s="1257"/>
      <c r="DK40" s="1257"/>
      <c r="DL40" s="1257"/>
      <c r="DM40" s="1257"/>
      <c r="DN40" s="1257"/>
      <c r="DO40" s="1257"/>
      <c r="DP40" s="1257"/>
      <c r="DQ40" s="1257"/>
      <c r="DR40" s="1257"/>
      <c r="DS40" s="1257"/>
      <c r="DT40" s="1257"/>
      <c r="DU40" s="1257"/>
      <c r="DV40" s="1257"/>
      <c r="DW40" s="1257"/>
      <c r="DX40" s="1257"/>
      <c r="DY40" s="1257"/>
      <c r="DZ40" s="1257"/>
      <c r="EA40" s="1257"/>
      <c r="EB40" s="1257"/>
      <c r="EC40" s="1257"/>
      <c r="ED40" s="1257"/>
      <c r="EE40" s="1257"/>
      <c r="EF40" s="1257"/>
      <c r="EG40" s="1257"/>
      <c r="EH40" s="1257"/>
      <c r="EI40" s="1257"/>
      <c r="EJ40" s="1257"/>
      <c r="EK40" s="1257"/>
      <c r="EL40" s="1257"/>
      <c r="EM40" s="1257"/>
      <c r="EN40" s="1257"/>
      <c r="EO40" s="1257"/>
      <c r="EP40" s="1257"/>
      <c r="EQ40" s="1257"/>
      <c r="ER40" s="1257"/>
      <c r="ES40" s="1257"/>
      <c r="ET40" s="1257"/>
      <c r="EU40" s="1257"/>
      <c r="EV40" s="1257"/>
      <c r="EW40" s="1257"/>
      <c r="EX40" s="1257"/>
      <c r="EY40" s="1257"/>
      <c r="EZ40" s="1257"/>
      <c r="FA40" s="1257"/>
      <c r="FB40" s="1257"/>
      <c r="FC40" s="1257"/>
      <c r="FD40" s="1257"/>
      <c r="FE40" s="1257"/>
      <c r="FF40" s="1257"/>
      <c r="FG40" s="1257"/>
      <c r="FH40" s="1257"/>
      <c r="FI40" s="1257"/>
      <c r="FJ40" s="1257"/>
      <c r="FK40" s="1257"/>
      <c r="FL40" s="1257"/>
      <c r="FM40" s="1257"/>
      <c r="FN40" s="1257"/>
      <c r="FO40" s="1257"/>
      <c r="FP40" s="1257"/>
      <c r="FQ40" s="1257"/>
      <c r="FR40" s="1257"/>
      <c r="FS40" s="1257"/>
      <c r="FT40" s="1257"/>
      <c r="FU40" s="1257"/>
      <c r="FV40" s="1257"/>
      <c r="FW40" s="1257"/>
      <c r="FX40" s="1257"/>
      <c r="FY40" s="1257"/>
      <c r="FZ40" s="1257"/>
      <c r="GA40" s="1257"/>
      <c r="GB40" s="1257"/>
      <c r="GC40" s="1257"/>
      <c r="GD40" s="1257"/>
      <c r="GE40" s="1257"/>
      <c r="GF40" s="1257"/>
      <c r="GG40" s="1257"/>
    </row>
    <row r="41" spans="1:189" s="1257" customFormat="1">
      <c r="A41" s="750" t="e">
        <f>#REF!</f>
        <v>#REF!</v>
      </c>
      <c r="B41" s="677" t="e">
        <f>#REF!</f>
        <v>#REF!</v>
      </c>
      <c r="C41" s="1522" t="e">
        <f>#REF!</f>
        <v>#REF!</v>
      </c>
      <c r="D41" s="1457">
        <v>1</v>
      </c>
      <c r="E41" s="633" t="e">
        <f>#REF!</f>
        <v>#REF!</v>
      </c>
      <c r="F41" s="655" t="e">
        <f>+D41*E41</f>
        <v>#REF!</v>
      </c>
      <c r="G41" s="500"/>
      <c r="H41" s="1256">
        <f>H40</f>
        <v>0.5</v>
      </c>
      <c r="I41" s="1256">
        <v>1.05</v>
      </c>
      <c r="J41" s="1458">
        <f>H41*I41</f>
        <v>0.52500000000000002</v>
      </c>
    </row>
    <row r="42" spans="1:189" s="1257" customFormat="1">
      <c r="A42" s="750" t="e">
        <f>#REF!</f>
        <v>#REF!</v>
      </c>
      <c r="B42" s="677" t="e">
        <f>#REF!</f>
        <v>#REF!</v>
      </c>
      <c r="C42" s="1522" t="e">
        <f>#REF!</f>
        <v>#REF!</v>
      </c>
      <c r="D42" s="1457">
        <f>J42</f>
        <v>115</v>
      </c>
      <c r="E42" s="633" t="e">
        <f>#REF!</f>
        <v>#REF!</v>
      </c>
      <c r="F42" s="655" t="e">
        <f>+D42*E42</f>
        <v>#REF!</v>
      </c>
      <c r="G42" s="500"/>
      <c r="H42" s="1256">
        <v>115</v>
      </c>
      <c r="I42" s="1256">
        <v>1</v>
      </c>
      <c r="J42" s="1458">
        <f>H42*I42</f>
        <v>115</v>
      </c>
    </row>
    <row r="43" spans="1:189" s="1257" customFormat="1">
      <c r="A43" s="751" t="e">
        <f>#REF!</f>
        <v>#REF!</v>
      </c>
      <c r="B43" s="753" t="e">
        <f>#REF!</f>
        <v>#REF!</v>
      </c>
      <c r="C43" s="1523" t="e">
        <f>#REF!</f>
        <v>#REF!</v>
      </c>
      <c r="D43" s="1459">
        <v>1</v>
      </c>
      <c r="E43" s="527">
        <v>2462008</v>
      </c>
      <c r="F43" s="741">
        <f>+D43*E43</f>
        <v>2462008</v>
      </c>
      <c r="G43" s="500"/>
      <c r="H43" s="1256">
        <f>H41</f>
        <v>0.5</v>
      </c>
      <c r="I43" s="1256">
        <v>1.05</v>
      </c>
      <c r="J43" s="1458">
        <f>H43*I43</f>
        <v>0.52500000000000002</v>
      </c>
    </row>
    <row r="44" spans="1:189" s="1257" customFormat="1">
      <c r="A44" s="689" t="e">
        <f>#REF!</f>
        <v>#REF!</v>
      </c>
      <c r="B44" s="711" t="e">
        <f>#REF!</f>
        <v>#REF!</v>
      </c>
      <c r="C44" s="1487"/>
      <c r="D44" s="739"/>
      <c r="E44" s="641"/>
      <c r="F44" s="740"/>
      <c r="G44" s="500"/>
      <c r="H44" s="1254"/>
      <c r="I44" s="1256"/>
      <c r="J44" s="1254"/>
    </row>
    <row r="45" spans="1:189" s="1257" customFormat="1">
      <c r="A45" s="751"/>
      <c r="B45" s="753"/>
      <c r="C45" s="1408" t="e">
        <f>#REF!</f>
        <v>#REF!</v>
      </c>
      <c r="D45" s="1414">
        <f>J45</f>
        <v>440.00000000000006</v>
      </c>
      <c r="E45" s="527" t="e">
        <f>#REF!</f>
        <v>#REF!</v>
      </c>
      <c r="F45" s="741" t="e">
        <f>+D45*E45</f>
        <v>#REF!</v>
      </c>
      <c r="G45" s="500"/>
      <c r="H45" s="1254">
        <f>10*40</f>
        <v>400</v>
      </c>
      <c r="I45" s="1256">
        <v>1.1000000000000001</v>
      </c>
      <c r="J45" s="1254">
        <f>H45*I45</f>
        <v>440.00000000000006</v>
      </c>
    </row>
    <row r="46" spans="1:189" s="1257" customFormat="1">
      <c r="A46" s="689" t="e">
        <f>#REF!</f>
        <v>#REF!</v>
      </c>
      <c r="B46" s="711" t="e">
        <f>#REF!</f>
        <v>#REF!</v>
      </c>
      <c r="C46" s="1487"/>
      <c r="D46" s="739"/>
      <c r="E46" s="641"/>
      <c r="F46" s="740"/>
      <c r="G46" s="500"/>
      <c r="H46" s="1254"/>
      <c r="I46" s="1256"/>
      <c r="J46" s="1254"/>
    </row>
    <row r="47" spans="1:189" s="1257" customFormat="1">
      <c r="A47" s="751" t="e">
        <f>#REF!</f>
        <v>#REF!</v>
      </c>
      <c r="B47" s="753" t="e">
        <f>#REF!</f>
        <v>#REF!</v>
      </c>
      <c r="C47" s="1482" t="e">
        <f>#REF!</f>
        <v>#REF!</v>
      </c>
      <c r="D47" s="1415">
        <f>J47</f>
        <v>1470.5</v>
      </c>
      <c r="E47" s="527" t="e">
        <f>#REF!</f>
        <v>#REF!</v>
      </c>
      <c r="F47" s="741" t="e">
        <f>+D47*E47</f>
        <v>#REF!</v>
      </c>
      <c r="G47" s="500"/>
      <c r="H47" s="1254">
        <f>1000+421+150*2+1000+50+170</f>
        <v>2941</v>
      </c>
      <c r="I47" s="1256">
        <v>0.5</v>
      </c>
      <c r="J47" s="1254">
        <f>H47*I47</f>
        <v>1470.5</v>
      </c>
    </row>
    <row r="48" spans="1:189" s="1257" customFormat="1" ht="18.75">
      <c r="A48" s="709"/>
      <c r="B48" s="464"/>
      <c r="C48" s="686"/>
      <c r="D48" s="635"/>
      <c r="E48" s="636" t="s">
        <v>111</v>
      </c>
      <c r="F48" s="1122" t="e">
        <f>SUM(F35:F47)</f>
        <v>#REF!</v>
      </c>
      <c r="G48" s="500"/>
      <c r="H48" s="1254"/>
      <c r="I48" s="1256"/>
      <c r="J48" s="1254"/>
    </row>
    <row r="49" spans="1:12" s="129" customFormat="1" ht="15" customHeight="1">
      <c r="A49" s="406"/>
      <c r="B49" s="40"/>
      <c r="C49" s="51"/>
      <c r="D49" s="76"/>
      <c r="E49" s="66"/>
      <c r="F49" s="66"/>
      <c r="G49" s="142"/>
      <c r="H49" s="255"/>
      <c r="I49" s="262"/>
      <c r="J49" s="255"/>
    </row>
    <row r="50" spans="1:12" s="129" customFormat="1" ht="24.95" customHeight="1">
      <c r="A50" s="1972" t="e">
        <f>#REF!</f>
        <v>#REF!</v>
      </c>
      <c r="B50" s="1973"/>
      <c r="C50" s="1864"/>
      <c r="D50" s="1864"/>
      <c r="E50" s="1864"/>
      <c r="F50" s="1865"/>
      <c r="G50" s="142"/>
      <c r="H50" s="255"/>
      <c r="I50" s="262"/>
      <c r="J50" s="255"/>
    </row>
    <row r="51" spans="1:12" s="495" customFormat="1">
      <c r="A51" s="689" t="e">
        <f>#REF!</f>
        <v>#REF!</v>
      </c>
      <c r="B51" s="752" t="e">
        <f>#REF!</f>
        <v>#REF!</v>
      </c>
      <c r="C51" s="1543"/>
      <c r="D51" s="641"/>
      <c r="E51" s="641"/>
      <c r="F51" s="641"/>
      <c r="G51" s="456"/>
      <c r="H51" s="493"/>
      <c r="I51" s="494"/>
      <c r="J51" s="493"/>
    </row>
    <row r="52" spans="1:12" s="495" customFormat="1">
      <c r="A52" s="751" t="e">
        <f>#REF!</f>
        <v>#REF!</v>
      </c>
      <c r="B52" s="708" t="e">
        <f>#REF!</f>
        <v>#REF!</v>
      </c>
      <c r="C52" s="1546" t="e">
        <f>#REF!</f>
        <v>#REF!</v>
      </c>
      <c r="D52" s="527">
        <f>J52</f>
        <v>1531.2</v>
      </c>
      <c r="E52" s="527" t="e">
        <f>#REF!</f>
        <v>#REF!</v>
      </c>
      <c r="F52" s="527" t="e">
        <f>+D52*E52</f>
        <v>#REF!</v>
      </c>
      <c r="G52" s="456"/>
      <c r="H52" s="769">
        <f>20*0.8*I3</f>
        <v>1392</v>
      </c>
      <c r="I52" s="494">
        <v>1.1000000000000001</v>
      </c>
      <c r="J52" s="493">
        <f>H52*I52</f>
        <v>1531.2</v>
      </c>
    </row>
    <row r="53" spans="1:12" s="495" customFormat="1">
      <c r="A53" s="689" t="e">
        <f>#REF!</f>
        <v>#REF!</v>
      </c>
      <c r="B53" s="752" t="e">
        <f>#REF!</f>
        <v>#REF!</v>
      </c>
      <c r="C53" s="1543"/>
      <c r="D53" s="1555"/>
      <c r="E53" s="633"/>
      <c r="F53" s="633"/>
      <c r="G53" s="456"/>
      <c r="H53" s="493"/>
      <c r="I53" s="494"/>
      <c r="J53" s="493"/>
    </row>
    <row r="54" spans="1:12" s="495" customFormat="1">
      <c r="A54" s="751"/>
      <c r="B54" s="708"/>
      <c r="C54" s="1546" t="e">
        <f>#REF!</f>
        <v>#REF!</v>
      </c>
      <c r="D54" s="1521">
        <f>J54</f>
        <v>0</v>
      </c>
      <c r="E54" s="527" t="e">
        <f>#REF!</f>
        <v>#REF!</v>
      </c>
      <c r="F54" s="527" t="e">
        <f>+D54*E54</f>
        <v>#REF!</v>
      </c>
      <c r="G54" s="456"/>
      <c r="H54" s="493">
        <v>0</v>
      </c>
      <c r="I54" s="494">
        <v>1.1499999999999999</v>
      </c>
      <c r="J54" s="493">
        <f>H54*I54</f>
        <v>0</v>
      </c>
    </row>
    <row r="55" spans="1:12" s="495" customFormat="1">
      <c r="A55" s="689" t="e">
        <f>#REF!</f>
        <v>#REF!</v>
      </c>
      <c r="B55" s="752" t="e">
        <f>#REF!</f>
        <v>#REF!</v>
      </c>
      <c r="C55" s="1543"/>
      <c r="D55" s="1555"/>
      <c r="E55" s="641"/>
      <c r="F55" s="641"/>
      <c r="G55" s="456"/>
      <c r="H55" s="493"/>
      <c r="I55" s="494"/>
      <c r="J55" s="493"/>
      <c r="L55" s="756" t="e">
        <f>#REF!-J56</f>
        <v>#REF!</v>
      </c>
    </row>
    <row r="56" spans="1:12" s="495" customFormat="1">
      <c r="A56" s="751"/>
      <c r="B56" s="708"/>
      <c r="C56" s="1546" t="e">
        <f>#REF!</f>
        <v>#REF!</v>
      </c>
      <c r="D56" s="661">
        <f>J56</f>
        <v>1200.5999999999999</v>
      </c>
      <c r="E56" s="527" t="e">
        <f>#REF!</f>
        <v>#REF!</v>
      </c>
      <c r="F56" s="527" t="e">
        <f>+D56*E56</f>
        <v>#REF!</v>
      </c>
      <c r="G56" s="456"/>
      <c r="H56" s="493">
        <f>20*I3*0.6</f>
        <v>1044</v>
      </c>
      <c r="I56" s="494">
        <v>1.1499999999999999</v>
      </c>
      <c r="J56" s="493">
        <f>H56*I56</f>
        <v>1200.5999999999999</v>
      </c>
      <c r="K56" s="756"/>
    </row>
    <row r="57" spans="1:12" s="495" customFormat="1" ht="18.75">
      <c r="A57" s="676"/>
      <c r="B57" s="456"/>
      <c r="C57" s="686"/>
      <c r="D57" s="635"/>
      <c r="E57" s="636" t="s">
        <v>110</v>
      </c>
      <c r="F57" s="1122" t="e">
        <f>SUM(F51:F56)</f>
        <v>#REF!</v>
      </c>
      <c r="G57" s="456"/>
      <c r="H57" s="493"/>
      <c r="I57" s="494"/>
      <c r="J57" s="493"/>
    </row>
    <row r="58" spans="1:12" s="129" customFormat="1" ht="15" customHeight="1">
      <c r="A58" s="421"/>
      <c r="B58" s="18"/>
      <c r="C58" s="48"/>
      <c r="D58" s="111"/>
      <c r="E58" s="142"/>
      <c r="F58" s="112"/>
      <c r="G58" s="142"/>
      <c r="H58" s="255">
        <f>0.15*9*I3</f>
        <v>117.44999999999999</v>
      </c>
      <c r="I58" s="262" t="s">
        <v>243</v>
      </c>
      <c r="J58" s="255"/>
    </row>
    <row r="59" spans="1:12" s="129" customFormat="1" ht="24.95" customHeight="1">
      <c r="A59" s="1972" t="e">
        <f>#REF!</f>
        <v>#REF!</v>
      </c>
      <c r="B59" s="1973"/>
      <c r="C59" s="1973"/>
      <c r="D59" s="1973"/>
      <c r="E59" s="1973"/>
      <c r="F59" s="1974"/>
      <c r="G59" s="142"/>
      <c r="H59" s="255">
        <f>0.2*20*I3</f>
        <v>348</v>
      </c>
      <c r="I59" s="262" t="s">
        <v>244</v>
      </c>
      <c r="J59" s="255"/>
    </row>
    <row r="60" spans="1:12" s="129" customFormat="1">
      <c r="A60" s="689" t="e">
        <f>#REF!</f>
        <v>#REF!</v>
      </c>
      <c r="B60" s="711" t="e">
        <f>#REF!</f>
        <v>#REF!</v>
      </c>
      <c r="C60" s="1478"/>
      <c r="D60" s="742"/>
      <c r="E60" s="544"/>
      <c r="F60" s="1136"/>
      <c r="G60" s="142"/>
      <c r="H60" s="145">
        <v>0</v>
      </c>
      <c r="I60" s="262" t="s">
        <v>245</v>
      </c>
      <c r="J60" s="255"/>
    </row>
    <row r="61" spans="1:12" s="129" customFormat="1">
      <c r="A61" s="751" t="e">
        <f>#REF!</f>
        <v>#REF!</v>
      </c>
      <c r="B61" s="753" t="e">
        <f>#REF!</f>
        <v>#REF!</v>
      </c>
      <c r="C61" s="1523" t="e">
        <f>#REF!</f>
        <v>#REF!</v>
      </c>
      <c r="D61" s="1414">
        <f>J61</f>
        <v>558.54</v>
      </c>
      <c r="E61" s="547" t="e">
        <f>#REF!</f>
        <v>#REF!</v>
      </c>
      <c r="F61" s="963" t="e">
        <f>+D61*E61</f>
        <v>#REF!</v>
      </c>
      <c r="G61" s="142"/>
      <c r="H61" s="145">
        <f>SUM(H58:H60)</f>
        <v>465.45</v>
      </c>
      <c r="I61" s="262">
        <v>1.2</v>
      </c>
      <c r="J61" s="255">
        <f>H61*I61</f>
        <v>558.54</v>
      </c>
    </row>
    <row r="62" spans="1:12" s="129" customFormat="1">
      <c r="A62" s="689" t="e">
        <f>#REF!</f>
        <v>#REF!</v>
      </c>
      <c r="B62" s="711" t="e">
        <f>#REF!</f>
        <v>#REF!</v>
      </c>
      <c r="C62" s="640"/>
      <c r="D62" s="807"/>
      <c r="E62" s="641"/>
      <c r="F62" s="740"/>
      <c r="G62" s="142"/>
      <c r="H62" s="255"/>
      <c r="I62" s="262"/>
      <c r="J62" s="255"/>
    </row>
    <row r="63" spans="1:12" s="129" customFormat="1">
      <c r="A63" s="751"/>
      <c r="B63" s="753"/>
      <c r="C63" s="1523" t="e">
        <f>#REF!</f>
        <v>#REF!</v>
      </c>
      <c r="D63" s="808">
        <f>J63</f>
        <v>3654</v>
      </c>
      <c r="E63" s="527" t="e">
        <f>#REF!</f>
        <v>#REF!</v>
      </c>
      <c r="F63" s="741" t="e">
        <f>+D63*E63</f>
        <v>#REF!</v>
      </c>
      <c r="G63" s="142"/>
      <c r="H63" s="255">
        <f>20*I3*2</f>
        <v>3480</v>
      </c>
      <c r="I63" s="262">
        <f>1.05</f>
        <v>1.05</v>
      </c>
      <c r="J63" s="255">
        <f>H63*I63</f>
        <v>3654</v>
      </c>
      <c r="K63" s="129" t="s">
        <v>261</v>
      </c>
    </row>
    <row r="64" spans="1:12" s="129" customFormat="1">
      <c r="A64" s="689" t="e">
        <f>#REF!</f>
        <v>#REF!</v>
      </c>
      <c r="B64" s="711" t="e">
        <f>#REF!</f>
        <v>#REF!</v>
      </c>
      <c r="C64" s="640"/>
      <c r="D64" s="807"/>
      <c r="E64" s="641"/>
      <c r="F64" s="740"/>
      <c r="G64" s="142"/>
      <c r="H64" s="255"/>
      <c r="I64" s="262"/>
      <c r="J64" s="255"/>
    </row>
    <row r="65" spans="1:10" s="129" customFormat="1">
      <c r="A65" s="751"/>
      <c r="B65" s="753"/>
      <c r="C65" s="1523" t="e">
        <f>#REF!</f>
        <v>#REF!</v>
      </c>
      <c r="D65" s="808">
        <f>+D63</f>
        <v>3654</v>
      </c>
      <c r="E65" s="527" t="e">
        <f>#REF!</f>
        <v>#REF!</v>
      </c>
      <c r="F65" s="741" t="e">
        <f>+D65*E65</f>
        <v>#REF!</v>
      </c>
      <c r="G65" s="142"/>
      <c r="H65" s="255"/>
      <c r="I65" s="262"/>
      <c r="J65" s="255"/>
    </row>
    <row r="66" spans="1:10" s="129" customFormat="1">
      <c r="A66" s="689" t="e">
        <f>#REF!</f>
        <v>#REF!</v>
      </c>
      <c r="B66" s="711" t="e">
        <f>#REF!</f>
        <v>#REF!</v>
      </c>
      <c r="C66" s="640"/>
      <c r="D66" s="807"/>
      <c r="E66" s="641"/>
      <c r="F66" s="740"/>
      <c r="G66" s="142"/>
      <c r="H66" s="255"/>
      <c r="I66" s="262"/>
      <c r="J66" s="255"/>
    </row>
    <row r="67" spans="1:10" s="129" customFormat="1">
      <c r="A67" s="750"/>
      <c r="B67" s="677"/>
      <c r="C67" s="1522" t="e">
        <f>#REF!</f>
        <v>#REF!</v>
      </c>
      <c r="D67" s="732">
        <f>J67</f>
        <v>12023.94375</v>
      </c>
      <c r="E67" s="633" t="e">
        <f>#REF!</f>
        <v>#REF!</v>
      </c>
      <c r="F67" s="655" t="e">
        <f>+D67*E67</f>
        <v>#REF!</v>
      </c>
      <c r="G67" s="142"/>
      <c r="H67" s="255">
        <f>1950*H58*5%</f>
        <v>11451.375</v>
      </c>
      <c r="I67" s="262">
        <f>1.05</f>
        <v>1.05</v>
      </c>
      <c r="J67" s="255">
        <f>H67*I67</f>
        <v>12023.94375</v>
      </c>
    </row>
    <row r="68" spans="1:10" s="129" customFormat="1">
      <c r="A68" s="689" t="e">
        <f>#REF!</f>
        <v>#REF!</v>
      </c>
      <c r="B68" s="711" t="e">
        <f>#REF!</f>
        <v>#REF!</v>
      </c>
      <c r="C68" s="1407"/>
      <c r="D68" s="1416"/>
      <c r="E68" s="641"/>
      <c r="F68" s="740"/>
      <c r="G68" s="142"/>
      <c r="H68" s="255"/>
      <c r="I68" s="262"/>
      <c r="J68" s="255"/>
    </row>
    <row r="69" spans="1:10" s="129" customFormat="1">
      <c r="A69" s="755" t="e">
        <f>#REF!</f>
        <v>#REF!</v>
      </c>
      <c r="B69" s="678" t="e">
        <f>#REF!</f>
        <v>#REF!</v>
      </c>
      <c r="C69" s="1485"/>
      <c r="D69" s="730"/>
      <c r="E69" s="633"/>
      <c r="F69" s="655"/>
      <c r="G69" s="142"/>
      <c r="H69" s="255"/>
      <c r="I69" s="262"/>
      <c r="J69" s="255"/>
    </row>
    <row r="70" spans="1:10" s="129" customFormat="1">
      <c r="A70" s="750" t="e">
        <f>#REF!</f>
        <v>#REF!</v>
      </c>
      <c r="B70" s="677" t="e">
        <f>#REF!</f>
        <v>#REF!</v>
      </c>
      <c r="C70" s="1485" t="e">
        <f>#REF!</f>
        <v>#REF!</v>
      </c>
      <c r="D70" s="730"/>
      <c r="E70" s="633" t="e">
        <f>#REF!</f>
        <v>#REF!</v>
      </c>
      <c r="F70" s="655" t="e">
        <f t="shared" ref="F70:F72" si="0">+D70*E70</f>
        <v>#REF!</v>
      </c>
      <c r="G70" s="142"/>
      <c r="H70" s="255"/>
      <c r="I70" s="262"/>
      <c r="J70" s="255"/>
    </row>
    <row r="71" spans="1:10" s="129" customFormat="1">
      <c r="A71" s="750" t="e">
        <f>#REF!</f>
        <v>#REF!</v>
      </c>
      <c r="B71" s="677" t="e">
        <f>#REF!</f>
        <v>#REF!</v>
      </c>
      <c r="C71" s="1485" t="e">
        <f>#REF!</f>
        <v>#REF!</v>
      </c>
      <c r="D71" s="730">
        <f>+J71</f>
        <v>1162.7</v>
      </c>
      <c r="E71" s="633" t="e">
        <f>#REF!</f>
        <v>#REF!</v>
      </c>
      <c r="F71" s="655" t="e">
        <f t="shared" si="0"/>
        <v>#REF!</v>
      </c>
      <c r="G71" s="142"/>
      <c r="H71" s="255">
        <f>+I3*11+10*10</f>
        <v>1057</v>
      </c>
      <c r="I71" s="262">
        <v>1.1000000000000001</v>
      </c>
      <c r="J71" s="255">
        <f>+H71*I71</f>
        <v>1162.7</v>
      </c>
    </row>
    <row r="72" spans="1:10" s="129" customFormat="1">
      <c r="A72" s="750" t="e">
        <f>#REF!</f>
        <v>#REF!</v>
      </c>
      <c r="B72" s="677" t="e">
        <f>#REF!</f>
        <v>#REF!</v>
      </c>
      <c r="C72" s="1485" t="e">
        <f>#REF!</f>
        <v>#REF!</v>
      </c>
      <c r="D72" s="730">
        <f>+J72</f>
        <v>861.30000000000007</v>
      </c>
      <c r="E72" s="633" t="e">
        <f>#REF!</f>
        <v>#REF!</v>
      </c>
      <c r="F72" s="655" t="e">
        <f t="shared" si="0"/>
        <v>#REF!</v>
      </c>
      <c r="G72" s="142"/>
      <c r="H72" s="255">
        <f>+(20-11)*I3</f>
        <v>783</v>
      </c>
      <c r="I72" s="262">
        <v>1.1000000000000001</v>
      </c>
      <c r="J72" s="255">
        <f>+H72*I72</f>
        <v>861.30000000000007</v>
      </c>
    </row>
    <row r="73" spans="1:10" s="129" customFormat="1">
      <c r="A73" s="755" t="e">
        <f>#REF!</f>
        <v>#REF!</v>
      </c>
      <c r="B73" s="678" t="e">
        <f>#REF!</f>
        <v>#REF!</v>
      </c>
      <c r="C73" s="1485"/>
      <c r="D73" s="730"/>
      <c r="E73" s="633"/>
      <c r="F73" s="655"/>
      <c r="G73" s="142"/>
      <c r="H73" s="255"/>
      <c r="I73" s="262"/>
      <c r="J73" s="255"/>
    </row>
    <row r="74" spans="1:10" s="129" customFormat="1">
      <c r="A74" s="750" t="e">
        <f>#REF!</f>
        <v>#REF!</v>
      </c>
      <c r="B74" s="677" t="e">
        <f>#REF!</f>
        <v>#REF!</v>
      </c>
      <c r="C74" s="1485" t="e">
        <f>#REF!</f>
        <v>#REF!</v>
      </c>
      <c r="D74" s="730"/>
      <c r="E74" s="633" t="e">
        <f>#REF!</f>
        <v>#REF!</v>
      </c>
      <c r="F74" s="655"/>
      <c r="G74" s="142"/>
      <c r="H74" s="255"/>
      <c r="I74" s="262"/>
      <c r="J74" s="255"/>
    </row>
    <row r="75" spans="1:10" s="129" customFormat="1">
      <c r="A75" s="750" t="e">
        <f>#REF!</f>
        <v>#REF!</v>
      </c>
      <c r="B75" s="677" t="e">
        <f>#REF!</f>
        <v>#REF!</v>
      </c>
      <c r="C75" s="1485" t="e">
        <f>#REF!</f>
        <v>#REF!</v>
      </c>
      <c r="D75" s="730">
        <f>+D71</f>
        <v>1162.7</v>
      </c>
      <c r="E75" s="633" t="e">
        <f>#REF!</f>
        <v>#REF!</v>
      </c>
      <c r="F75" s="655" t="e">
        <f>+D75*E75</f>
        <v>#REF!</v>
      </c>
      <c r="G75" s="142"/>
      <c r="H75" s="255">
        <f>9.4*I3+20*9*3</f>
        <v>1357.8000000000002</v>
      </c>
      <c r="I75" s="262">
        <f>1.1</f>
        <v>1.1000000000000001</v>
      </c>
      <c r="J75" s="255">
        <f>H75*I75</f>
        <v>1493.5800000000004</v>
      </c>
    </row>
    <row r="76" spans="1:10" s="129" customFormat="1">
      <c r="A76" s="751" t="e">
        <f>#REF!</f>
        <v>#REF!</v>
      </c>
      <c r="B76" s="753" t="e">
        <f>#REF!</f>
        <v>#REF!</v>
      </c>
      <c r="C76" s="1408" t="e">
        <f>#REF!</f>
        <v>#REF!</v>
      </c>
      <c r="D76" s="730">
        <f>+D72</f>
        <v>861.30000000000007</v>
      </c>
      <c r="E76" s="527" t="e">
        <f>#REF!</f>
        <v>#REF!</v>
      </c>
      <c r="F76" s="741" t="e">
        <f>+D76*E76</f>
        <v>#REF!</v>
      </c>
      <c r="G76" s="142"/>
      <c r="H76" s="268">
        <f>(20-9)*I3</f>
        <v>957</v>
      </c>
      <c r="I76" s="262">
        <f>1.1</f>
        <v>1.1000000000000001</v>
      </c>
      <c r="J76" s="255">
        <f>H76*I76</f>
        <v>1052.7</v>
      </c>
    </row>
    <row r="77" spans="1:10" s="129" customFormat="1">
      <c r="A77" s="689" t="e">
        <f>#REF!</f>
        <v>#REF!</v>
      </c>
      <c r="B77" s="711" t="e">
        <f>#REF!</f>
        <v>#REF!</v>
      </c>
      <c r="C77" s="1487"/>
      <c r="D77" s="739"/>
      <c r="E77" s="641"/>
      <c r="F77" s="740"/>
      <c r="G77" s="142"/>
      <c r="H77" s="255"/>
      <c r="I77" s="262"/>
      <c r="J77" s="255"/>
    </row>
    <row r="78" spans="1:10" s="129" customFormat="1">
      <c r="A78" s="755" t="e">
        <f>#REF!</f>
        <v>#REF!</v>
      </c>
      <c r="B78" s="678" t="e">
        <f>#REF!</f>
        <v>#REF!</v>
      </c>
      <c r="C78" s="1486"/>
      <c r="D78" s="738"/>
      <c r="E78" s="633"/>
      <c r="F78" s="655"/>
      <c r="G78" s="142"/>
      <c r="H78" s="255"/>
      <c r="I78" s="262"/>
      <c r="J78" s="255"/>
    </row>
    <row r="79" spans="1:10" s="129" customFormat="1">
      <c r="A79" s="750" t="e">
        <f>#REF!</f>
        <v>#REF!</v>
      </c>
      <c r="B79" s="677" t="e">
        <f>#REF!</f>
        <v>#REF!</v>
      </c>
      <c r="C79" s="1486" t="e">
        <f>#REF!</f>
        <v>#REF!</v>
      </c>
      <c r="D79" s="738">
        <f>+J79</f>
        <v>440.00000000000006</v>
      </c>
      <c r="E79" s="633" t="e">
        <f>#REF!</f>
        <v>#REF!</v>
      </c>
      <c r="F79" s="655" t="e">
        <f t="shared" ref="F79:F82" si="1">+D79*E79</f>
        <v>#REF!</v>
      </c>
      <c r="G79" s="142"/>
      <c r="H79" s="255">
        <f>20*20</f>
        <v>400</v>
      </c>
      <c r="I79" s="262">
        <v>1.1000000000000001</v>
      </c>
      <c r="J79" s="255">
        <f t="shared" ref="J79:J80" si="2">+H79*I79</f>
        <v>440.00000000000006</v>
      </c>
    </row>
    <row r="80" spans="1:10" s="129" customFormat="1">
      <c r="A80" s="1732" t="e">
        <f>#REF!</f>
        <v>#REF!</v>
      </c>
      <c r="B80" s="1730" t="e">
        <f>#REF!</f>
        <v>#REF!</v>
      </c>
      <c r="C80" s="1733" t="e">
        <f>#REF!</f>
        <v>#REF!</v>
      </c>
      <c r="D80" s="1736">
        <f>+J81</f>
        <v>191.4</v>
      </c>
      <c r="E80" s="1731" t="e">
        <f>#REF!</f>
        <v>#REF!</v>
      </c>
      <c r="F80" s="1734" t="e">
        <f>+D80*E80</f>
        <v>#REF!</v>
      </c>
      <c r="G80" s="142"/>
      <c r="H80" s="255"/>
      <c r="I80" s="262">
        <v>1.1000000000000001</v>
      </c>
      <c r="J80" s="255">
        <f t="shared" si="2"/>
        <v>0</v>
      </c>
    </row>
    <row r="81" spans="1:12" s="129" customFormat="1">
      <c r="A81" s="750" t="e">
        <f>#REF!</f>
        <v>#REF!</v>
      </c>
      <c r="B81" s="677" t="e">
        <f>#REF!</f>
        <v>#REF!</v>
      </c>
      <c r="C81" s="1486" t="e">
        <f>#REF!</f>
        <v>#REF!</v>
      </c>
      <c r="D81" s="738">
        <f>+J81</f>
        <v>191.4</v>
      </c>
      <c r="E81" s="633" t="e">
        <f>#REF!</f>
        <v>#REF!</v>
      </c>
      <c r="F81" s="655" t="e">
        <f t="shared" si="1"/>
        <v>#REF!</v>
      </c>
      <c r="G81" s="142"/>
      <c r="H81" s="255">
        <f>+I3*2</f>
        <v>174</v>
      </c>
      <c r="I81" s="262">
        <v>1.1000000000000001</v>
      </c>
      <c r="J81" s="255">
        <f>+H81*I81</f>
        <v>191.4</v>
      </c>
    </row>
    <row r="82" spans="1:12" s="129" customFormat="1">
      <c r="A82" s="755" t="e">
        <f>#REF!</f>
        <v>#REF!</v>
      </c>
      <c r="B82" s="678" t="e">
        <f>#REF!</f>
        <v>#REF!</v>
      </c>
      <c r="C82" s="1486"/>
      <c r="D82" s="738"/>
      <c r="E82" s="633"/>
      <c r="F82" s="655">
        <f t="shared" si="1"/>
        <v>0</v>
      </c>
      <c r="G82" s="142"/>
      <c r="H82" s="255"/>
      <c r="I82" s="262"/>
      <c r="J82" s="255"/>
    </row>
    <row r="83" spans="1:12" s="129" customFormat="1">
      <c r="A83" s="750" t="e">
        <f>#REF!</f>
        <v>#REF!</v>
      </c>
      <c r="B83" s="677" t="e">
        <f>#REF!</f>
        <v>#REF!</v>
      </c>
      <c r="C83" s="1486" t="e">
        <f>#REF!</f>
        <v>#REF!</v>
      </c>
      <c r="D83" s="738">
        <f>+D79</f>
        <v>440.00000000000006</v>
      </c>
      <c r="E83" s="633" t="e">
        <f>#REF!</f>
        <v>#REF!</v>
      </c>
      <c r="F83" s="655" t="e">
        <f>+D83*E83</f>
        <v>#REF!</v>
      </c>
      <c r="G83" s="142"/>
      <c r="H83" s="255">
        <f>2*I3</f>
        <v>174</v>
      </c>
      <c r="I83" s="262">
        <f>1.1</f>
        <v>1.1000000000000001</v>
      </c>
      <c r="J83" s="255">
        <f>H83*I83</f>
        <v>191.4</v>
      </c>
    </row>
    <row r="84" spans="1:12" s="129" customFormat="1">
      <c r="A84" s="1732" t="e">
        <f>#REF!</f>
        <v>#REF!</v>
      </c>
      <c r="B84" s="1730" t="e">
        <f>#REF!</f>
        <v>#REF!</v>
      </c>
      <c r="C84" s="1733" t="e">
        <f>#REF!</f>
        <v>#REF!</v>
      </c>
      <c r="D84" s="738">
        <f t="shared" ref="D84:D85" si="3">+D80</f>
        <v>191.4</v>
      </c>
      <c r="E84" s="1731" t="e">
        <f>#REF!</f>
        <v>#REF!</v>
      </c>
      <c r="F84" s="1734" t="e">
        <f>+D84*E84</f>
        <v>#REF!</v>
      </c>
      <c r="G84" s="142"/>
      <c r="H84" s="255">
        <f>2*I3</f>
        <v>174</v>
      </c>
      <c r="I84" s="262">
        <f>1.1</f>
        <v>1.1000000000000001</v>
      </c>
      <c r="J84" s="255">
        <f>H84*I84</f>
        <v>191.4</v>
      </c>
    </row>
    <row r="85" spans="1:12" s="129" customFormat="1">
      <c r="A85" s="751" t="e">
        <f>#REF!</f>
        <v>#REF!</v>
      </c>
      <c r="B85" s="753" t="e">
        <f>#REF!</f>
        <v>#REF!</v>
      </c>
      <c r="C85" s="1482" t="e">
        <f>#REF!</f>
        <v>#REF!</v>
      </c>
      <c r="D85" s="738">
        <f t="shared" si="3"/>
        <v>191.4</v>
      </c>
      <c r="E85" s="527" t="e">
        <f>#REF!</f>
        <v>#REF!</v>
      </c>
      <c r="F85" s="741" t="e">
        <f>+D85*E85</f>
        <v>#REF!</v>
      </c>
      <c r="G85" s="142"/>
      <c r="H85" s="255">
        <f>H83</f>
        <v>174</v>
      </c>
      <c r="I85" s="262">
        <f>1.1</f>
        <v>1.1000000000000001</v>
      </c>
      <c r="J85" s="255">
        <f>H85*I85</f>
        <v>191.4</v>
      </c>
    </row>
    <row r="86" spans="1:12" s="129" customFormat="1" ht="30" customHeight="1">
      <c r="A86" s="689" t="e">
        <f>#REF!</f>
        <v>#REF!</v>
      </c>
      <c r="B86" s="782" t="e">
        <f>#REF!</f>
        <v>#REF!</v>
      </c>
      <c r="C86" s="1487"/>
      <c r="D86" s="739"/>
      <c r="E86" s="641"/>
      <c r="F86" s="740"/>
      <c r="G86" s="142"/>
      <c r="H86" s="255"/>
      <c r="I86" s="262"/>
      <c r="J86" s="255"/>
    </row>
    <row r="87" spans="1:12" s="129" customFormat="1">
      <c r="A87" s="755" t="e">
        <f>#REF!</f>
        <v>#REF!</v>
      </c>
      <c r="B87" s="754" t="e">
        <f>#REF!</f>
        <v>#REF!</v>
      </c>
      <c r="C87" s="1486"/>
      <c r="D87" s="738"/>
      <c r="E87" s="633"/>
      <c r="F87" s="655"/>
      <c r="G87" s="142"/>
      <c r="H87" s="255"/>
      <c r="I87" s="262"/>
      <c r="J87" s="255"/>
    </row>
    <row r="88" spans="1:12" s="129" customFormat="1">
      <c r="A88" s="750" t="e">
        <f>#REF!</f>
        <v>#REF!</v>
      </c>
      <c r="B88" s="729" t="e">
        <f>#REF!</f>
        <v>#REF!</v>
      </c>
      <c r="C88" s="1486" t="e">
        <f>#REF!</f>
        <v>#REF!</v>
      </c>
      <c r="D88" s="738"/>
      <c r="E88" s="633" t="e">
        <f>#REF!</f>
        <v>#REF!</v>
      </c>
      <c r="F88" s="655"/>
      <c r="G88" s="142"/>
      <c r="H88" s="255"/>
      <c r="I88" s="262"/>
      <c r="J88" s="255"/>
    </row>
    <row r="89" spans="1:12" s="129" customFormat="1">
      <c r="A89" s="750" t="e">
        <f>#REF!</f>
        <v>#REF!</v>
      </c>
      <c r="B89" s="729" t="e">
        <f>#REF!</f>
        <v>#REF!</v>
      </c>
      <c r="C89" s="1486" t="e">
        <f>#REF!</f>
        <v>#REF!</v>
      </c>
      <c r="D89" s="738"/>
      <c r="E89" s="633" t="e">
        <f>#REF!</f>
        <v>#REF!</v>
      </c>
      <c r="F89" s="655"/>
      <c r="G89" s="142"/>
      <c r="H89" s="255"/>
      <c r="I89" s="262"/>
      <c r="J89" s="255"/>
    </row>
    <row r="90" spans="1:12" s="129" customFormat="1">
      <c r="A90" s="755" t="e">
        <f>#REF!</f>
        <v>#REF!</v>
      </c>
      <c r="B90" s="754" t="e">
        <f>#REF!</f>
        <v>#REF!</v>
      </c>
      <c r="C90" s="1486"/>
      <c r="D90" s="738"/>
      <c r="E90" s="633"/>
      <c r="F90" s="655"/>
      <c r="G90" s="142"/>
      <c r="H90" s="255"/>
      <c r="I90" s="262"/>
      <c r="J90" s="255"/>
    </row>
    <row r="91" spans="1:12" s="129" customFormat="1">
      <c r="A91" s="750" t="e">
        <f>#REF!</f>
        <v>#REF!</v>
      </c>
      <c r="B91" s="729" t="e">
        <f>#REF!</f>
        <v>#REF!</v>
      </c>
      <c r="C91" s="1486" t="e">
        <f>#REF!</f>
        <v>#REF!</v>
      </c>
      <c r="D91" s="738"/>
      <c r="E91" s="633" t="e">
        <f>#REF!</f>
        <v>#REF!</v>
      </c>
      <c r="F91" s="655"/>
      <c r="G91" s="142"/>
      <c r="H91" s="255"/>
      <c r="I91" s="262"/>
      <c r="J91" s="255"/>
    </row>
    <row r="92" spans="1:12" s="129" customFormat="1">
      <c r="A92" s="751" t="e">
        <f>#REF!</f>
        <v>#REF!</v>
      </c>
      <c r="B92" s="708" t="e">
        <f>#REF!</f>
        <v>#REF!</v>
      </c>
      <c r="C92" s="1482" t="e">
        <f>#REF!</f>
        <v>#REF!</v>
      </c>
      <c r="D92" s="1415"/>
      <c r="E92" s="527" t="e">
        <f>#REF!</f>
        <v>#REF!</v>
      </c>
      <c r="F92" s="741"/>
      <c r="G92" s="142"/>
      <c r="H92" s="255"/>
      <c r="I92" s="262"/>
      <c r="J92" s="255"/>
    </row>
    <row r="93" spans="1:12" s="129" customFormat="1" ht="18.75">
      <c r="A93" s="709"/>
      <c r="B93" s="460"/>
      <c r="C93" s="686"/>
      <c r="D93" s="635"/>
      <c r="E93" s="636" t="s">
        <v>109</v>
      </c>
      <c r="F93" s="1122" t="e">
        <f>SUM(F60:F85)</f>
        <v>#REF!</v>
      </c>
      <c r="G93" s="142"/>
      <c r="H93" s="255"/>
      <c r="I93" s="262"/>
      <c r="J93" s="255"/>
    </row>
    <row r="94" spans="1:12" s="129" customFormat="1" ht="15" customHeight="1">
      <c r="A94" s="406"/>
      <c r="B94" s="12"/>
      <c r="C94" s="51"/>
      <c r="D94" s="76"/>
      <c r="E94" s="91"/>
      <c r="F94" s="91"/>
      <c r="G94" s="142"/>
      <c r="H94" s="255"/>
      <c r="I94" s="262"/>
      <c r="J94" s="262">
        <f>4.82*2.4*1.46</f>
        <v>16.889279999999999</v>
      </c>
      <c r="L94" s="129">
        <f>5.9/2</f>
        <v>2.95</v>
      </c>
    </row>
    <row r="95" spans="1:12" s="129" customFormat="1" ht="24.95" customHeight="1">
      <c r="A95" s="1972" t="e">
        <f>#REF!</f>
        <v>#REF!</v>
      </c>
      <c r="B95" s="1973"/>
      <c r="C95" s="1973"/>
      <c r="D95" s="1973"/>
      <c r="E95" s="1973"/>
      <c r="F95" s="1974"/>
      <c r="G95" s="142"/>
      <c r="H95" s="255"/>
      <c r="I95" s="262"/>
      <c r="J95" s="255"/>
      <c r="L95" s="129">
        <f>2.95*2</f>
        <v>5.9</v>
      </c>
    </row>
    <row r="96" spans="1:12" s="1257" customFormat="1">
      <c r="A96" s="745" t="e">
        <f>#REF!</f>
        <v>#REF!</v>
      </c>
      <c r="B96" s="830" t="e">
        <f>#REF!</f>
        <v>#REF!</v>
      </c>
      <c r="C96" s="1478"/>
      <c r="D96" s="742"/>
      <c r="E96" s="641"/>
      <c r="F96" s="740"/>
      <c r="G96" s="500"/>
      <c r="H96" s="1254"/>
      <c r="I96" s="1256"/>
      <c r="J96" s="1254"/>
      <c r="L96" s="1257">
        <v>6.1</v>
      </c>
    </row>
    <row r="97" spans="1:12" s="1257" customFormat="1">
      <c r="A97" s="639"/>
      <c r="B97" s="681"/>
      <c r="C97" s="1523" t="e">
        <f>#REF!</f>
        <v>#REF!</v>
      </c>
      <c r="D97" s="1414">
        <f>J97</f>
        <v>5667.2000000000007</v>
      </c>
      <c r="E97" s="527" t="e">
        <f>#REF!</f>
        <v>#REF!</v>
      </c>
      <c r="F97" s="741" t="e">
        <f>+D97*E97</f>
        <v>#REF!</v>
      </c>
      <c r="G97" s="500"/>
      <c r="H97" s="1450">
        <f>(2+0.2*3+0.1*2+0.6*2)*(1.5+0.1+0.2+0.2)*F3+8*(1+0.2*2+0.1*2+0.4*2)*(1+0.1+0.2+0.2)*20*2</f>
        <v>5152</v>
      </c>
      <c r="I97" s="1256">
        <v>1.1000000000000001</v>
      </c>
      <c r="J97" s="1254">
        <f>H97*I97</f>
        <v>5667.2000000000007</v>
      </c>
      <c r="L97" s="1257">
        <f>2*9</f>
        <v>18</v>
      </c>
    </row>
    <row r="98" spans="1:12" s="1257" customFormat="1">
      <c r="A98" s="745" t="e">
        <f>#REF!</f>
        <v>#REF!</v>
      </c>
      <c r="B98" s="830" t="e">
        <f>#REF!</f>
        <v>#REF!</v>
      </c>
      <c r="C98" s="1396"/>
      <c r="D98" s="1488"/>
      <c r="E98" s="641"/>
      <c r="F98" s="1489"/>
      <c r="G98" s="500"/>
      <c r="H98" s="1254"/>
      <c r="I98" s="1256"/>
      <c r="J98" s="1254"/>
      <c r="L98" s="1257">
        <f>2*2</f>
        <v>4</v>
      </c>
    </row>
    <row r="99" spans="1:12" s="1257" customFormat="1">
      <c r="A99" s="1432"/>
      <c r="B99" s="680"/>
      <c r="C99" s="1523" t="e">
        <f>#REF!</f>
        <v>#REF!</v>
      </c>
      <c r="D99" s="1414">
        <f>J99</f>
        <v>1034</v>
      </c>
      <c r="E99" s="527" t="e">
        <f>#REF!</f>
        <v>#REF!</v>
      </c>
      <c r="F99" s="741" t="e">
        <f>+D99*E99</f>
        <v>#REF!</v>
      </c>
      <c r="G99" s="500"/>
      <c r="H99" s="1254">
        <f>(0.7*(1.5+0.1+0.2+0.2)*F3+8*0.5*(1+0.1+0.2+0.2)*20*2)</f>
        <v>940</v>
      </c>
      <c r="I99" s="1256">
        <v>1.1000000000000001</v>
      </c>
      <c r="J99" s="1254">
        <f>H99*I99</f>
        <v>1034</v>
      </c>
      <c r="L99" s="1257">
        <f>2*3</f>
        <v>6</v>
      </c>
    </row>
    <row r="100" spans="1:12" s="1257" customFormat="1">
      <c r="A100" s="689" t="e">
        <f>#REF!</f>
        <v>#REF!</v>
      </c>
      <c r="B100" s="711" t="e">
        <f>#REF!</f>
        <v>#REF!</v>
      </c>
      <c r="C100" s="1478"/>
      <c r="D100" s="742"/>
      <c r="E100" s="641"/>
      <c r="F100" s="740"/>
      <c r="G100" s="500"/>
      <c r="H100" s="1254"/>
      <c r="I100" s="1256"/>
      <c r="J100" s="1254"/>
    </row>
    <row r="101" spans="1:12" s="1257" customFormat="1">
      <c r="A101" s="751"/>
      <c r="B101" s="753"/>
      <c r="C101" s="1523" t="e">
        <f>#REF!</f>
        <v>#REF!</v>
      </c>
      <c r="D101" s="1414">
        <v>50</v>
      </c>
      <c r="E101" s="527" t="e">
        <f>#REF!</f>
        <v>#REF!</v>
      </c>
      <c r="F101" s="741" t="e">
        <f>+D101*E101</f>
        <v>#REF!</v>
      </c>
      <c r="G101" s="500"/>
      <c r="H101" s="1254"/>
      <c r="I101" s="1256"/>
      <c r="J101" s="1254"/>
    </row>
    <row r="102" spans="1:12" s="1257" customFormat="1">
      <c r="A102" s="689" t="e">
        <f>#REF!</f>
        <v>#REF!</v>
      </c>
      <c r="B102" s="711" t="e">
        <f>#REF!</f>
        <v>#REF!</v>
      </c>
      <c r="C102" s="1490"/>
      <c r="D102" s="739"/>
      <c r="E102" s="641"/>
      <c r="F102" s="740"/>
      <c r="G102" s="500"/>
      <c r="H102" s="1254"/>
      <c r="I102" s="1256"/>
      <c r="J102" s="1254"/>
    </row>
    <row r="103" spans="1:12" s="1257" customFormat="1">
      <c r="A103" s="751"/>
      <c r="B103" s="753"/>
      <c r="C103" s="1408" t="e">
        <f>#REF!</f>
        <v>#REF!</v>
      </c>
      <c r="D103" s="733">
        <v>250</v>
      </c>
      <c r="E103" s="527" t="e">
        <f>#REF!</f>
        <v>#REF!</v>
      </c>
      <c r="F103" s="741" t="e">
        <f>+D103*E103</f>
        <v>#REF!</v>
      </c>
      <c r="G103" s="500"/>
      <c r="H103" s="1254"/>
      <c r="I103" s="1256"/>
      <c r="J103" s="1254">
        <f>6.2+2</f>
        <v>8.1999999999999993</v>
      </c>
      <c r="K103" s="1257">
        <f>2</f>
        <v>2</v>
      </c>
    </row>
    <row r="104" spans="1:12" s="1257" customFormat="1">
      <c r="A104" s="689" t="e">
        <f>#REF!</f>
        <v>#REF!</v>
      </c>
      <c r="B104" s="711" t="e">
        <f>#REF!</f>
        <v>#REF!</v>
      </c>
      <c r="C104" s="1490"/>
      <c r="D104" s="739"/>
      <c r="E104" s="641"/>
      <c r="F104" s="740"/>
      <c r="G104" s="500"/>
      <c r="H104" s="1254"/>
      <c r="I104" s="1256"/>
      <c r="J104" s="1254"/>
      <c r="K104" s="1257">
        <f>J103*K103/2</f>
        <v>8.1999999999999993</v>
      </c>
    </row>
    <row r="105" spans="1:12" s="1257" customFormat="1">
      <c r="A105" s="751" t="e">
        <f>#REF!</f>
        <v>#REF!</v>
      </c>
      <c r="B105" s="753" t="e">
        <f>#REF!</f>
        <v>#REF!</v>
      </c>
      <c r="C105" s="1482" t="e">
        <f>#REF!</f>
        <v>#REF!</v>
      </c>
      <c r="D105" s="1415">
        <f>D109*110</f>
        <v>16500</v>
      </c>
      <c r="E105" s="527" t="e">
        <f>#REF!</f>
        <v>#REF!</v>
      </c>
      <c r="F105" s="741" t="e">
        <f>+D105*E105</f>
        <v>#REF!</v>
      </c>
      <c r="G105" s="500"/>
      <c r="H105" s="1254"/>
      <c r="I105" s="1256"/>
      <c r="J105" s="1254"/>
    </row>
    <row r="106" spans="1:12" s="1257" customFormat="1">
      <c r="A106" s="689" t="e">
        <f>#REF!</f>
        <v>#REF!</v>
      </c>
      <c r="B106" s="711" t="e">
        <f>#REF!</f>
        <v>#REF!</v>
      </c>
      <c r="C106" s="1490"/>
      <c r="D106" s="739"/>
      <c r="E106" s="641"/>
      <c r="F106" s="740"/>
      <c r="G106" s="500"/>
      <c r="H106" s="1254"/>
      <c r="I106" s="1256"/>
      <c r="J106" s="1254"/>
    </row>
    <row r="107" spans="1:12" s="1257" customFormat="1">
      <c r="A107" s="751"/>
      <c r="B107" s="753"/>
      <c r="C107" s="1408" t="e">
        <f>#REF!</f>
        <v>#REF!</v>
      </c>
      <c r="D107" s="733">
        <v>70</v>
      </c>
      <c r="E107" s="527" t="e">
        <f>#REF!</f>
        <v>#REF!</v>
      </c>
      <c r="F107" s="741" t="e">
        <f>+D107*E107</f>
        <v>#REF!</v>
      </c>
      <c r="G107" s="500"/>
      <c r="H107" s="1254"/>
      <c r="I107" s="1256">
        <f>15*19</f>
        <v>285</v>
      </c>
      <c r="J107" s="1254"/>
    </row>
    <row r="108" spans="1:12" s="1257" customFormat="1">
      <c r="A108" s="689" t="e">
        <f>#REF!</f>
        <v>#REF!</v>
      </c>
      <c r="B108" s="711" t="e">
        <f>#REF!</f>
        <v>#REF!</v>
      </c>
      <c r="C108" s="1490"/>
      <c r="D108" s="739"/>
      <c r="E108" s="641"/>
      <c r="F108" s="740"/>
      <c r="G108" s="500"/>
      <c r="H108" s="1254"/>
      <c r="I108" s="1256"/>
      <c r="J108" s="1254"/>
    </row>
    <row r="109" spans="1:12" s="1257" customFormat="1">
      <c r="A109" s="751"/>
      <c r="B109" s="753"/>
      <c r="C109" s="1408" t="e">
        <f>#REF!</f>
        <v>#REF!</v>
      </c>
      <c r="D109" s="733">
        <v>150</v>
      </c>
      <c r="E109" s="527" t="e">
        <f>#REF!</f>
        <v>#REF!</v>
      </c>
      <c r="F109" s="741" t="e">
        <f>+D109*E109</f>
        <v>#REF!</v>
      </c>
      <c r="G109" s="500"/>
      <c r="H109" s="1254"/>
      <c r="I109" s="1256"/>
      <c r="J109" s="1254"/>
    </row>
    <row r="110" spans="1:12" s="1257" customFormat="1" ht="30" customHeight="1">
      <c r="A110" s="689" t="e">
        <f>#REF!</f>
        <v>#REF!</v>
      </c>
      <c r="B110" s="1270" t="e">
        <f>#REF!</f>
        <v>#REF!</v>
      </c>
      <c r="C110" s="1490"/>
      <c r="D110" s="739"/>
      <c r="E110" s="641"/>
      <c r="F110" s="740"/>
      <c r="G110" s="500"/>
      <c r="H110" s="1254"/>
      <c r="I110" s="1256"/>
      <c r="J110" s="1254"/>
    </row>
    <row r="111" spans="1:12" s="1257" customFormat="1">
      <c r="A111" s="750" t="e">
        <f>#REF!</f>
        <v>#REF!</v>
      </c>
      <c r="B111" s="677" t="e">
        <f>#REF!</f>
        <v>#REF!</v>
      </c>
      <c r="C111" s="1485" t="e">
        <f>#REF!</f>
        <v>#REF!</v>
      </c>
      <c r="D111" s="738">
        <f>J111</f>
        <v>177.93050000000005</v>
      </c>
      <c r="E111" s="633" t="e">
        <f>#REF!</f>
        <v>#REF!</v>
      </c>
      <c r="F111" s="655" t="e">
        <f>+D111*E111</f>
        <v>#REF!</v>
      </c>
      <c r="G111" s="500"/>
      <c r="H111" s="1254">
        <f>10%*J47*1.1</f>
        <v>161.75500000000002</v>
      </c>
      <c r="I111" s="1256">
        <v>1.1000000000000001</v>
      </c>
      <c r="J111" s="1254">
        <f>H111*I111</f>
        <v>177.93050000000005</v>
      </c>
    </row>
    <row r="112" spans="1:12" s="1257" customFormat="1">
      <c r="A112" s="751" t="e">
        <f>#REF!</f>
        <v>#REF!</v>
      </c>
      <c r="B112" s="753" t="e">
        <f>#REF!</f>
        <v>#REF!</v>
      </c>
      <c r="C112" s="1408" t="e">
        <f>#REF!</f>
        <v>#REF!</v>
      </c>
      <c r="D112" s="1415">
        <f>J112</f>
        <v>35.586100000000009</v>
      </c>
      <c r="E112" s="527" t="e">
        <f>#REF!</f>
        <v>#REF!</v>
      </c>
      <c r="F112" s="741" t="e">
        <f>+D112*E112</f>
        <v>#REF!</v>
      </c>
      <c r="G112" s="500"/>
      <c r="H112" s="1254">
        <f>2%*J47*1.1</f>
        <v>32.351000000000006</v>
      </c>
      <c r="I112" s="1256">
        <v>1.1000000000000001</v>
      </c>
      <c r="J112" s="1254">
        <f>H112*I112</f>
        <v>35.586100000000009</v>
      </c>
      <c r="L112" s="1460"/>
    </row>
    <row r="113" spans="1:189" s="1451" customFormat="1">
      <c r="A113" s="689" t="e">
        <f>+#REF!</f>
        <v>#REF!</v>
      </c>
      <c r="B113" s="711" t="e">
        <f>+#REF!</f>
        <v>#REF!</v>
      </c>
      <c r="C113" s="1407"/>
      <c r="D113" s="1416"/>
      <c r="E113" s="641"/>
      <c r="F113" s="740"/>
      <c r="H113" s="1452"/>
      <c r="I113" s="1453"/>
      <c r="J113" s="1452"/>
      <c r="K113" s="1454"/>
      <c r="L113" s="1454"/>
      <c r="M113" s="1454"/>
      <c r="N113" s="1454"/>
      <c r="O113" s="1454"/>
      <c r="P113" s="1454"/>
      <c r="Q113" s="1454"/>
      <c r="R113" s="1454"/>
      <c r="S113" s="1454"/>
      <c r="T113" s="1454"/>
      <c r="U113" s="1454"/>
      <c r="V113" s="1454"/>
      <c r="W113" s="1454"/>
      <c r="X113" s="1454"/>
      <c r="Y113" s="1454"/>
      <c r="Z113" s="1454"/>
      <c r="AA113" s="1454"/>
      <c r="AB113" s="1454"/>
      <c r="AC113" s="1454"/>
      <c r="AD113" s="1454"/>
      <c r="AE113" s="1454"/>
      <c r="AF113" s="1454"/>
      <c r="AG113" s="1454"/>
      <c r="AH113" s="1454"/>
      <c r="AI113" s="1454"/>
      <c r="AJ113" s="1454"/>
      <c r="AK113" s="1454"/>
      <c r="AL113" s="1454"/>
      <c r="AM113" s="1454"/>
      <c r="AN113" s="1454"/>
      <c r="AO113" s="1454"/>
      <c r="AP113" s="1454"/>
      <c r="AQ113" s="1454"/>
      <c r="AR113" s="1454"/>
      <c r="AS113" s="1454"/>
      <c r="AT113" s="1454"/>
      <c r="AU113" s="1454"/>
      <c r="AV113" s="1454"/>
      <c r="AW113" s="1454"/>
      <c r="AX113" s="1454"/>
      <c r="AY113" s="1454"/>
      <c r="AZ113" s="1454"/>
      <c r="BA113" s="1454"/>
      <c r="BB113" s="1454"/>
      <c r="BC113" s="1454"/>
      <c r="BD113" s="1454"/>
      <c r="BE113" s="1454"/>
      <c r="BF113" s="1454"/>
      <c r="BG113" s="1454"/>
      <c r="BH113" s="1454"/>
      <c r="BI113" s="1454"/>
      <c r="BJ113" s="1454"/>
      <c r="BK113" s="1454"/>
      <c r="BL113" s="1454"/>
      <c r="BM113" s="1454"/>
      <c r="BN113" s="1454"/>
      <c r="BO113" s="1454"/>
      <c r="BP113" s="1454"/>
      <c r="BQ113" s="1454"/>
      <c r="BR113" s="1454"/>
      <c r="BS113" s="1454"/>
      <c r="BT113" s="1454"/>
      <c r="BU113" s="1454"/>
      <c r="BV113" s="1454"/>
      <c r="BW113" s="1454"/>
      <c r="BX113" s="1454"/>
      <c r="BY113" s="1454"/>
      <c r="BZ113" s="1454"/>
      <c r="CA113" s="1454"/>
      <c r="CB113" s="1454"/>
      <c r="CC113" s="1454"/>
      <c r="CD113" s="1454"/>
      <c r="CE113" s="1454"/>
      <c r="CF113" s="1454"/>
      <c r="CG113" s="1454"/>
      <c r="CH113" s="1454"/>
      <c r="CI113" s="1454"/>
      <c r="CJ113" s="1454"/>
      <c r="CK113" s="1454"/>
      <c r="CL113" s="1454"/>
      <c r="CM113" s="1454"/>
      <c r="CN113" s="1454"/>
      <c r="CO113" s="1454"/>
      <c r="CP113" s="1454"/>
      <c r="CQ113" s="1454"/>
      <c r="CR113" s="1454"/>
      <c r="CS113" s="1454"/>
      <c r="CT113" s="1454"/>
      <c r="CU113" s="1454"/>
      <c r="CV113" s="1454"/>
      <c r="CW113" s="1454"/>
      <c r="CX113" s="1454"/>
      <c r="CY113" s="1454"/>
      <c r="CZ113" s="1454"/>
      <c r="DA113" s="1454"/>
      <c r="DB113" s="1454"/>
      <c r="DC113" s="1454"/>
      <c r="DD113" s="1454"/>
      <c r="DE113" s="1454"/>
      <c r="DF113" s="1454"/>
      <c r="DG113" s="1454"/>
      <c r="DH113" s="1454"/>
      <c r="DI113" s="1454"/>
      <c r="DJ113" s="1454"/>
      <c r="DK113" s="1454"/>
      <c r="DL113" s="1454"/>
      <c r="DM113" s="1454"/>
      <c r="DN113" s="1454"/>
      <c r="DO113" s="1454"/>
      <c r="DP113" s="1454"/>
      <c r="DQ113" s="1454"/>
      <c r="DR113" s="1454"/>
      <c r="DS113" s="1454"/>
      <c r="DT113" s="1454"/>
      <c r="DU113" s="1454"/>
      <c r="DV113" s="1454"/>
      <c r="DW113" s="1454"/>
      <c r="DX113" s="1454"/>
      <c r="DY113" s="1454"/>
      <c r="DZ113" s="1454"/>
      <c r="EA113" s="1454"/>
      <c r="EB113" s="1454"/>
      <c r="EC113" s="1454"/>
      <c r="ED113" s="1454"/>
      <c r="EE113" s="1454"/>
      <c r="EF113" s="1454"/>
      <c r="EG113" s="1454"/>
      <c r="EH113" s="1454"/>
      <c r="EI113" s="1454"/>
      <c r="EJ113" s="1454"/>
      <c r="EK113" s="1454"/>
      <c r="EL113" s="1454"/>
      <c r="EM113" s="1454"/>
      <c r="EN113" s="1454"/>
      <c r="EO113" s="1454"/>
      <c r="EP113" s="1454"/>
      <c r="EQ113" s="1454"/>
      <c r="ER113" s="1454"/>
      <c r="ES113" s="1454"/>
      <c r="ET113" s="1454"/>
      <c r="EU113" s="1454"/>
      <c r="EV113" s="1454"/>
      <c r="EW113" s="1454"/>
      <c r="EX113" s="1454"/>
      <c r="EY113" s="1454"/>
      <c r="EZ113" s="1454"/>
      <c r="FA113" s="1454"/>
      <c r="FB113" s="1454"/>
      <c r="FC113" s="1454"/>
      <c r="FD113" s="1454"/>
      <c r="FE113" s="1454"/>
      <c r="FF113" s="1454"/>
      <c r="FG113" s="1454"/>
      <c r="FH113" s="1454"/>
      <c r="FI113" s="1454"/>
      <c r="FJ113" s="1454"/>
      <c r="FK113" s="1454"/>
      <c r="FL113" s="1454"/>
      <c r="FM113" s="1454"/>
      <c r="FN113" s="1454"/>
      <c r="FO113" s="1454"/>
      <c r="FP113" s="1454"/>
      <c r="FQ113" s="1454"/>
      <c r="FR113" s="1454"/>
      <c r="FS113" s="1454"/>
      <c r="FT113" s="1454"/>
      <c r="FU113" s="1454"/>
      <c r="FV113" s="1454"/>
      <c r="FW113" s="1454"/>
      <c r="FX113" s="1454"/>
      <c r="FY113" s="1454"/>
      <c r="FZ113" s="1454"/>
      <c r="GA113" s="1454"/>
      <c r="GB113" s="1454"/>
      <c r="GC113" s="1454"/>
      <c r="GD113" s="1454"/>
      <c r="GE113" s="1454"/>
      <c r="GF113" s="1454"/>
      <c r="GG113" s="1454"/>
    </row>
    <row r="114" spans="1:189" s="944" customFormat="1">
      <c r="A114" s="638" t="e">
        <f>+#REF!</f>
        <v>#REF!</v>
      </c>
      <c r="B114" s="749" t="e">
        <f>+#REF!</f>
        <v>#REF!</v>
      </c>
      <c r="C114" s="1522" t="e">
        <f>#REF!</f>
        <v>#REF!</v>
      </c>
      <c r="D114" s="1456">
        <f>+J114</f>
        <v>191.4</v>
      </c>
      <c r="E114" s="650" t="e">
        <f>+#REF!</f>
        <v>#REF!</v>
      </c>
      <c r="F114" s="962" t="e">
        <f>+D114*E114</f>
        <v>#REF!</v>
      </c>
      <c r="G114" s="1701" t="e">
        <f>SUM(F114)</f>
        <v>#REF!</v>
      </c>
      <c r="H114" s="1446">
        <f>87*2</f>
        <v>174</v>
      </c>
      <c r="I114" s="1447">
        <v>1.1000000000000001</v>
      </c>
      <c r="J114" s="1446">
        <f>H114*I114</f>
        <v>191.4</v>
      </c>
    </row>
    <row r="115" spans="1:189" s="944" customFormat="1">
      <c r="A115" s="745" t="e">
        <f>+#REF!</f>
        <v>#REF!</v>
      </c>
      <c r="B115" s="830" t="e">
        <f>+#REF!</f>
        <v>#REF!</v>
      </c>
      <c r="C115" s="1264"/>
      <c r="D115" s="1484"/>
      <c r="E115" s="544"/>
      <c r="F115" s="1136"/>
      <c r="H115" s="1446"/>
      <c r="I115" s="1447"/>
      <c r="J115" s="1446">
        <f>H115*I115</f>
        <v>0</v>
      </c>
    </row>
    <row r="116" spans="1:189" s="944" customFormat="1">
      <c r="A116" s="638" t="e">
        <f>+#REF!</f>
        <v>#REF!</v>
      </c>
      <c r="B116" s="749" t="e">
        <f>+#REF!</f>
        <v>#REF!</v>
      </c>
      <c r="C116" s="1522" t="e">
        <f>#REF!</f>
        <v>#REF!</v>
      </c>
      <c r="D116" s="1456">
        <f>J116</f>
        <v>147</v>
      </c>
      <c r="E116" s="650" t="e">
        <f>#REF!</f>
        <v>#REF!</v>
      </c>
      <c r="F116" s="962" t="e">
        <f>+D116*E116</f>
        <v>#REF!</v>
      </c>
      <c r="H116" s="1446">
        <f>40+20*5</f>
        <v>140</v>
      </c>
      <c r="I116" s="1447">
        <v>1.05</v>
      </c>
      <c r="J116" s="1446">
        <f>H116*I116</f>
        <v>147</v>
      </c>
    </row>
    <row r="117" spans="1:189" s="944" customFormat="1">
      <c r="A117" s="639" t="e">
        <f>+#REF!</f>
        <v>#REF!</v>
      </c>
      <c r="B117" s="681" t="e">
        <f>+#REF!</f>
        <v>#REF!</v>
      </c>
      <c r="C117" s="1523" t="e">
        <f>#REF!</f>
        <v>#REF!</v>
      </c>
      <c r="D117" s="1414">
        <f>+J117</f>
        <v>526.05000000000007</v>
      </c>
      <c r="E117" s="547" t="e">
        <f>+#REF!</f>
        <v>#REF!</v>
      </c>
      <c r="F117" s="963" t="e">
        <f>+D117*E117</f>
        <v>#REF!</v>
      </c>
      <c r="G117" s="1701" t="e">
        <f>SUM(F116:F117)</f>
        <v>#REF!</v>
      </c>
      <c r="H117" s="1446">
        <v>501</v>
      </c>
      <c r="I117" s="1447">
        <v>1.05</v>
      </c>
      <c r="J117" s="1446">
        <f>H117*I117</f>
        <v>526.05000000000007</v>
      </c>
    </row>
    <row r="118" spans="1:189" s="1462" customFormat="1">
      <c r="A118" s="689" t="e">
        <f>#REF!</f>
        <v>#REF!</v>
      </c>
      <c r="B118" s="711" t="e">
        <f>#REF!</f>
        <v>#REF!</v>
      </c>
      <c r="C118" s="1407"/>
      <c r="D118" s="1416"/>
      <c r="E118" s="641"/>
      <c r="F118" s="740"/>
      <c r="G118" s="1451"/>
      <c r="H118" s="1452"/>
      <c r="I118" s="1453"/>
      <c r="J118" s="1452"/>
      <c r="K118" s="1461"/>
      <c r="L118" s="1461"/>
      <c r="M118" s="1461"/>
      <c r="N118" s="1461"/>
      <c r="O118" s="1461"/>
      <c r="P118" s="1461"/>
      <c r="Q118" s="1461"/>
      <c r="R118" s="1461"/>
      <c r="S118" s="1461"/>
      <c r="T118" s="1461"/>
      <c r="U118" s="1461"/>
      <c r="V118" s="1461"/>
      <c r="W118" s="1461"/>
      <c r="X118" s="1461"/>
      <c r="Y118" s="1461"/>
      <c r="Z118" s="1461"/>
      <c r="AA118" s="1461"/>
      <c r="AB118" s="1461"/>
      <c r="AC118" s="1461"/>
      <c r="AD118" s="1461"/>
      <c r="AE118" s="1461"/>
      <c r="AF118" s="1461"/>
      <c r="AG118" s="1461"/>
      <c r="AH118" s="1461"/>
      <c r="AI118" s="1461"/>
      <c r="AJ118" s="1461"/>
      <c r="AK118" s="1461"/>
      <c r="AL118" s="1461"/>
      <c r="AM118" s="1461"/>
      <c r="AN118" s="1461"/>
      <c r="AO118" s="1461"/>
      <c r="AP118" s="1461"/>
      <c r="AQ118" s="1461"/>
      <c r="AR118" s="1461"/>
      <c r="AS118" s="1461"/>
      <c r="AT118" s="1461"/>
      <c r="AU118" s="1461"/>
      <c r="AV118" s="1461"/>
      <c r="AW118" s="1461"/>
      <c r="AX118" s="1461"/>
      <c r="AY118" s="1461"/>
      <c r="AZ118" s="1461"/>
      <c r="BA118" s="1461"/>
      <c r="BB118" s="1461"/>
      <c r="BC118" s="1461"/>
      <c r="BD118" s="1461"/>
      <c r="BE118" s="1461"/>
      <c r="BF118" s="1461"/>
      <c r="BG118" s="1461"/>
      <c r="BH118" s="1461"/>
      <c r="BI118" s="1461"/>
      <c r="BJ118" s="1461"/>
      <c r="BK118" s="1461"/>
      <c r="BL118" s="1461"/>
      <c r="BM118" s="1461"/>
      <c r="BN118" s="1461"/>
      <c r="BO118" s="1461"/>
      <c r="BP118" s="1461"/>
      <c r="BQ118" s="1461"/>
      <c r="BR118" s="1461"/>
      <c r="BS118" s="1461"/>
      <c r="BT118" s="1461"/>
      <c r="BU118" s="1461"/>
      <c r="BV118" s="1461"/>
      <c r="BW118" s="1461"/>
      <c r="BX118" s="1461"/>
      <c r="BY118" s="1461"/>
      <c r="BZ118" s="1461"/>
      <c r="CA118" s="1461"/>
      <c r="CB118" s="1461"/>
      <c r="CC118" s="1461"/>
      <c r="CD118" s="1461"/>
      <c r="CE118" s="1461"/>
      <c r="CF118" s="1461"/>
      <c r="CG118" s="1461"/>
      <c r="CH118" s="1461"/>
      <c r="CI118" s="1461"/>
      <c r="CJ118" s="1461"/>
      <c r="CK118" s="1461"/>
      <c r="CL118" s="1461"/>
      <c r="CM118" s="1461"/>
      <c r="CN118" s="1461"/>
      <c r="CO118" s="1461"/>
      <c r="CP118" s="1461"/>
      <c r="CQ118" s="1461"/>
      <c r="CR118" s="1461"/>
      <c r="CS118" s="1461"/>
      <c r="CT118" s="1461"/>
      <c r="CU118" s="1461"/>
      <c r="CV118" s="1461"/>
      <c r="CW118" s="1461"/>
      <c r="CX118" s="1461"/>
      <c r="CY118" s="1461"/>
      <c r="CZ118" s="1461"/>
      <c r="DA118" s="1461"/>
      <c r="DB118" s="1461"/>
      <c r="DC118" s="1461"/>
      <c r="DD118" s="1461"/>
      <c r="DE118" s="1461"/>
      <c r="DF118" s="1461"/>
      <c r="DG118" s="1461"/>
      <c r="DH118" s="1461"/>
      <c r="DI118" s="1461"/>
      <c r="DJ118" s="1461"/>
      <c r="DK118" s="1461"/>
      <c r="DL118" s="1461"/>
      <c r="DM118" s="1461"/>
      <c r="DN118" s="1461"/>
      <c r="DO118" s="1461"/>
      <c r="DP118" s="1461"/>
      <c r="DQ118" s="1461"/>
      <c r="DR118" s="1461"/>
      <c r="DS118" s="1461"/>
      <c r="DT118" s="1461"/>
      <c r="DU118" s="1461"/>
      <c r="DV118" s="1461"/>
      <c r="DW118" s="1461"/>
      <c r="DX118" s="1461"/>
      <c r="DY118" s="1461"/>
      <c r="DZ118" s="1461"/>
      <c r="EA118" s="1461"/>
      <c r="EB118" s="1461"/>
      <c r="EC118" s="1461"/>
      <c r="ED118" s="1461"/>
      <c r="EE118" s="1461"/>
      <c r="EF118" s="1461"/>
      <c r="EG118" s="1461"/>
      <c r="EH118" s="1461"/>
      <c r="EI118" s="1461"/>
      <c r="EJ118" s="1461"/>
      <c r="EK118" s="1461"/>
      <c r="EL118" s="1461"/>
      <c r="EM118" s="1461"/>
      <c r="EN118" s="1461"/>
      <c r="EO118" s="1461"/>
      <c r="EP118" s="1461"/>
      <c r="EQ118" s="1461"/>
      <c r="ER118" s="1461"/>
      <c r="ES118" s="1461"/>
      <c r="ET118" s="1461"/>
      <c r="EU118" s="1461"/>
      <c r="EV118" s="1461"/>
      <c r="EW118" s="1461"/>
      <c r="EX118" s="1461"/>
      <c r="EY118" s="1461"/>
      <c r="EZ118" s="1461"/>
      <c r="FA118" s="1461"/>
      <c r="FB118" s="1461"/>
      <c r="FC118" s="1461"/>
      <c r="FD118" s="1461"/>
      <c r="FE118" s="1461"/>
      <c r="FF118" s="1461"/>
      <c r="FG118" s="1461"/>
      <c r="FH118" s="1461"/>
      <c r="FI118" s="1461"/>
      <c r="FJ118" s="1461"/>
      <c r="FK118" s="1461"/>
      <c r="FL118" s="1461"/>
      <c r="FM118" s="1461"/>
      <c r="FN118" s="1461"/>
      <c r="FO118" s="1461"/>
      <c r="FP118" s="1461"/>
      <c r="FQ118" s="1461"/>
      <c r="FR118" s="1461"/>
      <c r="FS118" s="1461"/>
      <c r="FT118" s="1461"/>
      <c r="FU118" s="1461"/>
      <c r="FV118" s="1461"/>
      <c r="FW118" s="1461"/>
      <c r="FX118" s="1461"/>
      <c r="FY118" s="1461"/>
      <c r="FZ118" s="1461"/>
      <c r="GA118" s="1461"/>
      <c r="GB118" s="1461"/>
      <c r="GC118" s="1461"/>
      <c r="GD118" s="1461"/>
      <c r="GE118" s="1461"/>
      <c r="GF118" s="1461"/>
      <c r="GG118" s="1461"/>
    </row>
    <row r="119" spans="1:189" s="1451" customFormat="1">
      <c r="A119" s="639"/>
      <c r="B119" s="681"/>
      <c r="C119" s="1408" t="e">
        <f>#REF!</f>
        <v>#REF!</v>
      </c>
      <c r="D119" s="733">
        <v>1</v>
      </c>
      <c r="E119" s="547" t="e">
        <f>#REF!</f>
        <v>#REF!</v>
      </c>
      <c r="F119" s="741" t="e">
        <f>+D119*E119</f>
        <v>#REF!</v>
      </c>
      <c r="H119" s="1452">
        <v>0</v>
      </c>
      <c r="I119" s="1453">
        <v>1.05</v>
      </c>
      <c r="J119" s="1452">
        <f>H119*I119</f>
        <v>0</v>
      </c>
      <c r="K119" s="1454"/>
      <c r="L119" s="1454"/>
      <c r="M119" s="1454"/>
      <c r="N119" s="1454"/>
      <c r="O119" s="1454"/>
      <c r="P119" s="1454"/>
      <c r="Q119" s="1454"/>
      <c r="R119" s="1454"/>
      <c r="S119" s="1454"/>
      <c r="T119" s="1454"/>
      <c r="U119" s="1454"/>
      <c r="V119" s="1454"/>
      <c r="W119" s="1454"/>
      <c r="X119" s="1454"/>
      <c r="Y119" s="1454"/>
      <c r="Z119" s="1454"/>
      <c r="AA119" s="1454"/>
      <c r="AB119" s="1454"/>
      <c r="AC119" s="1454"/>
      <c r="AD119" s="1454"/>
      <c r="AE119" s="1454"/>
      <c r="AF119" s="1454"/>
      <c r="AG119" s="1454"/>
      <c r="AH119" s="1454"/>
      <c r="AI119" s="1454"/>
      <c r="AJ119" s="1454"/>
      <c r="AK119" s="1454"/>
      <c r="AL119" s="1454"/>
      <c r="AM119" s="1454"/>
      <c r="AN119" s="1454"/>
      <c r="AO119" s="1454"/>
      <c r="AP119" s="1454"/>
      <c r="AQ119" s="1454"/>
      <c r="AR119" s="1454"/>
      <c r="AS119" s="1454"/>
      <c r="AT119" s="1454"/>
      <c r="AU119" s="1454"/>
      <c r="AV119" s="1454"/>
      <c r="AW119" s="1454"/>
      <c r="AX119" s="1454"/>
      <c r="AY119" s="1454"/>
      <c r="AZ119" s="1454"/>
      <c r="BA119" s="1454"/>
      <c r="BB119" s="1454"/>
      <c r="BC119" s="1454"/>
      <c r="BD119" s="1454"/>
      <c r="BE119" s="1454"/>
      <c r="BF119" s="1454"/>
      <c r="BG119" s="1454"/>
      <c r="BH119" s="1454"/>
      <c r="BI119" s="1454"/>
      <c r="BJ119" s="1454"/>
      <c r="BK119" s="1454"/>
      <c r="BL119" s="1454"/>
      <c r="BM119" s="1454"/>
      <c r="BN119" s="1454"/>
      <c r="BO119" s="1454"/>
      <c r="BP119" s="1454"/>
      <c r="BQ119" s="1454"/>
      <c r="BR119" s="1454"/>
      <c r="BS119" s="1454"/>
      <c r="BT119" s="1454"/>
      <c r="BU119" s="1454"/>
      <c r="BV119" s="1454"/>
      <c r="BW119" s="1454"/>
      <c r="BX119" s="1454"/>
      <c r="BY119" s="1454"/>
      <c r="BZ119" s="1454"/>
      <c r="CA119" s="1454"/>
      <c r="CB119" s="1454"/>
      <c r="CC119" s="1454"/>
      <c r="CD119" s="1454"/>
      <c r="CE119" s="1454"/>
      <c r="CF119" s="1454"/>
      <c r="CG119" s="1454"/>
      <c r="CH119" s="1454"/>
      <c r="CI119" s="1454"/>
      <c r="CJ119" s="1454"/>
      <c r="CK119" s="1454"/>
      <c r="CL119" s="1454"/>
      <c r="CM119" s="1454"/>
      <c r="CN119" s="1454"/>
      <c r="CO119" s="1454"/>
      <c r="CP119" s="1454"/>
      <c r="CQ119" s="1454"/>
      <c r="CR119" s="1454"/>
      <c r="CS119" s="1454"/>
      <c r="CT119" s="1454"/>
      <c r="CU119" s="1454"/>
      <c r="CV119" s="1454"/>
      <c r="CW119" s="1454"/>
      <c r="CX119" s="1454"/>
      <c r="CY119" s="1454"/>
      <c r="CZ119" s="1454"/>
      <c r="DA119" s="1454"/>
      <c r="DB119" s="1454"/>
      <c r="DC119" s="1454"/>
      <c r="DD119" s="1454"/>
      <c r="DE119" s="1454"/>
      <c r="DF119" s="1454"/>
      <c r="DG119" s="1454"/>
      <c r="DH119" s="1454"/>
      <c r="DI119" s="1454"/>
      <c r="DJ119" s="1454"/>
      <c r="DK119" s="1454"/>
      <c r="DL119" s="1454"/>
      <c r="DM119" s="1454"/>
      <c r="DN119" s="1454"/>
      <c r="DO119" s="1454"/>
      <c r="DP119" s="1454"/>
      <c r="DQ119" s="1454"/>
      <c r="DR119" s="1454"/>
      <c r="DS119" s="1454"/>
      <c r="DT119" s="1454"/>
      <c r="DU119" s="1454"/>
      <c r="DV119" s="1454"/>
      <c r="DW119" s="1454"/>
      <c r="DX119" s="1454"/>
      <c r="DY119" s="1454"/>
      <c r="DZ119" s="1454"/>
      <c r="EA119" s="1454"/>
      <c r="EB119" s="1454"/>
      <c r="EC119" s="1454"/>
      <c r="ED119" s="1454"/>
      <c r="EE119" s="1454"/>
      <c r="EF119" s="1454"/>
      <c r="EG119" s="1454"/>
      <c r="EH119" s="1454"/>
      <c r="EI119" s="1454"/>
      <c r="EJ119" s="1454"/>
      <c r="EK119" s="1454"/>
      <c r="EL119" s="1454"/>
      <c r="EM119" s="1454"/>
      <c r="EN119" s="1454"/>
      <c r="EO119" s="1454"/>
      <c r="EP119" s="1454"/>
      <c r="EQ119" s="1454"/>
      <c r="ER119" s="1454"/>
      <c r="ES119" s="1454"/>
      <c r="ET119" s="1454"/>
      <c r="EU119" s="1454"/>
      <c r="EV119" s="1454"/>
      <c r="EW119" s="1454"/>
      <c r="EX119" s="1454"/>
      <c r="EY119" s="1454"/>
      <c r="EZ119" s="1454"/>
      <c r="FA119" s="1454"/>
      <c r="FB119" s="1454"/>
      <c r="FC119" s="1454"/>
      <c r="FD119" s="1454"/>
      <c r="FE119" s="1454"/>
      <c r="FF119" s="1454"/>
      <c r="FG119" s="1454"/>
      <c r="FH119" s="1454"/>
      <c r="FI119" s="1454"/>
      <c r="FJ119" s="1454"/>
      <c r="FK119" s="1454"/>
      <c r="FL119" s="1454"/>
      <c r="FM119" s="1454"/>
      <c r="FN119" s="1454"/>
      <c r="FO119" s="1454"/>
      <c r="FP119" s="1454"/>
      <c r="FQ119" s="1454"/>
      <c r="FR119" s="1454"/>
      <c r="FS119" s="1454"/>
      <c r="FT119" s="1454"/>
      <c r="FU119" s="1454"/>
      <c r="FV119" s="1454"/>
      <c r="FW119" s="1454"/>
      <c r="FX119" s="1454"/>
      <c r="FY119" s="1454"/>
      <c r="FZ119" s="1454"/>
      <c r="GA119" s="1454"/>
      <c r="GB119" s="1454"/>
      <c r="GC119" s="1454"/>
      <c r="GD119" s="1454"/>
      <c r="GE119" s="1454"/>
      <c r="GF119" s="1454"/>
      <c r="GG119" s="1454"/>
    </row>
    <row r="120" spans="1:189" s="1451" customFormat="1">
      <c r="A120" s="689" t="e">
        <f>+#REF!</f>
        <v>#REF!</v>
      </c>
      <c r="B120" s="711" t="e">
        <f>+#REF!</f>
        <v>#REF!</v>
      </c>
      <c r="C120" s="1407"/>
      <c r="D120" s="1416"/>
      <c r="E120" s="641"/>
      <c r="F120" s="740"/>
      <c r="H120" s="1452"/>
      <c r="I120" s="1453"/>
      <c r="J120" s="1452"/>
      <c r="K120" s="1454"/>
      <c r="L120" s="1454"/>
      <c r="M120" s="1454"/>
      <c r="N120" s="1454"/>
      <c r="O120" s="1454"/>
      <c r="P120" s="1454"/>
      <c r="Q120" s="1454"/>
      <c r="R120" s="1454"/>
      <c r="S120" s="1454"/>
      <c r="T120" s="1454"/>
      <c r="U120" s="1454"/>
      <c r="V120" s="1454"/>
      <c r="W120" s="1454"/>
      <c r="X120" s="1454"/>
      <c r="Y120" s="1454"/>
      <c r="Z120" s="1454"/>
      <c r="AA120" s="1454"/>
      <c r="AB120" s="1454"/>
      <c r="AC120" s="1454"/>
      <c r="AD120" s="1454"/>
      <c r="AE120" s="1454"/>
      <c r="AF120" s="1454"/>
      <c r="AG120" s="1454"/>
      <c r="AH120" s="1454"/>
      <c r="AI120" s="1454"/>
      <c r="AJ120" s="1454"/>
      <c r="AK120" s="1454"/>
      <c r="AL120" s="1454"/>
      <c r="AM120" s="1454"/>
      <c r="AN120" s="1454"/>
      <c r="AO120" s="1454"/>
      <c r="AP120" s="1454"/>
      <c r="AQ120" s="1454"/>
      <c r="AR120" s="1454"/>
      <c r="AS120" s="1454"/>
      <c r="AT120" s="1454"/>
      <c r="AU120" s="1454"/>
      <c r="AV120" s="1454"/>
      <c r="AW120" s="1454"/>
      <c r="AX120" s="1454"/>
      <c r="AY120" s="1454"/>
      <c r="AZ120" s="1454"/>
      <c r="BA120" s="1454"/>
      <c r="BB120" s="1454"/>
      <c r="BC120" s="1454"/>
      <c r="BD120" s="1454"/>
      <c r="BE120" s="1454"/>
      <c r="BF120" s="1454"/>
      <c r="BG120" s="1454"/>
      <c r="BH120" s="1454"/>
      <c r="BI120" s="1454"/>
      <c r="BJ120" s="1454"/>
      <c r="BK120" s="1454"/>
      <c r="BL120" s="1454"/>
      <c r="BM120" s="1454"/>
      <c r="BN120" s="1454"/>
      <c r="BO120" s="1454"/>
      <c r="BP120" s="1454"/>
      <c r="BQ120" s="1454"/>
      <c r="BR120" s="1454"/>
      <c r="BS120" s="1454"/>
      <c r="BT120" s="1454"/>
      <c r="BU120" s="1454"/>
      <c r="BV120" s="1454"/>
      <c r="BW120" s="1454"/>
      <c r="BX120" s="1454"/>
      <c r="BY120" s="1454"/>
      <c r="BZ120" s="1454"/>
      <c r="CA120" s="1454"/>
      <c r="CB120" s="1454"/>
      <c r="CC120" s="1454"/>
      <c r="CD120" s="1454"/>
      <c r="CE120" s="1454"/>
      <c r="CF120" s="1454"/>
      <c r="CG120" s="1454"/>
      <c r="CH120" s="1454"/>
      <c r="CI120" s="1454"/>
      <c r="CJ120" s="1454"/>
      <c r="CK120" s="1454"/>
      <c r="CL120" s="1454"/>
      <c r="CM120" s="1454"/>
      <c r="CN120" s="1454"/>
      <c r="CO120" s="1454"/>
      <c r="CP120" s="1454"/>
      <c r="CQ120" s="1454"/>
      <c r="CR120" s="1454"/>
      <c r="CS120" s="1454"/>
      <c r="CT120" s="1454"/>
      <c r="CU120" s="1454"/>
      <c r="CV120" s="1454"/>
      <c r="CW120" s="1454"/>
      <c r="CX120" s="1454"/>
      <c r="CY120" s="1454"/>
      <c r="CZ120" s="1454"/>
      <c r="DA120" s="1454"/>
      <c r="DB120" s="1454"/>
      <c r="DC120" s="1454"/>
      <c r="DD120" s="1454"/>
      <c r="DE120" s="1454"/>
      <c r="DF120" s="1454"/>
      <c r="DG120" s="1454"/>
      <c r="DH120" s="1454"/>
      <c r="DI120" s="1454"/>
      <c r="DJ120" s="1454"/>
      <c r="DK120" s="1454"/>
      <c r="DL120" s="1454"/>
      <c r="DM120" s="1454"/>
      <c r="DN120" s="1454"/>
      <c r="DO120" s="1454"/>
      <c r="DP120" s="1454"/>
      <c r="DQ120" s="1454"/>
      <c r="DR120" s="1454"/>
      <c r="DS120" s="1454"/>
      <c r="DT120" s="1454"/>
      <c r="DU120" s="1454"/>
      <c r="DV120" s="1454"/>
      <c r="DW120" s="1454"/>
      <c r="DX120" s="1454"/>
      <c r="DY120" s="1454"/>
      <c r="DZ120" s="1454"/>
      <c r="EA120" s="1454"/>
      <c r="EB120" s="1454"/>
      <c r="EC120" s="1454"/>
      <c r="ED120" s="1454"/>
      <c r="EE120" s="1454"/>
      <c r="EF120" s="1454"/>
      <c r="EG120" s="1454"/>
      <c r="EH120" s="1454"/>
      <c r="EI120" s="1454"/>
      <c r="EJ120" s="1454"/>
      <c r="EK120" s="1454"/>
      <c r="EL120" s="1454"/>
      <c r="EM120" s="1454"/>
      <c r="EN120" s="1454"/>
      <c r="EO120" s="1454"/>
      <c r="EP120" s="1454"/>
      <c r="EQ120" s="1454"/>
      <c r="ER120" s="1454"/>
      <c r="ES120" s="1454"/>
      <c r="ET120" s="1454"/>
      <c r="EU120" s="1454"/>
      <c r="EV120" s="1454"/>
      <c r="EW120" s="1454"/>
      <c r="EX120" s="1454"/>
      <c r="EY120" s="1454"/>
      <c r="EZ120" s="1454"/>
      <c r="FA120" s="1454"/>
      <c r="FB120" s="1454"/>
      <c r="FC120" s="1454"/>
      <c r="FD120" s="1454"/>
      <c r="FE120" s="1454"/>
      <c r="FF120" s="1454"/>
      <c r="FG120" s="1454"/>
      <c r="FH120" s="1454"/>
      <c r="FI120" s="1454"/>
      <c r="FJ120" s="1454"/>
      <c r="FK120" s="1454"/>
      <c r="FL120" s="1454"/>
      <c r="FM120" s="1454"/>
      <c r="FN120" s="1454"/>
      <c r="FO120" s="1454"/>
      <c r="FP120" s="1454"/>
      <c r="FQ120" s="1454"/>
      <c r="FR120" s="1454"/>
      <c r="FS120" s="1454"/>
      <c r="FT120" s="1454"/>
      <c r="FU120" s="1454"/>
      <c r="FV120" s="1454"/>
      <c r="FW120" s="1454"/>
      <c r="FX120" s="1454"/>
      <c r="FY120" s="1454"/>
      <c r="FZ120" s="1454"/>
      <c r="GA120" s="1454"/>
      <c r="GB120" s="1454"/>
      <c r="GC120" s="1454"/>
      <c r="GD120" s="1454"/>
      <c r="GE120" s="1454"/>
      <c r="GF120" s="1454"/>
      <c r="GG120" s="1454"/>
    </row>
    <row r="121" spans="1:189" s="1451" customFormat="1" ht="30" customHeight="1">
      <c r="A121" s="785" t="e">
        <f>+#REF!</f>
        <v>#REF!</v>
      </c>
      <c r="B121" s="764" t="e">
        <f>+#REF!</f>
        <v>#REF!</v>
      </c>
      <c r="C121" s="1485" t="e">
        <f>#REF!</f>
        <v>#REF!</v>
      </c>
      <c r="D121" s="730">
        <f>J121</f>
        <v>12.100000000000001</v>
      </c>
      <c r="E121" s="633" t="e">
        <f>#REF!</f>
        <v>#REF!</v>
      </c>
      <c r="F121" s="655" t="e">
        <f>+D121*E121</f>
        <v>#REF!</v>
      </c>
      <c r="H121" s="1452">
        <f>F3/50+1</f>
        <v>11</v>
      </c>
      <c r="I121" s="1453">
        <v>1.1000000000000001</v>
      </c>
      <c r="J121" s="1452">
        <f>H121*I121</f>
        <v>12.100000000000001</v>
      </c>
      <c r="K121" s="1454"/>
      <c r="L121" s="1454"/>
      <c r="M121" s="1454"/>
      <c r="N121" s="1454"/>
      <c r="O121" s="1454"/>
      <c r="P121" s="1454"/>
      <c r="Q121" s="1454"/>
      <c r="R121" s="1454"/>
      <c r="S121" s="1454"/>
      <c r="T121" s="1454"/>
      <c r="U121" s="1454"/>
      <c r="V121" s="1454"/>
      <c r="W121" s="1454"/>
      <c r="X121" s="1454"/>
      <c r="Y121" s="1454"/>
      <c r="Z121" s="1454"/>
      <c r="AA121" s="1454"/>
      <c r="AB121" s="1454"/>
      <c r="AC121" s="1454"/>
      <c r="AD121" s="1454"/>
      <c r="AE121" s="1454"/>
      <c r="AF121" s="1454"/>
      <c r="AG121" s="1454"/>
      <c r="AH121" s="1454"/>
      <c r="AI121" s="1454"/>
      <c r="AJ121" s="1454"/>
      <c r="AK121" s="1454"/>
      <c r="AL121" s="1454"/>
      <c r="AM121" s="1454"/>
      <c r="AN121" s="1454"/>
      <c r="AO121" s="1454"/>
      <c r="AP121" s="1454"/>
      <c r="AQ121" s="1454"/>
      <c r="AR121" s="1454"/>
      <c r="AS121" s="1454"/>
      <c r="AT121" s="1454"/>
      <c r="AU121" s="1454"/>
      <c r="AV121" s="1454"/>
      <c r="AW121" s="1454"/>
      <c r="AX121" s="1454"/>
      <c r="AY121" s="1454"/>
      <c r="AZ121" s="1454"/>
      <c r="BA121" s="1454"/>
      <c r="BB121" s="1454"/>
      <c r="BC121" s="1454"/>
      <c r="BD121" s="1454"/>
      <c r="BE121" s="1454"/>
      <c r="BF121" s="1454"/>
      <c r="BG121" s="1454"/>
      <c r="BH121" s="1454"/>
      <c r="BI121" s="1454"/>
      <c r="BJ121" s="1454"/>
      <c r="BK121" s="1454"/>
      <c r="BL121" s="1454"/>
      <c r="BM121" s="1454"/>
      <c r="BN121" s="1454"/>
      <c r="BO121" s="1454"/>
      <c r="BP121" s="1454"/>
      <c r="BQ121" s="1454"/>
      <c r="BR121" s="1454"/>
      <c r="BS121" s="1454"/>
      <c r="BT121" s="1454"/>
      <c r="BU121" s="1454"/>
      <c r="BV121" s="1454"/>
      <c r="BW121" s="1454"/>
      <c r="BX121" s="1454"/>
      <c r="BY121" s="1454"/>
      <c r="BZ121" s="1454"/>
      <c r="CA121" s="1454"/>
      <c r="CB121" s="1454"/>
      <c r="CC121" s="1454"/>
      <c r="CD121" s="1454"/>
      <c r="CE121" s="1454"/>
      <c r="CF121" s="1454"/>
      <c r="CG121" s="1454"/>
      <c r="CH121" s="1454"/>
      <c r="CI121" s="1454"/>
      <c r="CJ121" s="1454"/>
      <c r="CK121" s="1454"/>
      <c r="CL121" s="1454"/>
      <c r="CM121" s="1454"/>
      <c r="CN121" s="1454"/>
      <c r="CO121" s="1454"/>
      <c r="CP121" s="1454"/>
      <c r="CQ121" s="1454"/>
      <c r="CR121" s="1454"/>
      <c r="CS121" s="1454"/>
      <c r="CT121" s="1454"/>
      <c r="CU121" s="1454"/>
      <c r="CV121" s="1454"/>
      <c r="CW121" s="1454"/>
      <c r="CX121" s="1454"/>
      <c r="CY121" s="1454"/>
      <c r="CZ121" s="1454"/>
      <c r="DA121" s="1454"/>
      <c r="DB121" s="1454"/>
      <c r="DC121" s="1454"/>
      <c r="DD121" s="1454"/>
      <c r="DE121" s="1454"/>
      <c r="DF121" s="1454"/>
      <c r="DG121" s="1454"/>
      <c r="DH121" s="1454"/>
      <c r="DI121" s="1454"/>
      <c r="DJ121" s="1454"/>
      <c r="DK121" s="1454"/>
      <c r="DL121" s="1454"/>
      <c r="DM121" s="1454"/>
      <c r="DN121" s="1454"/>
      <c r="DO121" s="1454"/>
      <c r="DP121" s="1454"/>
      <c r="DQ121" s="1454"/>
      <c r="DR121" s="1454"/>
      <c r="DS121" s="1454"/>
      <c r="DT121" s="1454"/>
      <c r="DU121" s="1454"/>
      <c r="DV121" s="1454"/>
      <c r="DW121" s="1454"/>
      <c r="DX121" s="1454"/>
      <c r="DY121" s="1454"/>
      <c r="DZ121" s="1454"/>
      <c r="EA121" s="1454"/>
      <c r="EB121" s="1454"/>
      <c r="EC121" s="1454"/>
      <c r="ED121" s="1454"/>
      <c r="EE121" s="1454"/>
      <c r="EF121" s="1454"/>
      <c r="EG121" s="1454"/>
      <c r="EH121" s="1454"/>
      <c r="EI121" s="1454"/>
      <c r="EJ121" s="1454"/>
      <c r="EK121" s="1454"/>
      <c r="EL121" s="1454"/>
      <c r="EM121" s="1454"/>
      <c r="EN121" s="1454"/>
      <c r="EO121" s="1454"/>
      <c r="EP121" s="1454"/>
      <c r="EQ121" s="1454"/>
      <c r="ER121" s="1454"/>
      <c r="ES121" s="1454"/>
      <c r="ET121" s="1454"/>
      <c r="EU121" s="1454"/>
      <c r="EV121" s="1454"/>
      <c r="EW121" s="1454"/>
      <c r="EX121" s="1454"/>
      <c r="EY121" s="1454"/>
      <c r="EZ121" s="1454"/>
      <c r="FA121" s="1454"/>
      <c r="FB121" s="1454"/>
      <c r="FC121" s="1454"/>
      <c r="FD121" s="1454"/>
      <c r="FE121" s="1454"/>
      <c r="FF121" s="1454"/>
      <c r="FG121" s="1454"/>
      <c r="FH121" s="1454"/>
      <c r="FI121" s="1454"/>
      <c r="FJ121" s="1454"/>
      <c r="FK121" s="1454"/>
      <c r="FL121" s="1454"/>
      <c r="FM121" s="1454"/>
      <c r="FN121" s="1454"/>
      <c r="FO121" s="1454"/>
      <c r="FP121" s="1454"/>
      <c r="FQ121" s="1454"/>
      <c r="FR121" s="1454"/>
      <c r="FS121" s="1454"/>
      <c r="FT121" s="1454"/>
      <c r="FU121" s="1454"/>
      <c r="FV121" s="1454"/>
      <c r="FW121" s="1454"/>
      <c r="FX121" s="1454"/>
      <c r="FY121" s="1454"/>
      <c r="FZ121" s="1454"/>
      <c r="GA121" s="1454"/>
      <c r="GB121" s="1454"/>
      <c r="GC121" s="1454"/>
      <c r="GD121" s="1454"/>
      <c r="GE121" s="1454"/>
      <c r="GF121" s="1454"/>
      <c r="GG121" s="1454"/>
    </row>
    <row r="122" spans="1:189" s="1451" customFormat="1">
      <c r="A122" s="765" t="e">
        <f>+#REF!</f>
        <v>#REF!</v>
      </c>
      <c r="B122" s="1429" t="e">
        <f>+#REF!</f>
        <v>#REF!</v>
      </c>
      <c r="C122" s="1408" t="e">
        <f>#REF!</f>
        <v>#REF!</v>
      </c>
      <c r="D122" s="733">
        <f>J122</f>
        <v>23.045000000000005</v>
      </c>
      <c r="E122" s="527" t="e">
        <f>#REF!</f>
        <v>#REF!</v>
      </c>
      <c r="F122" s="741" t="e">
        <f>+D122*E122</f>
        <v>#REF!</v>
      </c>
      <c r="G122" s="1702" t="e">
        <f>SUM(F121:F122)</f>
        <v>#REF!</v>
      </c>
      <c r="H122" s="1452">
        <f>+J114/12+5</f>
        <v>20.950000000000003</v>
      </c>
      <c r="I122" s="1453">
        <v>1.1000000000000001</v>
      </c>
      <c r="J122" s="1452">
        <f>H122*I122</f>
        <v>23.045000000000005</v>
      </c>
      <c r="K122" s="1454"/>
      <c r="L122" s="1454"/>
      <c r="M122" s="1454"/>
      <c r="N122" s="1454"/>
      <c r="O122" s="1454"/>
      <c r="P122" s="1454"/>
      <c r="Q122" s="1454"/>
      <c r="R122" s="1454"/>
      <c r="S122" s="1454"/>
      <c r="T122" s="1454"/>
      <c r="U122" s="1454"/>
      <c r="V122" s="1454"/>
      <c r="W122" s="1454"/>
      <c r="X122" s="1454"/>
      <c r="Y122" s="1454"/>
      <c r="Z122" s="1454"/>
      <c r="AA122" s="1454"/>
      <c r="AB122" s="1454"/>
      <c r="AC122" s="1454"/>
      <c r="AD122" s="1454"/>
      <c r="AE122" s="1454"/>
      <c r="AF122" s="1454"/>
      <c r="AG122" s="1454"/>
      <c r="AH122" s="1454"/>
      <c r="AI122" s="1454"/>
      <c r="AJ122" s="1454"/>
      <c r="AK122" s="1454"/>
      <c r="AL122" s="1454"/>
      <c r="AM122" s="1454"/>
      <c r="AN122" s="1454"/>
      <c r="AO122" s="1454"/>
      <c r="AP122" s="1454"/>
      <c r="AQ122" s="1454"/>
      <c r="AR122" s="1454"/>
      <c r="AS122" s="1454"/>
      <c r="AT122" s="1454"/>
      <c r="AU122" s="1454"/>
      <c r="AV122" s="1454"/>
      <c r="AW122" s="1454"/>
      <c r="AX122" s="1454"/>
      <c r="AY122" s="1454"/>
      <c r="AZ122" s="1454"/>
      <c r="BA122" s="1454"/>
      <c r="BB122" s="1454"/>
      <c r="BC122" s="1454"/>
      <c r="BD122" s="1454"/>
      <c r="BE122" s="1454"/>
      <c r="BF122" s="1454"/>
      <c r="BG122" s="1454"/>
      <c r="BH122" s="1454"/>
      <c r="BI122" s="1454"/>
      <c r="BJ122" s="1454"/>
      <c r="BK122" s="1454"/>
      <c r="BL122" s="1454"/>
      <c r="BM122" s="1454"/>
      <c r="BN122" s="1454"/>
      <c r="BO122" s="1454"/>
      <c r="BP122" s="1454"/>
      <c r="BQ122" s="1454"/>
      <c r="BR122" s="1454"/>
      <c r="BS122" s="1454"/>
      <c r="BT122" s="1454"/>
      <c r="BU122" s="1454"/>
      <c r="BV122" s="1454"/>
      <c r="BW122" s="1454"/>
      <c r="BX122" s="1454"/>
      <c r="BY122" s="1454"/>
      <c r="BZ122" s="1454"/>
      <c r="CA122" s="1454"/>
      <c r="CB122" s="1454"/>
      <c r="CC122" s="1454"/>
      <c r="CD122" s="1454"/>
      <c r="CE122" s="1454"/>
      <c r="CF122" s="1454"/>
      <c r="CG122" s="1454"/>
      <c r="CH122" s="1454"/>
      <c r="CI122" s="1454"/>
      <c r="CJ122" s="1454"/>
      <c r="CK122" s="1454"/>
      <c r="CL122" s="1454"/>
      <c r="CM122" s="1454"/>
      <c r="CN122" s="1454"/>
      <c r="CO122" s="1454"/>
      <c r="CP122" s="1454"/>
      <c r="CQ122" s="1454"/>
      <c r="CR122" s="1454"/>
      <c r="CS122" s="1454"/>
      <c r="CT122" s="1454"/>
      <c r="CU122" s="1454"/>
      <c r="CV122" s="1454"/>
      <c r="CW122" s="1454"/>
      <c r="CX122" s="1454"/>
      <c r="CY122" s="1454"/>
      <c r="CZ122" s="1454"/>
      <c r="DA122" s="1454"/>
      <c r="DB122" s="1454"/>
      <c r="DC122" s="1454"/>
      <c r="DD122" s="1454"/>
      <c r="DE122" s="1454"/>
      <c r="DF122" s="1454"/>
      <c r="DG122" s="1454"/>
      <c r="DH122" s="1454"/>
      <c r="DI122" s="1454"/>
      <c r="DJ122" s="1454"/>
      <c r="DK122" s="1454"/>
      <c r="DL122" s="1454"/>
      <c r="DM122" s="1454"/>
      <c r="DN122" s="1454"/>
      <c r="DO122" s="1454"/>
      <c r="DP122" s="1454"/>
      <c r="DQ122" s="1454"/>
      <c r="DR122" s="1454"/>
      <c r="DS122" s="1454"/>
      <c r="DT122" s="1454"/>
      <c r="DU122" s="1454"/>
      <c r="DV122" s="1454"/>
      <c r="DW122" s="1454"/>
      <c r="DX122" s="1454"/>
      <c r="DY122" s="1454"/>
      <c r="DZ122" s="1454"/>
      <c r="EA122" s="1454"/>
      <c r="EB122" s="1454"/>
      <c r="EC122" s="1454"/>
      <c r="ED122" s="1454"/>
      <c r="EE122" s="1454"/>
      <c r="EF122" s="1454"/>
      <c r="EG122" s="1454"/>
      <c r="EH122" s="1454"/>
      <c r="EI122" s="1454"/>
      <c r="EJ122" s="1454"/>
      <c r="EK122" s="1454"/>
      <c r="EL122" s="1454"/>
      <c r="EM122" s="1454"/>
      <c r="EN122" s="1454"/>
      <c r="EO122" s="1454"/>
      <c r="EP122" s="1454"/>
      <c r="EQ122" s="1454"/>
      <c r="ER122" s="1454"/>
      <c r="ES122" s="1454"/>
      <c r="ET122" s="1454"/>
      <c r="EU122" s="1454"/>
      <c r="EV122" s="1454"/>
      <c r="EW122" s="1454"/>
      <c r="EX122" s="1454"/>
      <c r="EY122" s="1454"/>
      <c r="EZ122" s="1454"/>
      <c r="FA122" s="1454"/>
      <c r="FB122" s="1454"/>
      <c r="FC122" s="1454"/>
      <c r="FD122" s="1454"/>
      <c r="FE122" s="1454"/>
      <c r="FF122" s="1454"/>
      <c r="FG122" s="1454"/>
      <c r="FH122" s="1454"/>
      <c r="FI122" s="1454"/>
      <c r="FJ122" s="1454"/>
      <c r="FK122" s="1454"/>
      <c r="FL122" s="1454"/>
      <c r="FM122" s="1454"/>
      <c r="FN122" s="1454"/>
      <c r="FO122" s="1454"/>
      <c r="FP122" s="1454"/>
      <c r="FQ122" s="1454"/>
      <c r="FR122" s="1454"/>
      <c r="FS122" s="1454"/>
      <c r="FT122" s="1454"/>
      <c r="FU122" s="1454"/>
      <c r="FV122" s="1454"/>
      <c r="FW122" s="1454"/>
      <c r="FX122" s="1454"/>
      <c r="FY122" s="1454"/>
      <c r="FZ122" s="1454"/>
      <c r="GA122" s="1454"/>
      <c r="GB122" s="1454"/>
      <c r="GC122" s="1454"/>
      <c r="GD122" s="1454"/>
      <c r="GE122" s="1454"/>
      <c r="GF122" s="1454"/>
      <c r="GG122" s="1454"/>
    </row>
    <row r="123" spans="1:189" s="1451" customFormat="1">
      <c r="A123" s="689" t="e">
        <f>+#REF!</f>
        <v>#REF!</v>
      </c>
      <c r="B123" s="711" t="e">
        <f>+#REF!</f>
        <v>#REF!</v>
      </c>
      <c r="C123" s="1407"/>
      <c r="D123" s="1416"/>
      <c r="E123" s="641"/>
      <c r="F123" s="740"/>
      <c r="H123" s="1452"/>
      <c r="I123" s="1453"/>
      <c r="J123" s="1452"/>
      <c r="K123" s="1454"/>
      <c r="L123" s="1454"/>
      <c r="M123" s="1454"/>
      <c r="N123" s="1454"/>
      <c r="O123" s="1454"/>
      <c r="P123" s="1454"/>
      <c r="Q123" s="1454"/>
      <c r="R123" s="1454"/>
      <c r="S123" s="1454"/>
      <c r="T123" s="1454"/>
      <c r="U123" s="1454"/>
      <c r="V123" s="1454"/>
      <c r="W123" s="1454"/>
      <c r="X123" s="1454"/>
      <c r="Y123" s="1454"/>
      <c r="Z123" s="1454"/>
      <c r="AA123" s="1454"/>
      <c r="AB123" s="1454"/>
      <c r="AC123" s="1454"/>
      <c r="AD123" s="1454"/>
      <c r="AE123" s="1454"/>
      <c r="AF123" s="1454"/>
      <c r="AG123" s="1454"/>
      <c r="AH123" s="1454"/>
      <c r="AI123" s="1454"/>
      <c r="AJ123" s="1454"/>
      <c r="AK123" s="1454"/>
      <c r="AL123" s="1454"/>
      <c r="AM123" s="1454"/>
      <c r="AN123" s="1454"/>
      <c r="AO123" s="1454"/>
      <c r="AP123" s="1454"/>
      <c r="AQ123" s="1454"/>
      <c r="AR123" s="1454"/>
      <c r="AS123" s="1454"/>
      <c r="AT123" s="1454"/>
      <c r="AU123" s="1454"/>
      <c r="AV123" s="1454"/>
      <c r="AW123" s="1454"/>
      <c r="AX123" s="1454"/>
      <c r="AY123" s="1454"/>
      <c r="AZ123" s="1454"/>
      <c r="BA123" s="1454"/>
      <c r="BB123" s="1454"/>
      <c r="BC123" s="1454"/>
      <c r="BD123" s="1454"/>
      <c r="BE123" s="1454"/>
      <c r="BF123" s="1454"/>
      <c r="BG123" s="1454"/>
      <c r="BH123" s="1454"/>
      <c r="BI123" s="1454"/>
      <c r="BJ123" s="1454"/>
      <c r="BK123" s="1454"/>
      <c r="BL123" s="1454"/>
      <c r="BM123" s="1454"/>
      <c r="BN123" s="1454"/>
      <c r="BO123" s="1454"/>
      <c r="BP123" s="1454"/>
      <c r="BQ123" s="1454"/>
      <c r="BR123" s="1454"/>
      <c r="BS123" s="1454"/>
      <c r="BT123" s="1454"/>
      <c r="BU123" s="1454"/>
      <c r="BV123" s="1454"/>
      <c r="BW123" s="1454"/>
      <c r="BX123" s="1454"/>
      <c r="BY123" s="1454"/>
      <c r="BZ123" s="1454"/>
      <c r="CA123" s="1454"/>
      <c r="CB123" s="1454"/>
      <c r="CC123" s="1454"/>
      <c r="CD123" s="1454"/>
      <c r="CE123" s="1454"/>
      <c r="CF123" s="1454"/>
      <c r="CG123" s="1454"/>
      <c r="CH123" s="1454"/>
      <c r="CI123" s="1454"/>
      <c r="CJ123" s="1454"/>
      <c r="CK123" s="1454"/>
      <c r="CL123" s="1454"/>
      <c r="CM123" s="1454"/>
      <c r="CN123" s="1454"/>
      <c r="CO123" s="1454"/>
      <c r="CP123" s="1454"/>
      <c r="CQ123" s="1454"/>
      <c r="CR123" s="1454"/>
      <c r="CS123" s="1454"/>
      <c r="CT123" s="1454"/>
      <c r="CU123" s="1454"/>
      <c r="CV123" s="1454"/>
      <c r="CW123" s="1454"/>
      <c r="CX123" s="1454"/>
      <c r="CY123" s="1454"/>
      <c r="CZ123" s="1454"/>
      <c r="DA123" s="1454"/>
      <c r="DB123" s="1454"/>
      <c r="DC123" s="1454"/>
      <c r="DD123" s="1454"/>
      <c r="DE123" s="1454"/>
      <c r="DF123" s="1454"/>
      <c r="DG123" s="1454"/>
      <c r="DH123" s="1454"/>
      <c r="DI123" s="1454"/>
      <c r="DJ123" s="1454"/>
      <c r="DK123" s="1454"/>
      <c r="DL123" s="1454"/>
      <c r="DM123" s="1454"/>
      <c r="DN123" s="1454"/>
      <c r="DO123" s="1454"/>
      <c r="DP123" s="1454"/>
      <c r="DQ123" s="1454"/>
      <c r="DR123" s="1454"/>
      <c r="DS123" s="1454"/>
      <c r="DT123" s="1454"/>
      <c r="DU123" s="1454"/>
      <c r="DV123" s="1454"/>
      <c r="DW123" s="1454"/>
      <c r="DX123" s="1454"/>
      <c r="DY123" s="1454"/>
      <c r="DZ123" s="1454"/>
      <c r="EA123" s="1454"/>
      <c r="EB123" s="1454"/>
      <c r="EC123" s="1454"/>
      <c r="ED123" s="1454"/>
      <c r="EE123" s="1454"/>
      <c r="EF123" s="1454"/>
      <c r="EG123" s="1454"/>
      <c r="EH123" s="1454"/>
      <c r="EI123" s="1454"/>
      <c r="EJ123" s="1454"/>
      <c r="EK123" s="1454"/>
      <c r="EL123" s="1454"/>
      <c r="EM123" s="1454"/>
      <c r="EN123" s="1454"/>
      <c r="EO123" s="1454"/>
      <c r="EP123" s="1454"/>
      <c r="EQ123" s="1454"/>
      <c r="ER123" s="1454"/>
      <c r="ES123" s="1454"/>
      <c r="ET123" s="1454"/>
      <c r="EU123" s="1454"/>
      <c r="EV123" s="1454"/>
      <c r="EW123" s="1454"/>
      <c r="EX123" s="1454"/>
      <c r="EY123" s="1454"/>
      <c r="EZ123" s="1454"/>
      <c r="FA123" s="1454"/>
      <c r="FB123" s="1454"/>
      <c r="FC123" s="1454"/>
      <c r="FD123" s="1454"/>
      <c r="FE123" s="1454"/>
      <c r="FF123" s="1454"/>
      <c r="FG123" s="1454"/>
      <c r="FH123" s="1454"/>
      <c r="FI123" s="1454"/>
      <c r="FJ123" s="1454"/>
      <c r="FK123" s="1454"/>
      <c r="FL123" s="1454"/>
      <c r="FM123" s="1454"/>
      <c r="FN123" s="1454"/>
      <c r="FO123" s="1454"/>
      <c r="FP123" s="1454"/>
      <c r="FQ123" s="1454"/>
      <c r="FR123" s="1454"/>
      <c r="FS123" s="1454"/>
      <c r="FT123" s="1454"/>
      <c r="FU123" s="1454"/>
      <c r="FV123" s="1454"/>
      <c r="FW123" s="1454"/>
      <c r="FX123" s="1454"/>
      <c r="FY123" s="1454"/>
      <c r="FZ123" s="1454"/>
      <c r="GA123" s="1454"/>
      <c r="GB123" s="1454"/>
      <c r="GC123" s="1454"/>
      <c r="GD123" s="1454"/>
      <c r="GE123" s="1454"/>
      <c r="GF123" s="1454"/>
      <c r="GG123" s="1454"/>
    </row>
    <row r="124" spans="1:189" s="1451" customFormat="1">
      <c r="A124" s="639" t="e">
        <f>+#REF!</f>
        <v>#REF!</v>
      </c>
      <c r="B124" s="681" t="e">
        <f>+#REF!</f>
        <v>#REF!</v>
      </c>
      <c r="C124" s="1408" t="e">
        <f>#REF!</f>
        <v>#REF!</v>
      </c>
      <c r="D124" s="733">
        <f>J124</f>
        <v>525</v>
      </c>
      <c r="E124" s="527" t="e">
        <f>#REF!</f>
        <v>#REF!</v>
      </c>
      <c r="F124" s="741" t="e">
        <f>+D124*E124</f>
        <v>#REF!</v>
      </c>
      <c r="H124" s="1452">
        <f>F3</f>
        <v>500</v>
      </c>
      <c r="I124" s="1453">
        <v>1.05</v>
      </c>
      <c r="J124" s="1452">
        <f>H124*I124</f>
        <v>525</v>
      </c>
      <c r="K124" s="1454"/>
      <c r="L124" s="1454"/>
      <c r="M124" s="1454"/>
      <c r="N124" s="1454"/>
      <c r="O124" s="1454"/>
      <c r="P124" s="1454"/>
      <c r="Q124" s="1454"/>
      <c r="R124" s="1454"/>
      <c r="S124" s="1454"/>
      <c r="T124" s="1454"/>
      <c r="U124" s="1454"/>
      <c r="V124" s="1454"/>
      <c r="W124" s="1454"/>
      <c r="X124" s="1454"/>
      <c r="Y124" s="1454"/>
      <c r="Z124" s="1454"/>
      <c r="AA124" s="1454"/>
      <c r="AB124" s="1454"/>
      <c r="AC124" s="1454"/>
      <c r="AD124" s="1454"/>
      <c r="AE124" s="1454"/>
      <c r="AF124" s="1454"/>
      <c r="AG124" s="1454"/>
      <c r="AH124" s="1454"/>
      <c r="AI124" s="1454"/>
      <c r="AJ124" s="1454"/>
      <c r="AK124" s="1454"/>
      <c r="AL124" s="1454"/>
      <c r="AM124" s="1454"/>
      <c r="AN124" s="1454"/>
      <c r="AO124" s="1454"/>
      <c r="AP124" s="1454"/>
      <c r="AQ124" s="1454"/>
      <c r="AR124" s="1454"/>
      <c r="AS124" s="1454"/>
      <c r="AT124" s="1454"/>
      <c r="AU124" s="1454"/>
      <c r="AV124" s="1454"/>
      <c r="AW124" s="1454"/>
      <c r="AX124" s="1454"/>
      <c r="AY124" s="1454"/>
      <c r="AZ124" s="1454"/>
      <c r="BA124" s="1454"/>
      <c r="BB124" s="1454"/>
      <c r="BC124" s="1454"/>
      <c r="BD124" s="1454"/>
      <c r="BE124" s="1454"/>
      <c r="BF124" s="1454"/>
      <c r="BG124" s="1454"/>
      <c r="BH124" s="1454"/>
      <c r="BI124" s="1454"/>
      <c r="BJ124" s="1454"/>
      <c r="BK124" s="1454"/>
      <c r="BL124" s="1454"/>
      <c r="BM124" s="1454"/>
      <c r="BN124" s="1454"/>
      <c r="BO124" s="1454"/>
      <c r="BP124" s="1454"/>
      <c r="BQ124" s="1454"/>
      <c r="BR124" s="1454"/>
      <c r="BS124" s="1454"/>
      <c r="BT124" s="1454"/>
      <c r="BU124" s="1454"/>
      <c r="BV124" s="1454"/>
      <c r="BW124" s="1454"/>
      <c r="BX124" s="1454"/>
      <c r="BY124" s="1454"/>
      <c r="BZ124" s="1454"/>
      <c r="CA124" s="1454"/>
      <c r="CB124" s="1454"/>
      <c r="CC124" s="1454"/>
      <c r="CD124" s="1454"/>
      <c r="CE124" s="1454"/>
      <c r="CF124" s="1454"/>
      <c r="CG124" s="1454"/>
      <c r="CH124" s="1454"/>
      <c r="CI124" s="1454"/>
      <c r="CJ124" s="1454"/>
      <c r="CK124" s="1454"/>
      <c r="CL124" s="1454"/>
      <c r="CM124" s="1454"/>
      <c r="CN124" s="1454"/>
      <c r="CO124" s="1454"/>
      <c r="CP124" s="1454"/>
      <c r="CQ124" s="1454"/>
      <c r="CR124" s="1454"/>
      <c r="CS124" s="1454"/>
      <c r="CT124" s="1454"/>
      <c r="CU124" s="1454"/>
      <c r="CV124" s="1454"/>
      <c r="CW124" s="1454"/>
      <c r="CX124" s="1454"/>
      <c r="CY124" s="1454"/>
      <c r="CZ124" s="1454"/>
      <c r="DA124" s="1454"/>
      <c r="DB124" s="1454"/>
      <c r="DC124" s="1454"/>
      <c r="DD124" s="1454"/>
      <c r="DE124" s="1454"/>
      <c r="DF124" s="1454"/>
      <c r="DG124" s="1454"/>
      <c r="DH124" s="1454"/>
      <c r="DI124" s="1454"/>
      <c r="DJ124" s="1454"/>
      <c r="DK124" s="1454"/>
      <c r="DL124" s="1454"/>
      <c r="DM124" s="1454"/>
      <c r="DN124" s="1454"/>
      <c r="DO124" s="1454"/>
      <c r="DP124" s="1454"/>
      <c r="DQ124" s="1454"/>
      <c r="DR124" s="1454"/>
      <c r="DS124" s="1454"/>
      <c r="DT124" s="1454"/>
      <c r="DU124" s="1454"/>
      <c r="DV124" s="1454"/>
      <c r="DW124" s="1454"/>
      <c r="DX124" s="1454"/>
      <c r="DY124" s="1454"/>
      <c r="DZ124" s="1454"/>
      <c r="EA124" s="1454"/>
      <c r="EB124" s="1454"/>
      <c r="EC124" s="1454"/>
      <c r="ED124" s="1454"/>
      <c r="EE124" s="1454"/>
      <c r="EF124" s="1454"/>
      <c r="EG124" s="1454"/>
      <c r="EH124" s="1454"/>
      <c r="EI124" s="1454"/>
      <c r="EJ124" s="1454"/>
      <c r="EK124" s="1454"/>
      <c r="EL124" s="1454"/>
      <c r="EM124" s="1454"/>
      <c r="EN124" s="1454"/>
      <c r="EO124" s="1454"/>
      <c r="EP124" s="1454"/>
      <c r="EQ124" s="1454"/>
      <c r="ER124" s="1454"/>
      <c r="ES124" s="1454"/>
      <c r="ET124" s="1454"/>
      <c r="EU124" s="1454"/>
      <c r="EV124" s="1454"/>
      <c r="EW124" s="1454"/>
      <c r="EX124" s="1454"/>
      <c r="EY124" s="1454"/>
      <c r="EZ124" s="1454"/>
      <c r="FA124" s="1454"/>
      <c r="FB124" s="1454"/>
      <c r="FC124" s="1454"/>
      <c r="FD124" s="1454"/>
      <c r="FE124" s="1454"/>
      <c r="FF124" s="1454"/>
      <c r="FG124" s="1454"/>
      <c r="FH124" s="1454"/>
      <c r="FI124" s="1454"/>
      <c r="FJ124" s="1454"/>
      <c r="FK124" s="1454"/>
      <c r="FL124" s="1454"/>
      <c r="FM124" s="1454"/>
      <c r="FN124" s="1454"/>
      <c r="FO124" s="1454"/>
      <c r="FP124" s="1454"/>
      <c r="FQ124" s="1454"/>
      <c r="FR124" s="1454"/>
      <c r="FS124" s="1454"/>
      <c r="FT124" s="1454"/>
      <c r="FU124" s="1454"/>
      <c r="FV124" s="1454"/>
      <c r="FW124" s="1454"/>
      <c r="FX124" s="1454"/>
      <c r="FY124" s="1454"/>
      <c r="FZ124" s="1454"/>
      <c r="GA124" s="1454"/>
      <c r="GB124" s="1454"/>
      <c r="GC124" s="1454"/>
      <c r="GD124" s="1454"/>
      <c r="GE124" s="1454"/>
      <c r="GF124" s="1454"/>
      <c r="GG124" s="1454"/>
    </row>
    <row r="125" spans="1:189" s="500" customFormat="1" ht="18.75">
      <c r="A125" s="736"/>
      <c r="B125" s="239"/>
      <c r="C125" s="686"/>
      <c r="D125" s="635"/>
      <c r="E125" s="636" t="s">
        <v>113</v>
      </c>
      <c r="F125" s="1122" t="e">
        <f>SUM(F96:F124)</f>
        <v>#REF!</v>
      </c>
      <c r="H125" s="1254"/>
      <c r="I125" s="1256"/>
      <c r="J125" s="1254"/>
      <c r="K125" s="1257"/>
      <c r="L125" s="1257"/>
      <c r="M125" s="1257"/>
      <c r="N125" s="1257"/>
      <c r="O125" s="1257"/>
      <c r="P125" s="1257"/>
      <c r="Q125" s="1257"/>
      <c r="R125" s="1257"/>
      <c r="S125" s="1257"/>
      <c r="T125" s="1257"/>
      <c r="U125" s="1257"/>
      <c r="V125" s="1257"/>
      <c r="W125" s="1257"/>
      <c r="X125" s="1257"/>
      <c r="Y125" s="1257"/>
      <c r="Z125" s="1257"/>
      <c r="AA125" s="1257"/>
      <c r="AB125" s="1257"/>
      <c r="AC125" s="1257"/>
      <c r="AD125" s="1257"/>
      <c r="AE125" s="1257"/>
      <c r="AF125" s="1257"/>
      <c r="AG125" s="1257"/>
      <c r="AH125" s="1257"/>
      <c r="AI125" s="1257"/>
      <c r="AJ125" s="1257"/>
      <c r="AK125" s="1257"/>
      <c r="AL125" s="1257"/>
      <c r="AM125" s="1257"/>
      <c r="AN125" s="1257"/>
      <c r="AO125" s="1257"/>
      <c r="AP125" s="1257"/>
      <c r="AQ125" s="1257"/>
      <c r="AR125" s="1257"/>
      <c r="AS125" s="1257"/>
      <c r="AT125" s="1257"/>
      <c r="AU125" s="1257"/>
      <c r="AV125" s="1257"/>
      <c r="AW125" s="1257"/>
      <c r="AX125" s="1257"/>
      <c r="AY125" s="1257"/>
      <c r="AZ125" s="1257"/>
      <c r="BA125" s="1257"/>
      <c r="BB125" s="1257"/>
      <c r="BC125" s="1257"/>
      <c r="BD125" s="1257"/>
      <c r="BE125" s="1257"/>
      <c r="BF125" s="1257"/>
      <c r="BG125" s="1257"/>
      <c r="BH125" s="1257"/>
      <c r="BI125" s="1257"/>
      <c r="BJ125" s="1257"/>
      <c r="BK125" s="1257"/>
      <c r="BL125" s="1257"/>
      <c r="BM125" s="1257"/>
      <c r="BN125" s="1257"/>
      <c r="BO125" s="1257"/>
      <c r="BP125" s="1257"/>
      <c r="BQ125" s="1257"/>
      <c r="BR125" s="1257"/>
      <c r="BS125" s="1257"/>
      <c r="BT125" s="1257"/>
      <c r="BU125" s="1257"/>
      <c r="BV125" s="1257"/>
      <c r="BW125" s="1257"/>
      <c r="BX125" s="1257"/>
      <c r="BY125" s="1257"/>
      <c r="BZ125" s="1257"/>
      <c r="CA125" s="1257"/>
      <c r="CB125" s="1257"/>
      <c r="CC125" s="1257"/>
      <c r="CD125" s="1257"/>
      <c r="CE125" s="1257"/>
      <c r="CF125" s="1257"/>
      <c r="CG125" s="1257"/>
      <c r="CH125" s="1257"/>
      <c r="CI125" s="1257"/>
      <c r="CJ125" s="1257"/>
      <c r="CK125" s="1257"/>
      <c r="CL125" s="1257"/>
      <c r="CM125" s="1257"/>
      <c r="CN125" s="1257"/>
      <c r="CO125" s="1257"/>
      <c r="CP125" s="1257"/>
      <c r="CQ125" s="1257"/>
      <c r="CR125" s="1257"/>
      <c r="CS125" s="1257"/>
      <c r="CT125" s="1257"/>
      <c r="CU125" s="1257"/>
      <c r="CV125" s="1257"/>
      <c r="CW125" s="1257"/>
      <c r="CX125" s="1257"/>
      <c r="CY125" s="1257"/>
      <c r="CZ125" s="1257"/>
      <c r="DA125" s="1257"/>
      <c r="DB125" s="1257"/>
      <c r="DC125" s="1257"/>
      <c r="DD125" s="1257"/>
      <c r="DE125" s="1257"/>
      <c r="DF125" s="1257"/>
      <c r="DG125" s="1257"/>
      <c r="DH125" s="1257"/>
      <c r="DI125" s="1257"/>
      <c r="DJ125" s="1257"/>
      <c r="DK125" s="1257"/>
      <c r="DL125" s="1257"/>
      <c r="DM125" s="1257"/>
      <c r="DN125" s="1257"/>
      <c r="DO125" s="1257"/>
      <c r="DP125" s="1257"/>
      <c r="DQ125" s="1257"/>
      <c r="DR125" s="1257"/>
      <c r="DS125" s="1257"/>
      <c r="DT125" s="1257"/>
      <c r="DU125" s="1257"/>
      <c r="DV125" s="1257"/>
      <c r="DW125" s="1257"/>
      <c r="DX125" s="1257"/>
      <c r="DY125" s="1257"/>
      <c r="DZ125" s="1257"/>
      <c r="EA125" s="1257"/>
      <c r="EB125" s="1257"/>
      <c r="EC125" s="1257"/>
      <c r="ED125" s="1257"/>
      <c r="EE125" s="1257"/>
      <c r="EF125" s="1257"/>
      <c r="EG125" s="1257"/>
      <c r="EH125" s="1257"/>
      <c r="EI125" s="1257"/>
      <c r="EJ125" s="1257"/>
      <c r="EK125" s="1257"/>
      <c r="EL125" s="1257"/>
      <c r="EM125" s="1257"/>
      <c r="EN125" s="1257"/>
      <c r="EO125" s="1257"/>
      <c r="EP125" s="1257"/>
      <c r="EQ125" s="1257"/>
      <c r="ER125" s="1257"/>
      <c r="ES125" s="1257"/>
      <c r="ET125" s="1257"/>
      <c r="EU125" s="1257"/>
      <c r="EV125" s="1257"/>
      <c r="EW125" s="1257"/>
      <c r="EX125" s="1257"/>
      <c r="EY125" s="1257"/>
      <c r="EZ125" s="1257"/>
      <c r="FA125" s="1257"/>
      <c r="FB125" s="1257"/>
      <c r="FC125" s="1257"/>
      <c r="FD125" s="1257"/>
      <c r="FE125" s="1257"/>
      <c r="FF125" s="1257"/>
      <c r="FG125" s="1257"/>
      <c r="FH125" s="1257"/>
      <c r="FI125" s="1257"/>
      <c r="FJ125" s="1257"/>
      <c r="FK125" s="1257"/>
      <c r="FL125" s="1257"/>
      <c r="FM125" s="1257"/>
      <c r="FN125" s="1257"/>
      <c r="FO125" s="1257"/>
      <c r="FP125" s="1257"/>
      <c r="FQ125" s="1257"/>
      <c r="FR125" s="1257"/>
      <c r="FS125" s="1257"/>
      <c r="FT125" s="1257"/>
      <c r="FU125" s="1257"/>
      <c r="FV125" s="1257"/>
      <c r="FW125" s="1257"/>
      <c r="FX125" s="1257"/>
      <c r="FY125" s="1257"/>
      <c r="FZ125" s="1257"/>
      <c r="GA125" s="1257"/>
      <c r="GB125" s="1257"/>
      <c r="GC125" s="1257"/>
      <c r="GD125" s="1257"/>
      <c r="GE125" s="1257"/>
      <c r="GF125" s="1257"/>
      <c r="GG125" s="1257"/>
    </row>
    <row r="126" spans="1:189" s="129" customFormat="1" ht="15.95" customHeight="1">
      <c r="A126" s="406"/>
      <c r="B126" s="12"/>
      <c r="C126" s="13"/>
      <c r="D126" s="76"/>
      <c r="E126" s="142"/>
      <c r="F126" s="66"/>
      <c r="G126" s="142"/>
      <c r="H126" s="255"/>
      <c r="I126" s="262"/>
      <c r="J126" s="255"/>
      <c r="L126" s="129">
        <f>17500/22</f>
        <v>795.4545454545455</v>
      </c>
    </row>
    <row r="127" spans="1:189" s="129" customFormat="1" ht="24.95" customHeight="1">
      <c r="A127" s="1972" t="e">
        <f>#REF!</f>
        <v>#REF!</v>
      </c>
      <c r="B127" s="1973"/>
      <c r="C127" s="1973"/>
      <c r="D127" s="1973"/>
      <c r="E127" s="1973"/>
      <c r="F127" s="1974"/>
      <c r="G127" s="142"/>
      <c r="H127" s="255"/>
      <c r="I127" s="262"/>
      <c r="J127" s="255"/>
    </row>
    <row r="128" spans="1:189" s="129" customFormat="1">
      <c r="A128" s="689" t="e">
        <f>#REF!</f>
        <v>#REF!</v>
      </c>
      <c r="B128" s="711" t="e">
        <f>#REF!</f>
        <v>#REF!</v>
      </c>
      <c r="C128" s="542"/>
      <c r="D128" s="742"/>
      <c r="E128" s="641"/>
      <c r="F128" s="740"/>
      <c r="G128" s="142"/>
      <c r="H128" s="255"/>
      <c r="I128" s="262"/>
      <c r="J128" s="255"/>
    </row>
    <row r="129" spans="1:10" s="129" customFormat="1">
      <c r="A129" s="750" t="e">
        <f>#REF!</f>
        <v>#REF!</v>
      </c>
      <c r="B129" s="677" t="e">
        <f>#REF!</f>
        <v>#REF!</v>
      </c>
      <c r="C129" s="697" t="e">
        <f>#REF!</f>
        <v>#REF!</v>
      </c>
      <c r="D129" s="827">
        <f>J129</f>
        <v>10</v>
      </c>
      <c r="E129" s="633" t="e">
        <f>#REF!</f>
        <v>#REF!</v>
      </c>
      <c r="F129" s="655" t="e">
        <f>+D129*E129</f>
        <v>#REF!</v>
      </c>
      <c r="G129" s="142"/>
      <c r="H129" s="255">
        <f>+I3/25*2+3</f>
        <v>9.9600000000000009</v>
      </c>
      <c r="I129" s="262">
        <v>1.05</v>
      </c>
      <c r="J129" s="255">
        <f>ROUND(H129*I129,0)</f>
        <v>10</v>
      </c>
    </row>
    <row r="130" spans="1:10" s="129" customFormat="1">
      <c r="A130" s="751" t="e">
        <f>#REF!</f>
        <v>#REF!</v>
      </c>
      <c r="B130" s="753" t="e">
        <f>#REF!</f>
        <v>#REF!</v>
      </c>
      <c r="C130" s="652" t="e">
        <f>#REF!</f>
        <v>#REF!</v>
      </c>
      <c r="D130" s="808"/>
      <c r="E130" s="527" t="e">
        <f>#REF!</f>
        <v>#REF!</v>
      </c>
      <c r="F130" s="741" t="e">
        <f>+D130*E130</f>
        <v>#REF!</v>
      </c>
      <c r="G130" s="142"/>
      <c r="H130" s="255"/>
      <c r="I130" s="262"/>
      <c r="J130" s="255"/>
    </row>
    <row r="131" spans="1:10" s="129" customFormat="1">
      <c r="A131" s="678" t="e">
        <f>+#REF!</f>
        <v>#REF!</v>
      </c>
      <c r="B131" s="678" t="e">
        <f>+#REF!</f>
        <v>#REF!</v>
      </c>
      <c r="C131" s="697"/>
      <c r="D131" s="819"/>
      <c r="E131" s="633"/>
      <c r="F131" s="655"/>
      <c r="G131" s="142"/>
      <c r="H131" s="255"/>
      <c r="I131" s="262"/>
      <c r="J131" s="255"/>
    </row>
    <row r="132" spans="1:10" s="129" customFormat="1">
      <c r="A132" s="677" t="e">
        <f>+#REF!</f>
        <v>#REF!</v>
      </c>
      <c r="B132" s="677" t="e">
        <f>+#REF!</f>
        <v>#REF!</v>
      </c>
      <c r="C132" s="697" t="s">
        <v>27</v>
      </c>
      <c r="D132" s="819">
        <v>3</v>
      </c>
      <c r="E132" s="633" t="e">
        <f>+#REF!</f>
        <v>#REF!</v>
      </c>
      <c r="F132" s="655" t="e">
        <f>+D132*E132</f>
        <v>#REF!</v>
      </c>
      <c r="G132" s="142"/>
      <c r="H132" s="255"/>
      <c r="I132" s="262"/>
      <c r="J132" s="255"/>
    </row>
    <row r="133" spans="1:10" s="129" customFormat="1">
      <c r="A133" s="677" t="e">
        <f>+#REF!</f>
        <v>#REF!</v>
      </c>
      <c r="B133" s="677" t="e">
        <f>+#REF!</f>
        <v>#REF!</v>
      </c>
      <c r="C133" s="697" t="s">
        <v>27</v>
      </c>
      <c r="D133" s="819"/>
      <c r="E133" s="633" t="e">
        <f>+#REF!</f>
        <v>#REF!</v>
      </c>
      <c r="F133" s="655" t="e">
        <f>+D133*E133</f>
        <v>#REF!</v>
      </c>
      <c r="G133" s="142"/>
      <c r="H133" s="255"/>
      <c r="I133" s="262"/>
      <c r="J133" s="255"/>
    </row>
    <row r="134" spans="1:10" s="129" customFormat="1">
      <c r="A134" s="689" t="e">
        <f>#REF!</f>
        <v>#REF!</v>
      </c>
      <c r="B134" s="711" t="e">
        <f>#REF!</f>
        <v>#REF!</v>
      </c>
      <c r="C134" s="641"/>
      <c r="D134" s="807"/>
      <c r="E134" s="641"/>
      <c r="F134" s="740"/>
      <c r="G134" s="142"/>
      <c r="H134" s="255"/>
      <c r="I134" s="262"/>
      <c r="J134" s="255"/>
    </row>
    <row r="135" spans="1:10" s="129" customFormat="1">
      <c r="A135" s="751"/>
      <c r="B135" s="753"/>
      <c r="C135" s="652" t="e">
        <f>#REF!</f>
        <v>#REF!</v>
      </c>
      <c r="D135" s="808">
        <f>J135</f>
        <v>168</v>
      </c>
      <c r="E135" s="527" t="e">
        <f>#REF!</f>
        <v>#REF!</v>
      </c>
      <c r="F135" s="741" t="e">
        <f>+D135*E135</f>
        <v>#REF!</v>
      </c>
      <c r="G135" s="142"/>
      <c r="H135" s="255">
        <f>40*2*2</f>
        <v>160</v>
      </c>
      <c r="I135" s="262">
        <v>1.05</v>
      </c>
      <c r="J135" s="255">
        <f>ROUND(H135*I135,0)</f>
        <v>168</v>
      </c>
    </row>
    <row r="136" spans="1:10" s="129" customFormat="1">
      <c r="A136" s="711" t="e">
        <f>+#REF!</f>
        <v>#REF!</v>
      </c>
      <c r="B136" s="711" t="e">
        <f>+#REF!</f>
        <v>#REF!</v>
      </c>
      <c r="C136" s="641"/>
      <c r="D136" s="807"/>
      <c r="E136" s="641"/>
      <c r="F136" s="740"/>
      <c r="G136" s="142"/>
      <c r="H136" s="255"/>
      <c r="I136" s="262"/>
      <c r="J136" s="255"/>
    </row>
    <row r="137" spans="1:10" s="129" customFormat="1">
      <c r="A137" s="753" t="e">
        <f>+#REF!</f>
        <v>#REF!</v>
      </c>
      <c r="B137" s="753" t="e">
        <f>+#REF!</f>
        <v>#REF!</v>
      </c>
      <c r="C137" s="652" t="s">
        <v>27</v>
      </c>
      <c r="D137" s="808">
        <f>+J137</f>
        <v>6</v>
      </c>
      <c r="E137" s="527" t="e">
        <f>+#REF!</f>
        <v>#REF!</v>
      </c>
      <c r="F137" s="741" t="e">
        <f>+D137*E137</f>
        <v>#REF!</v>
      </c>
      <c r="G137" s="142"/>
      <c r="H137" s="255">
        <f>3.48+2</f>
        <v>5.48</v>
      </c>
      <c r="I137" s="262">
        <v>1.05</v>
      </c>
      <c r="J137" s="255">
        <f>ROUND(+H137*I137,0)</f>
        <v>6</v>
      </c>
    </row>
    <row r="138" spans="1:10" s="129" customFormat="1" ht="18.75">
      <c r="A138" s="1426"/>
      <c r="B138" s="500"/>
      <c r="C138" s="686"/>
      <c r="D138" s="635"/>
      <c r="E138" s="636" t="s">
        <v>112</v>
      </c>
      <c r="F138" s="1122" t="e">
        <f>SUM(F128:F137)</f>
        <v>#REF!</v>
      </c>
      <c r="G138" s="142"/>
      <c r="H138" s="142"/>
      <c r="I138" s="262"/>
      <c r="J138" s="255"/>
    </row>
    <row r="139" spans="1:10" s="129" customFormat="1" ht="15" customHeight="1">
      <c r="A139" s="1426"/>
      <c r="B139" s="500"/>
      <c r="C139" s="500"/>
      <c r="D139" s="737"/>
      <c r="E139" s="500"/>
      <c r="F139" s="500"/>
      <c r="G139" s="142"/>
      <c r="H139" s="255"/>
      <c r="I139" s="262"/>
      <c r="J139" s="255"/>
    </row>
    <row r="140" spans="1:10" s="129" customFormat="1" ht="24.95" customHeight="1">
      <c r="A140" s="1426"/>
      <c r="B140" s="500"/>
      <c r="C140" s="686"/>
      <c r="D140" s="635"/>
      <c r="E140" s="636" t="s">
        <v>534</v>
      </c>
      <c r="F140" s="1442" t="e">
        <f>+F48+F57+F93+F125+F138</f>
        <v>#REF!</v>
      </c>
      <c r="G140" s="142"/>
      <c r="H140" s="255"/>
      <c r="I140" s="142"/>
      <c r="J140" s="255"/>
    </row>
    <row r="141" spans="1:10" ht="15" customHeight="1">
      <c r="A141" s="1426"/>
      <c r="B141" s="500"/>
      <c r="C141" s="500"/>
      <c r="D141" s="500"/>
      <c r="E141" s="500"/>
      <c r="F141" s="500"/>
    </row>
    <row r="142" spans="1:10" ht="24.95" customHeight="1">
      <c r="A142" s="1426"/>
      <c r="B142" s="500"/>
      <c r="C142" s="686"/>
      <c r="D142" s="635"/>
      <c r="E142" s="636" t="s">
        <v>533</v>
      </c>
      <c r="F142" s="1122" t="e">
        <f>F140+F32</f>
        <v>#REF!</v>
      </c>
    </row>
    <row r="153" spans="1:6" ht="19.5">
      <c r="A153" s="434"/>
      <c r="D153" s="62"/>
      <c r="E153" s="62"/>
      <c r="F153" s="99"/>
    </row>
    <row r="154" spans="1:6" ht="26.25">
      <c r="B154" s="1859"/>
      <c r="C154" s="1859"/>
      <c r="D154" s="1859"/>
      <c r="E154" s="1859"/>
      <c r="F154" s="1859"/>
    </row>
  </sheetData>
  <mergeCells count="10">
    <mergeCell ref="A2:F2"/>
    <mergeCell ref="B154:F154"/>
    <mergeCell ref="A1:F1"/>
    <mergeCell ref="A10:F10"/>
    <mergeCell ref="A17:F17"/>
    <mergeCell ref="A34:F34"/>
    <mergeCell ref="A50:F50"/>
    <mergeCell ref="A59:F59"/>
    <mergeCell ref="A95:F95"/>
    <mergeCell ref="A127:F127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  <rowBreaks count="2" manualBreakCount="2">
    <brk id="57" max="6" man="1"/>
    <brk id="112" max="6" man="1"/>
  </rowBreaks>
  <colBreaks count="1" manualBreakCount="1">
    <brk id="6" max="1048575" man="1"/>
  </colBreaks>
  <legacy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tabColor theme="7" tint="-0.249977111117893"/>
  </sheetPr>
  <dimension ref="A1:GG165"/>
  <sheetViews>
    <sheetView view="pageBreakPreview" topLeftCell="A80" zoomScale="75" zoomScaleNormal="80" zoomScaleSheetLayoutView="75" workbookViewId="0">
      <selection activeCell="C140" sqref="C140"/>
    </sheetView>
  </sheetViews>
  <sheetFormatPr baseColWidth="10" defaultColWidth="9.140625" defaultRowHeight="15"/>
  <cols>
    <col min="1" max="1" width="15.7109375" style="142" customWidth="1"/>
    <col min="2" max="2" width="90.140625" style="142" customWidth="1"/>
    <col min="3" max="3" width="11" style="142" customWidth="1"/>
    <col min="4" max="4" width="14.85546875" style="142" customWidth="1"/>
    <col min="5" max="5" width="20" style="142" customWidth="1"/>
    <col min="6" max="6" width="22.42578125" style="142" customWidth="1"/>
    <col min="7" max="7" width="13.42578125" style="142" bestFit="1" customWidth="1"/>
    <col min="8" max="8" width="21.28515625" style="255" customWidth="1"/>
    <col min="9" max="9" width="23.140625" style="262" bestFit="1" customWidth="1"/>
    <col min="10" max="10" width="16" style="255" bestFit="1" customWidth="1"/>
    <col min="11" max="11" width="9.140625" style="129"/>
    <col min="12" max="12" width="9.28515625" style="129" bestFit="1" customWidth="1"/>
    <col min="13" max="189" width="9.140625" style="129"/>
    <col min="190" max="16384" width="9.140625" style="142"/>
  </cols>
  <sheetData>
    <row r="1" spans="1:10" ht="20.25" thickBot="1">
      <c r="A1" s="1971" t="e">
        <f>+#REF!</f>
        <v>#REF!</v>
      </c>
      <c r="B1" s="1971"/>
      <c r="C1" s="1971"/>
      <c r="D1" s="1971"/>
      <c r="E1" s="1971"/>
      <c r="F1" s="1971"/>
    </row>
    <row r="2" spans="1:10" s="129" customFormat="1" ht="25.5" thickBot="1">
      <c r="A2" s="1856" t="s">
        <v>526</v>
      </c>
      <c r="B2" s="1857"/>
      <c r="C2" s="1857"/>
      <c r="D2" s="1857"/>
      <c r="E2" s="1857"/>
      <c r="F2" s="1858"/>
      <c r="G2" s="119"/>
      <c r="H2" s="255"/>
      <c r="I2" s="262"/>
      <c r="J2" s="255"/>
    </row>
    <row r="3" spans="1:10" s="129" customFormat="1" ht="24.75">
      <c r="A3" s="329"/>
      <c r="B3" s="329"/>
      <c r="C3" s="329"/>
      <c r="D3" s="329"/>
      <c r="E3" s="99" t="s">
        <v>324</v>
      </c>
      <c r="F3" s="62">
        <v>423</v>
      </c>
      <c r="G3" s="119"/>
      <c r="H3" s="255"/>
      <c r="I3" s="262"/>
      <c r="J3" s="255"/>
    </row>
    <row r="4" spans="1:10" s="129" customFormat="1" ht="19.5">
      <c r="A4" s="90"/>
      <c r="B4" s="142"/>
      <c r="C4" s="142"/>
      <c r="D4" s="62"/>
      <c r="E4" s="99" t="s">
        <v>753</v>
      </c>
      <c r="F4" s="62">
        <v>545</v>
      </c>
      <c r="G4" s="142"/>
      <c r="H4" s="255"/>
      <c r="I4" s="262"/>
      <c r="J4" s="255"/>
    </row>
    <row r="5" spans="1:10" s="129" customFormat="1" ht="19.5">
      <c r="A5" s="90"/>
      <c r="B5" s="142"/>
      <c r="C5" s="142"/>
      <c r="D5" s="62"/>
      <c r="E5" s="99" t="s">
        <v>600</v>
      </c>
      <c r="F5" s="62">
        <f>625-545</f>
        <v>80</v>
      </c>
      <c r="G5" s="142"/>
      <c r="H5" s="255" t="s">
        <v>310</v>
      </c>
      <c r="I5" s="262">
        <v>690</v>
      </c>
      <c r="J5" s="255"/>
    </row>
    <row r="6" spans="1:10" s="129" customFormat="1" ht="19.5">
      <c r="A6" s="90"/>
      <c r="B6" s="142"/>
      <c r="C6" s="142"/>
      <c r="D6" s="62"/>
      <c r="E6" s="99" t="s">
        <v>600</v>
      </c>
      <c r="F6" s="62">
        <f>690-625</f>
        <v>65</v>
      </c>
      <c r="G6" s="142"/>
      <c r="H6" s="255" t="s">
        <v>311</v>
      </c>
      <c r="I6" s="262">
        <f>F12-I5</f>
        <v>463</v>
      </c>
      <c r="J6" s="255"/>
    </row>
    <row r="7" spans="1:10" s="129" customFormat="1" ht="19.5">
      <c r="A7" s="90"/>
      <c r="B7" s="142"/>
      <c r="C7" s="142"/>
      <c r="D7" s="62"/>
      <c r="E7" s="99" t="s">
        <v>754</v>
      </c>
      <c r="F7" s="62">
        <f>1153-690</f>
        <v>463</v>
      </c>
      <c r="G7" s="142"/>
      <c r="H7" s="255"/>
      <c r="I7" s="262"/>
      <c r="J7" s="255"/>
    </row>
    <row r="8" spans="1:10" s="129" customFormat="1" ht="19.5" hidden="1">
      <c r="A8" s="90"/>
      <c r="B8" s="142"/>
      <c r="C8" s="142"/>
      <c r="D8" s="62"/>
      <c r="E8" s="99"/>
      <c r="F8" s="62"/>
      <c r="G8" s="142"/>
      <c r="H8" s="255"/>
      <c r="I8" s="262"/>
      <c r="J8" s="255"/>
    </row>
    <row r="9" spans="1:10" s="129" customFormat="1" ht="19.5" hidden="1">
      <c r="A9" s="90"/>
      <c r="B9" s="142"/>
      <c r="C9" s="142"/>
      <c r="D9" s="62"/>
      <c r="E9" s="99"/>
      <c r="F9" s="144"/>
      <c r="G9" s="142"/>
      <c r="H9" s="255"/>
      <c r="I9" s="262"/>
      <c r="J9" s="255"/>
    </row>
    <row r="10" spans="1:10" s="129" customFormat="1" ht="19.5" hidden="1">
      <c r="A10" s="90"/>
      <c r="B10" s="142"/>
      <c r="C10" s="142"/>
      <c r="D10" s="62"/>
      <c r="E10" s="99"/>
      <c r="F10" s="144"/>
      <c r="G10" s="142"/>
      <c r="H10" s="255"/>
      <c r="I10" s="262"/>
      <c r="J10" s="255"/>
    </row>
    <row r="11" spans="1:10" s="129" customFormat="1">
      <c r="A11" s="44"/>
      <c r="B11" s="142"/>
      <c r="C11" s="142"/>
      <c r="D11" s="62"/>
      <c r="E11" s="99" t="s">
        <v>308</v>
      </c>
      <c r="F11" s="144">
        <f>SUM(F4:F7)</f>
        <v>1153</v>
      </c>
      <c r="G11" s="89"/>
      <c r="H11" s="255"/>
      <c r="I11" s="262"/>
      <c r="J11" s="255"/>
    </row>
    <row r="12" spans="1:10" s="129" customFormat="1" ht="15" customHeight="1">
      <c r="A12" s="106"/>
      <c r="B12" s="142"/>
      <c r="C12" s="142"/>
      <c r="D12" s="62"/>
      <c r="E12" s="99" t="s">
        <v>309</v>
      </c>
      <c r="F12" s="144">
        <v>1153</v>
      </c>
      <c r="G12" s="89"/>
      <c r="H12" s="255" t="s">
        <v>186</v>
      </c>
      <c r="I12" s="262" t="s">
        <v>187</v>
      </c>
      <c r="J12" s="255" t="s">
        <v>188</v>
      </c>
    </row>
    <row r="13" spans="1:10" s="129" customFormat="1" ht="15" customHeight="1">
      <c r="A13" s="106"/>
      <c r="B13" s="142"/>
      <c r="C13" s="142"/>
      <c r="D13" s="62"/>
      <c r="E13" s="99"/>
      <c r="F13" s="144"/>
      <c r="G13" s="89"/>
      <c r="H13" s="255"/>
      <c r="I13" s="262"/>
      <c r="J13" s="255"/>
    </row>
    <row r="14" spans="1:10" s="129" customFormat="1" ht="24.95" customHeight="1">
      <c r="A14" s="1410" t="s">
        <v>661</v>
      </c>
      <c r="B14" s="1411" t="s">
        <v>584</v>
      </c>
      <c r="C14" s="1409" t="s">
        <v>98</v>
      </c>
      <c r="D14" s="1402" t="s">
        <v>99</v>
      </c>
      <c r="E14" s="1403" t="s">
        <v>100</v>
      </c>
      <c r="F14" s="1403" t="s">
        <v>114</v>
      </c>
      <c r="G14" s="89"/>
      <c r="H14" s="255"/>
      <c r="I14" s="262"/>
      <c r="J14" s="255"/>
    </row>
    <row r="15" spans="1:10" s="129" customFormat="1" ht="24.95" customHeight="1">
      <c r="A15" s="1863" t="e">
        <f>#REF!</f>
        <v>#REF!</v>
      </c>
      <c r="B15" s="1864"/>
      <c r="C15" s="1864"/>
      <c r="D15" s="1864"/>
      <c r="E15" s="1864"/>
      <c r="F15" s="1865"/>
      <c r="G15" s="142"/>
      <c r="H15" s="255"/>
      <c r="I15" s="262"/>
      <c r="J15" s="255"/>
    </row>
    <row r="16" spans="1:10" s="129" customFormat="1" ht="30" customHeight="1">
      <c r="A16" s="687" t="e">
        <f>#REF!</f>
        <v>#REF!</v>
      </c>
      <c r="B16" s="687" t="e">
        <f>#REF!</f>
        <v>#REF!</v>
      </c>
      <c r="C16" s="1478"/>
      <c r="D16" s="543"/>
      <c r="E16" s="1492"/>
      <c r="F16" s="544"/>
      <c r="G16" s="142"/>
      <c r="H16" s="255"/>
      <c r="I16" s="262"/>
      <c r="J16" s="255"/>
    </row>
    <row r="17" spans="1:189" s="129" customFormat="1">
      <c r="A17" s="690"/>
      <c r="B17" s="690"/>
      <c r="C17" s="1493" t="e">
        <f>#REF!</f>
        <v>#REF!</v>
      </c>
      <c r="D17" s="546">
        <v>1</v>
      </c>
      <c r="E17" s="547" t="e">
        <f>J17</f>
        <v>#REF!</v>
      </c>
      <c r="F17" s="547" t="e">
        <f>+D17*E17</f>
        <v>#REF!</v>
      </c>
      <c r="G17" s="142"/>
      <c r="H17" s="255" t="e">
        <f>10%*F151</f>
        <v>#REF!</v>
      </c>
      <c r="I17" s="262">
        <v>1</v>
      </c>
      <c r="J17" s="255" t="e">
        <f>H17*I17</f>
        <v>#REF!</v>
      </c>
    </row>
    <row r="18" spans="1:189" s="129" customFormat="1">
      <c r="A18" s="684" t="e">
        <f>#REF!</f>
        <v>#REF!</v>
      </c>
      <c r="B18" s="684" t="e">
        <f>#REF!</f>
        <v>#REF!</v>
      </c>
      <c r="C18" s="1494"/>
      <c r="D18" s="660"/>
      <c r="E18" s="633"/>
      <c r="F18" s="633"/>
      <c r="G18" s="142"/>
      <c r="H18" s="255"/>
      <c r="I18" s="262"/>
      <c r="J18" s="255"/>
    </row>
    <row r="19" spans="1:189" s="129" customFormat="1">
      <c r="A19" s="690"/>
      <c r="B19" s="690"/>
      <c r="C19" s="1493" t="e">
        <f>#REF!</f>
        <v>#REF!</v>
      </c>
      <c r="D19" s="546">
        <v>1</v>
      </c>
      <c r="E19" s="527" t="e">
        <f>+H19</f>
        <v>#REF!</v>
      </c>
      <c r="F19" s="527" t="e">
        <f>+D19*E19</f>
        <v>#REF!</v>
      </c>
      <c r="G19" s="142"/>
      <c r="H19" s="255" t="e">
        <f>+H17*0.1</f>
        <v>#REF!</v>
      </c>
      <c r="I19" s="262">
        <v>1</v>
      </c>
      <c r="J19" s="255" t="e">
        <f>H19*I19</f>
        <v>#REF!</v>
      </c>
    </row>
    <row r="20" spans="1:189" ht="18.75">
      <c r="A20" s="747"/>
      <c r="B20" s="458"/>
      <c r="C20" s="686"/>
      <c r="D20" s="635"/>
      <c r="E20" s="636" t="s">
        <v>108</v>
      </c>
      <c r="F20" s="1122" t="e">
        <f>SUM(F16:F19)</f>
        <v>#REF!</v>
      </c>
    </row>
    <row r="21" spans="1:189">
      <c r="D21" s="75"/>
      <c r="E21" s="62"/>
      <c r="F21" s="62"/>
    </row>
    <row r="22" spans="1:189" ht="24.95" customHeight="1">
      <c r="A22" s="1863" t="e">
        <f>#REF!</f>
        <v>#REF!</v>
      </c>
      <c r="B22" s="1864"/>
      <c r="C22" s="1864"/>
      <c r="D22" s="1864"/>
      <c r="E22" s="1864"/>
      <c r="F22" s="1865"/>
    </row>
    <row r="23" spans="1:189">
      <c r="A23" s="689" t="e">
        <f>#REF!</f>
        <v>#REF!</v>
      </c>
      <c r="B23" s="711" t="e">
        <f>#REF!</f>
        <v>#REF!</v>
      </c>
      <c r="C23" s="641"/>
      <c r="D23" s="641"/>
      <c r="E23" s="641"/>
      <c r="F23" s="740"/>
    </row>
    <row r="24" spans="1:189">
      <c r="A24" s="1425"/>
      <c r="B24" s="691"/>
      <c r="C24" s="1493" t="e">
        <f>#REF!</f>
        <v>#REF!</v>
      </c>
      <c r="D24" s="527">
        <v>1</v>
      </c>
      <c r="E24" s="527" t="e">
        <f>+#REF!</f>
        <v>#REF!</v>
      </c>
      <c r="F24" s="741" t="e">
        <f>+D24*E24</f>
        <v>#REF!</v>
      </c>
    </row>
    <row r="25" spans="1:189" s="205" customFormat="1">
      <c r="A25" s="745" t="e">
        <f>#REF!</f>
        <v>#REF!</v>
      </c>
      <c r="B25" s="830" t="e">
        <f>#REF!</f>
        <v>#REF!</v>
      </c>
      <c r="C25" s="1478"/>
      <c r="D25" s="543"/>
      <c r="E25" s="544"/>
      <c r="F25" s="1136"/>
      <c r="H25" s="258"/>
      <c r="I25" s="264"/>
      <c r="J25" s="258"/>
    </row>
    <row r="26" spans="1:189" s="205" customFormat="1">
      <c r="A26" s="1432"/>
      <c r="B26" s="680"/>
      <c r="C26" s="1493" t="e">
        <f>#REF!</f>
        <v>#REF!</v>
      </c>
      <c r="D26" s="714">
        <v>1</v>
      </c>
      <c r="E26" s="547" t="e">
        <f>+H26</f>
        <v>#REF!</v>
      </c>
      <c r="F26" s="963" t="e">
        <f>+D26*E26</f>
        <v>#REF!</v>
      </c>
      <c r="H26" s="258" t="e">
        <f>+F151*0.02</f>
        <v>#REF!</v>
      </c>
      <c r="I26" s="264">
        <v>1.05</v>
      </c>
      <c r="J26" s="258" t="e">
        <f>H26*I26</f>
        <v>#REF!</v>
      </c>
    </row>
    <row r="27" spans="1:189" s="225" customFormat="1">
      <c r="A27" s="689" t="e">
        <f>#REF!</f>
        <v>#REF!</v>
      </c>
      <c r="B27" s="711" t="e">
        <f>#REF!</f>
        <v>#REF!</v>
      </c>
      <c r="C27" s="1524"/>
      <c r="D27" s="543"/>
      <c r="E27" s="641"/>
      <c r="F27" s="740"/>
      <c r="H27" s="259"/>
      <c r="I27" s="265"/>
      <c r="J27" s="259"/>
      <c r="K27" s="226"/>
      <c r="L27" s="226"/>
      <c r="M27" s="226"/>
      <c r="N27" s="226"/>
      <c r="O27" s="226"/>
      <c r="P27" s="226"/>
      <c r="Q27" s="226"/>
      <c r="R27" s="226"/>
      <c r="S27" s="226"/>
      <c r="T27" s="226"/>
      <c r="U27" s="226"/>
      <c r="V27" s="226"/>
      <c r="W27" s="226"/>
      <c r="X27" s="226"/>
      <c r="Y27" s="226"/>
      <c r="Z27" s="226"/>
      <c r="AA27" s="226"/>
      <c r="AB27" s="226"/>
      <c r="AC27" s="226"/>
      <c r="AD27" s="226"/>
      <c r="AE27" s="226"/>
      <c r="AF27" s="226"/>
      <c r="AG27" s="226"/>
      <c r="AH27" s="226"/>
      <c r="AI27" s="226"/>
      <c r="AJ27" s="226"/>
      <c r="AK27" s="226"/>
      <c r="AL27" s="226"/>
      <c r="AM27" s="226"/>
      <c r="AN27" s="226"/>
      <c r="AO27" s="226"/>
      <c r="AP27" s="226"/>
      <c r="AQ27" s="226"/>
      <c r="AR27" s="226"/>
      <c r="AS27" s="226"/>
      <c r="AT27" s="226"/>
      <c r="AU27" s="226"/>
      <c r="AV27" s="226"/>
      <c r="AW27" s="226"/>
      <c r="AX27" s="226"/>
      <c r="AY27" s="226"/>
      <c r="AZ27" s="226"/>
      <c r="BA27" s="226"/>
      <c r="BB27" s="226"/>
      <c r="BC27" s="226"/>
      <c r="BD27" s="226"/>
      <c r="BE27" s="226"/>
      <c r="BF27" s="226"/>
      <c r="BG27" s="226"/>
      <c r="BH27" s="226"/>
      <c r="BI27" s="226"/>
      <c r="BJ27" s="226"/>
      <c r="BK27" s="226"/>
      <c r="BL27" s="226"/>
      <c r="BM27" s="226"/>
      <c r="BN27" s="226"/>
      <c r="BO27" s="226"/>
      <c r="BP27" s="226"/>
      <c r="BQ27" s="226"/>
      <c r="BR27" s="226"/>
      <c r="BS27" s="226"/>
      <c r="BT27" s="226"/>
      <c r="BU27" s="226"/>
      <c r="BV27" s="226"/>
      <c r="BW27" s="226"/>
      <c r="BX27" s="226"/>
      <c r="BY27" s="226"/>
      <c r="BZ27" s="226"/>
      <c r="CA27" s="226"/>
      <c r="CB27" s="226"/>
      <c r="CC27" s="226"/>
      <c r="CD27" s="226"/>
      <c r="CE27" s="226"/>
      <c r="CF27" s="226"/>
      <c r="CG27" s="226"/>
      <c r="CH27" s="226"/>
      <c r="CI27" s="226"/>
      <c r="CJ27" s="226"/>
      <c r="CK27" s="226"/>
      <c r="CL27" s="226"/>
      <c r="CM27" s="226"/>
      <c r="CN27" s="226"/>
      <c r="CO27" s="226"/>
      <c r="CP27" s="226"/>
      <c r="CQ27" s="226"/>
      <c r="CR27" s="226"/>
      <c r="CS27" s="226"/>
      <c r="CT27" s="226"/>
      <c r="CU27" s="226"/>
      <c r="CV27" s="226"/>
      <c r="CW27" s="226"/>
      <c r="CX27" s="226"/>
      <c r="CY27" s="226"/>
      <c r="CZ27" s="226"/>
      <c r="DA27" s="226"/>
      <c r="DB27" s="226"/>
      <c r="DC27" s="226"/>
      <c r="DD27" s="226"/>
      <c r="DE27" s="226"/>
      <c r="DF27" s="226"/>
      <c r="DG27" s="226"/>
      <c r="DH27" s="226"/>
      <c r="DI27" s="226"/>
      <c r="DJ27" s="226"/>
      <c r="DK27" s="226"/>
      <c r="DL27" s="226"/>
      <c r="DM27" s="226"/>
      <c r="DN27" s="226"/>
      <c r="DO27" s="226"/>
      <c r="DP27" s="226"/>
      <c r="DQ27" s="226"/>
      <c r="DR27" s="226"/>
      <c r="DS27" s="226"/>
      <c r="DT27" s="226"/>
      <c r="DU27" s="226"/>
      <c r="DV27" s="226"/>
      <c r="DW27" s="226"/>
      <c r="DX27" s="226"/>
      <c r="DY27" s="226"/>
      <c r="DZ27" s="226"/>
      <c r="EA27" s="226"/>
      <c r="EB27" s="226"/>
      <c r="EC27" s="226"/>
      <c r="ED27" s="226"/>
      <c r="EE27" s="226"/>
      <c r="EF27" s="226"/>
      <c r="EG27" s="226"/>
      <c r="EH27" s="226"/>
      <c r="EI27" s="226"/>
      <c r="EJ27" s="226"/>
      <c r="EK27" s="226"/>
      <c r="EL27" s="226"/>
      <c r="EM27" s="226"/>
      <c r="EN27" s="226"/>
      <c r="EO27" s="226"/>
      <c r="EP27" s="226"/>
      <c r="EQ27" s="226"/>
      <c r="ER27" s="226"/>
      <c r="ES27" s="226"/>
      <c r="ET27" s="226"/>
      <c r="EU27" s="226"/>
      <c r="EV27" s="226"/>
      <c r="EW27" s="226"/>
      <c r="EX27" s="226"/>
      <c r="EY27" s="226"/>
      <c r="EZ27" s="226"/>
      <c r="FA27" s="226"/>
      <c r="FB27" s="226"/>
      <c r="FC27" s="226"/>
      <c r="FD27" s="226"/>
      <c r="FE27" s="226"/>
      <c r="FF27" s="226"/>
      <c r="FG27" s="226"/>
      <c r="FH27" s="226"/>
      <c r="FI27" s="226"/>
      <c r="FJ27" s="226"/>
      <c r="FK27" s="226"/>
      <c r="FL27" s="226"/>
      <c r="FM27" s="226"/>
      <c r="FN27" s="226"/>
      <c r="FO27" s="226"/>
      <c r="FP27" s="226"/>
      <c r="FQ27" s="226"/>
      <c r="FR27" s="226"/>
      <c r="FS27" s="226"/>
      <c r="FT27" s="226"/>
      <c r="FU27" s="226"/>
      <c r="FV27" s="226"/>
      <c r="FW27" s="226"/>
      <c r="FX27" s="226"/>
      <c r="FY27" s="226"/>
      <c r="FZ27" s="226"/>
      <c r="GA27" s="226"/>
      <c r="GB27" s="226"/>
      <c r="GC27" s="226"/>
      <c r="GD27" s="226"/>
      <c r="GE27" s="226"/>
      <c r="GF27" s="226"/>
      <c r="GG27" s="226"/>
    </row>
    <row r="28" spans="1:189" s="225" customFormat="1">
      <c r="A28" s="1425"/>
      <c r="B28" s="691"/>
      <c r="C28" s="1493" t="e">
        <f>#REF!</f>
        <v>#REF!</v>
      </c>
      <c r="D28" s="714">
        <v>1</v>
      </c>
      <c r="E28" s="527" t="e">
        <f>+#REF!</f>
        <v>#REF!</v>
      </c>
      <c r="F28" s="741" t="e">
        <f>+D28*E28</f>
        <v>#REF!</v>
      </c>
      <c r="H28" s="259"/>
      <c r="I28" s="265"/>
      <c r="J28" s="259"/>
      <c r="K28" s="226"/>
      <c r="L28" s="226"/>
      <c r="M28" s="226"/>
      <c r="N28" s="226"/>
      <c r="O28" s="226"/>
      <c r="P28" s="226"/>
      <c r="Q28" s="226"/>
      <c r="R28" s="226"/>
      <c r="S28" s="226"/>
      <c r="T28" s="226"/>
      <c r="U28" s="226"/>
      <c r="V28" s="226"/>
      <c r="W28" s="226"/>
      <c r="X28" s="226"/>
      <c r="Y28" s="226"/>
      <c r="Z28" s="226"/>
      <c r="AA28" s="226"/>
      <c r="AB28" s="226"/>
      <c r="AC28" s="226"/>
      <c r="AD28" s="226"/>
      <c r="AE28" s="226"/>
      <c r="AF28" s="226"/>
      <c r="AG28" s="226"/>
      <c r="AH28" s="226"/>
      <c r="AI28" s="226"/>
      <c r="AJ28" s="226"/>
      <c r="AK28" s="226"/>
      <c r="AL28" s="226"/>
      <c r="AM28" s="226"/>
      <c r="AN28" s="226"/>
      <c r="AO28" s="226"/>
      <c r="AP28" s="226"/>
      <c r="AQ28" s="226"/>
      <c r="AR28" s="226"/>
      <c r="AS28" s="226"/>
      <c r="AT28" s="226"/>
      <c r="AU28" s="226"/>
      <c r="AV28" s="226"/>
      <c r="AW28" s="226"/>
      <c r="AX28" s="226"/>
      <c r="AY28" s="226"/>
      <c r="AZ28" s="226"/>
      <c r="BA28" s="226"/>
      <c r="BB28" s="226"/>
      <c r="BC28" s="226"/>
      <c r="BD28" s="226"/>
      <c r="BE28" s="226"/>
      <c r="BF28" s="226"/>
      <c r="BG28" s="226"/>
      <c r="BH28" s="226"/>
      <c r="BI28" s="226"/>
      <c r="BJ28" s="226"/>
      <c r="BK28" s="226"/>
      <c r="BL28" s="226"/>
      <c r="BM28" s="226"/>
      <c r="BN28" s="226"/>
      <c r="BO28" s="226"/>
      <c r="BP28" s="226"/>
      <c r="BQ28" s="226"/>
      <c r="BR28" s="226"/>
      <c r="BS28" s="226"/>
      <c r="BT28" s="226"/>
      <c r="BU28" s="226"/>
      <c r="BV28" s="226"/>
      <c r="BW28" s="226"/>
      <c r="BX28" s="226"/>
      <c r="BY28" s="226"/>
      <c r="BZ28" s="226"/>
      <c r="CA28" s="226"/>
      <c r="CB28" s="226"/>
      <c r="CC28" s="226"/>
      <c r="CD28" s="226"/>
      <c r="CE28" s="226"/>
      <c r="CF28" s="226"/>
      <c r="CG28" s="226"/>
      <c r="CH28" s="226"/>
      <c r="CI28" s="226"/>
      <c r="CJ28" s="226"/>
      <c r="CK28" s="226"/>
      <c r="CL28" s="226"/>
      <c r="CM28" s="226"/>
      <c r="CN28" s="226"/>
      <c r="CO28" s="226"/>
      <c r="CP28" s="226"/>
      <c r="CQ28" s="226"/>
      <c r="CR28" s="226"/>
      <c r="CS28" s="226"/>
      <c r="CT28" s="226"/>
      <c r="CU28" s="226"/>
      <c r="CV28" s="226"/>
      <c r="CW28" s="226"/>
      <c r="CX28" s="226"/>
      <c r="CY28" s="226"/>
      <c r="CZ28" s="226"/>
      <c r="DA28" s="226"/>
      <c r="DB28" s="226"/>
      <c r="DC28" s="226"/>
      <c r="DD28" s="226"/>
      <c r="DE28" s="226"/>
      <c r="DF28" s="226"/>
      <c r="DG28" s="226"/>
      <c r="DH28" s="226"/>
      <c r="DI28" s="226"/>
      <c r="DJ28" s="226"/>
      <c r="DK28" s="226"/>
      <c r="DL28" s="226"/>
      <c r="DM28" s="226"/>
      <c r="DN28" s="226"/>
      <c r="DO28" s="226"/>
      <c r="DP28" s="226"/>
      <c r="DQ28" s="226"/>
      <c r="DR28" s="226"/>
      <c r="DS28" s="226"/>
      <c r="DT28" s="226"/>
      <c r="DU28" s="226"/>
      <c r="DV28" s="226"/>
      <c r="DW28" s="226"/>
      <c r="DX28" s="226"/>
      <c r="DY28" s="226"/>
      <c r="DZ28" s="226"/>
      <c r="EA28" s="226"/>
      <c r="EB28" s="226"/>
      <c r="EC28" s="226"/>
      <c r="ED28" s="226"/>
      <c r="EE28" s="226"/>
      <c r="EF28" s="226"/>
      <c r="EG28" s="226"/>
      <c r="EH28" s="226"/>
      <c r="EI28" s="226"/>
      <c r="EJ28" s="226"/>
      <c r="EK28" s="226"/>
      <c r="EL28" s="226"/>
      <c r="EM28" s="226"/>
      <c r="EN28" s="226"/>
      <c r="EO28" s="226"/>
      <c r="EP28" s="226"/>
      <c r="EQ28" s="226"/>
      <c r="ER28" s="226"/>
      <c r="ES28" s="226"/>
      <c r="ET28" s="226"/>
      <c r="EU28" s="226"/>
      <c r="EV28" s="226"/>
      <c r="EW28" s="226"/>
      <c r="EX28" s="226"/>
      <c r="EY28" s="226"/>
      <c r="EZ28" s="226"/>
      <c r="FA28" s="226"/>
      <c r="FB28" s="226"/>
      <c r="FC28" s="226"/>
      <c r="FD28" s="226"/>
      <c r="FE28" s="226"/>
      <c r="FF28" s="226"/>
      <c r="FG28" s="226"/>
      <c r="FH28" s="226"/>
      <c r="FI28" s="226"/>
      <c r="FJ28" s="226"/>
      <c r="FK28" s="226"/>
      <c r="FL28" s="226"/>
      <c r="FM28" s="226"/>
      <c r="FN28" s="226"/>
      <c r="FO28" s="226"/>
      <c r="FP28" s="226"/>
      <c r="FQ28" s="226"/>
      <c r="FR28" s="226"/>
      <c r="FS28" s="226"/>
      <c r="FT28" s="226"/>
      <c r="FU28" s="226"/>
      <c r="FV28" s="226"/>
      <c r="FW28" s="226"/>
      <c r="FX28" s="226"/>
      <c r="FY28" s="226"/>
      <c r="FZ28" s="226"/>
      <c r="GA28" s="226"/>
      <c r="GB28" s="226"/>
      <c r="GC28" s="226"/>
      <c r="GD28" s="226"/>
      <c r="GE28" s="226"/>
      <c r="GF28" s="226"/>
      <c r="GG28" s="226"/>
    </row>
    <row r="29" spans="1:189">
      <c r="A29" s="689" t="e">
        <f>#REF!</f>
        <v>#REF!</v>
      </c>
      <c r="B29" s="711" t="e">
        <f>#REF!</f>
        <v>#REF!</v>
      </c>
      <c r="C29" s="641"/>
      <c r="D29" s="544"/>
      <c r="E29" s="641"/>
      <c r="F29" s="740"/>
    </row>
    <row r="30" spans="1:189">
      <c r="A30" s="1425"/>
      <c r="B30" s="691"/>
      <c r="C30" s="1493" t="e">
        <f>#REF!</f>
        <v>#REF!</v>
      </c>
      <c r="D30" s="527">
        <v>0</v>
      </c>
      <c r="E30" s="527">
        <v>15000000</v>
      </c>
      <c r="F30" s="741">
        <f>+D30*E30</f>
        <v>0</v>
      </c>
    </row>
    <row r="31" spans="1:189">
      <c r="A31" s="689" t="e">
        <f>#REF!</f>
        <v>#REF!</v>
      </c>
      <c r="B31" s="711" t="e">
        <f>#REF!</f>
        <v>#REF!</v>
      </c>
      <c r="C31" s="640"/>
      <c r="D31" s="641"/>
      <c r="E31" s="641"/>
      <c r="F31" s="740"/>
    </row>
    <row r="32" spans="1:189">
      <c r="A32" s="1425"/>
      <c r="B32" s="691"/>
      <c r="C32" s="1493" t="e">
        <f>#REF!</f>
        <v>#REF!</v>
      </c>
      <c r="D32" s="1682">
        <v>0.2</v>
      </c>
      <c r="E32" s="527" t="e">
        <f>SUM(E24:E30)</f>
        <v>#REF!</v>
      </c>
      <c r="F32" s="741" t="e">
        <f>+D32*E32</f>
        <v>#REF!</v>
      </c>
    </row>
    <row r="33" spans="1:189">
      <c r="A33" s="689" t="e">
        <f>#REF!</f>
        <v>#REF!</v>
      </c>
      <c r="B33" s="711" t="e">
        <f>#REF!</f>
        <v>#REF!</v>
      </c>
      <c r="C33" s="640"/>
      <c r="D33" s="641"/>
      <c r="E33" s="641"/>
      <c r="F33" s="740"/>
    </row>
    <row r="34" spans="1:189">
      <c r="A34" s="1425"/>
      <c r="B34" s="691"/>
      <c r="C34" s="1493" t="e">
        <f>#REF!</f>
        <v>#REF!</v>
      </c>
      <c r="D34" s="527">
        <v>25</v>
      </c>
      <c r="E34" s="527" t="e">
        <f>+#REF!</f>
        <v>#REF!</v>
      </c>
      <c r="F34" s="741" t="e">
        <f>+D34*E34</f>
        <v>#REF!</v>
      </c>
    </row>
    <row r="35" spans="1:189" ht="18.75">
      <c r="A35" s="500"/>
      <c r="B35" s="500"/>
      <c r="C35" s="686"/>
      <c r="D35" s="635"/>
      <c r="E35" s="636" t="s">
        <v>106</v>
      </c>
      <c r="F35" s="1122" t="e">
        <f>SUM(F29:F34)+F28+F26+F24</f>
        <v>#REF!</v>
      </c>
    </row>
    <row r="36" spans="1:189" ht="15" customHeight="1"/>
    <row r="37" spans="1:189" s="456" customFormat="1" ht="24.95" customHeight="1">
      <c r="C37" s="1427"/>
      <c r="D37" s="1428"/>
      <c r="E37" s="636" t="s">
        <v>107</v>
      </c>
      <c r="F37" s="1122" t="e">
        <f>+F20+F35</f>
        <v>#REF!</v>
      </c>
      <c r="H37" s="493"/>
      <c r="I37" s="494"/>
      <c r="J37" s="493"/>
      <c r="K37" s="495"/>
      <c r="L37" s="495"/>
      <c r="M37" s="495"/>
      <c r="N37" s="495"/>
      <c r="O37" s="495"/>
      <c r="P37" s="495"/>
      <c r="Q37" s="495"/>
      <c r="R37" s="495"/>
      <c r="S37" s="495"/>
      <c r="T37" s="495"/>
      <c r="U37" s="495"/>
      <c r="V37" s="495"/>
      <c r="W37" s="495"/>
      <c r="X37" s="495"/>
      <c r="Y37" s="495"/>
      <c r="Z37" s="495"/>
      <c r="AA37" s="495"/>
      <c r="AB37" s="495"/>
      <c r="AC37" s="495"/>
      <c r="AD37" s="495"/>
      <c r="AE37" s="495"/>
      <c r="AF37" s="495"/>
      <c r="AG37" s="495"/>
      <c r="AH37" s="495"/>
      <c r="AI37" s="495"/>
      <c r="AJ37" s="495"/>
      <c r="AK37" s="495"/>
      <c r="AL37" s="495"/>
      <c r="AM37" s="495"/>
      <c r="AN37" s="495"/>
      <c r="AO37" s="495"/>
      <c r="AP37" s="495"/>
      <c r="AQ37" s="495"/>
      <c r="AR37" s="495"/>
      <c r="AS37" s="495"/>
      <c r="AT37" s="495"/>
      <c r="AU37" s="495"/>
      <c r="AV37" s="495"/>
      <c r="AW37" s="495"/>
      <c r="AX37" s="495"/>
      <c r="AY37" s="495"/>
      <c r="AZ37" s="495"/>
      <c r="BA37" s="495"/>
      <c r="BB37" s="495"/>
      <c r="BC37" s="495"/>
      <c r="BD37" s="495"/>
      <c r="BE37" s="495"/>
      <c r="BF37" s="495"/>
      <c r="BG37" s="495"/>
      <c r="BH37" s="495"/>
      <c r="BI37" s="495"/>
      <c r="BJ37" s="495"/>
      <c r="BK37" s="495"/>
      <c r="BL37" s="495"/>
      <c r="BM37" s="495"/>
      <c r="BN37" s="495"/>
      <c r="BO37" s="495"/>
      <c r="BP37" s="495"/>
      <c r="BQ37" s="495"/>
      <c r="BR37" s="495"/>
      <c r="BS37" s="495"/>
      <c r="BT37" s="495"/>
      <c r="BU37" s="495"/>
      <c r="BV37" s="495"/>
      <c r="BW37" s="495"/>
      <c r="BX37" s="495"/>
      <c r="BY37" s="495"/>
      <c r="BZ37" s="495"/>
      <c r="CA37" s="495"/>
      <c r="CB37" s="495"/>
      <c r="CC37" s="495"/>
      <c r="CD37" s="495"/>
      <c r="CE37" s="495"/>
      <c r="CF37" s="495"/>
      <c r="CG37" s="495"/>
      <c r="CH37" s="495"/>
      <c r="CI37" s="495"/>
      <c r="CJ37" s="495"/>
      <c r="CK37" s="495"/>
      <c r="CL37" s="495"/>
      <c r="CM37" s="495"/>
      <c r="CN37" s="495"/>
      <c r="CO37" s="495"/>
      <c r="CP37" s="495"/>
      <c r="CQ37" s="495"/>
      <c r="CR37" s="495"/>
      <c r="CS37" s="495"/>
      <c r="CT37" s="495"/>
      <c r="CU37" s="495"/>
      <c r="CV37" s="495"/>
      <c r="CW37" s="495"/>
      <c r="CX37" s="495"/>
      <c r="CY37" s="495"/>
      <c r="CZ37" s="495"/>
      <c r="DA37" s="495"/>
      <c r="DB37" s="495"/>
      <c r="DC37" s="495"/>
      <c r="DD37" s="495"/>
      <c r="DE37" s="495"/>
      <c r="DF37" s="495"/>
      <c r="DG37" s="495"/>
      <c r="DH37" s="495"/>
      <c r="DI37" s="495"/>
      <c r="DJ37" s="495"/>
      <c r="DK37" s="495"/>
      <c r="DL37" s="495"/>
      <c r="DM37" s="495"/>
      <c r="DN37" s="495"/>
      <c r="DO37" s="495"/>
      <c r="DP37" s="495"/>
      <c r="DQ37" s="495"/>
      <c r="DR37" s="495"/>
      <c r="DS37" s="495"/>
      <c r="DT37" s="495"/>
      <c r="DU37" s="495"/>
      <c r="DV37" s="495"/>
      <c r="DW37" s="495"/>
      <c r="DX37" s="495"/>
      <c r="DY37" s="495"/>
      <c r="DZ37" s="495"/>
      <c r="EA37" s="495"/>
      <c r="EB37" s="495"/>
      <c r="EC37" s="495"/>
      <c r="ED37" s="495"/>
      <c r="EE37" s="495"/>
      <c r="EF37" s="495"/>
      <c r="EG37" s="495"/>
      <c r="EH37" s="495"/>
      <c r="EI37" s="495"/>
      <c r="EJ37" s="495"/>
      <c r="EK37" s="495"/>
      <c r="EL37" s="495"/>
      <c r="EM37" s="495"/>
      <c r="EN37" s="495"/>
      <c r="EO37" s="495"/>
      <c r="EP37" s="495"/>
      <c r="EQ37" s="495"/>
      <c r="ER37" s="495"/>
      <c r="ES37" s="495"/>
      <c r="ET37" s="495"/>
      <c r="EU37" s="495"/>
      <c r="EV37" s="495"/>
      <c r="EW37" s="495"/>
      <c r="EX37" s="495"/>
      <c r="EY37" s="495"/>
      <c r="EZ37" s="495"/>
      <c r="FA37" s="495"/>
      <c r="FB37" s="495"/>
      <c r="FC37" s="495"/>
      <c r="FD37" s="495"/>
      <c r="FE37" s="495"/>
      <c r="FF37" s="495"/>
      <c r="FG37" s="495"/>
      <c r="FH37" s="495"/>
      <c r="FI37" s="495"/>
      <c r="FJ37" s="495"/>
      <c r="FK37" s="495"/>
      <c r="FL37" s="495"/>
      <c r="FM37" s="495"/>
      <c r="FN37" s="495"/>
      <c r="FO37" s="495"/>
      <c r="FP37" s="495"/>
      <c r="FQ37" s="495"/>
      <c r="FR37" s="495"/>
      <c r="FS37" s="495"/>
      <c r="FT37" s="495"/>
      <c r="FU37" s="495"/>
      <c r="FV37" s="495"/>
      <c r="FW37" s="495"/>
      <c r="FX37" s="495"/>
      <c r="FY37" s="495"/>
      <c r="FZ37" s="495"/>
      <c r="GA37" s="495"/>
      <c r="GB37" s="495"/>
      <c r="GC37" s="495"/>
      <c r="GD37" s="495"/>
      <c r="GE37" s="495"/>
      <c r="GF37" s="495"/>
      <c r="GG37" s="495"/>
    </row>
    <row r="38" spans="1:189" s="5" customFormat="1" ht="15" customHeight="1">
      <c r="A38" s="10"/>
      <c r="B38" s="12"/>
      <c r="C38" s="12"/>
      <c r="D38" s="12"/>
      <c r="E38" s="12"/>
      <c r="F38" s="12"/>
      <c r="H38" s="1421"/>
      <c r="I38" s="1422"/>
      <c r="J38" s="1421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  <c r="AA38" s="48"/>
      <c r="AB38" s="48"/>
      <c r="AC38" s="48"/>
      <c r="AD38" s="48"/>
      <c r="AE38" s="48"/>
      <c r="AF38" s="48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  <c r="BE38" s="48"/>
      <c r="BF38" s="48"/>
      <c r="BG38" s="48"/>
      <c r="BH38" s="48"/>
      <c r="BI38" s="48"/>
      <c r="BJ38" s="48"/>
      <c r="BK38" s="48"/>
      <c r="BL38" s="48"/>
      <c r="BM38" s="48"/>
      <c r="BN38" s="48"/>
      <c r="BO38" s="48"/>
      <c r="BP38" s="48"/>
      <c r="BQ38" s="48"/>
      <c r="BR38" s="48"/>
      <c r="BS38" s="48"/>
      <c r="BT38" s="48"/>
      <c r="BU38" s="48"/>
      <c r="BV38" s="48"/>
      <c r="BW38" s="48"/>
      <c r="BX38" s="48"/>
      <c r="BY38" s="48"/>
      <c r="BZ38" s="48"/>
      <c r="CA38" s="48"/>
      <c r="CB38" s="48"/>
      <c r="CC38" s="48"/>
      <c r="CD38" s="48"/>
      <c r="CE38" s="48"/>
      <c r="CF38" s="48"/>
      <c r="CG38" s="48"/>
      <c r="CH38" s="48"/>
      <c r="CI38" s="48"/>
      <c r="CJ38" s="48"/>
      <c r="CK38" s="48"/>
      <c r="CL38" s="48"/>
      <c r="CM38" s="48"/>
      <c r="CN38" s="48"/>
      <c r="CO38" s="48"/>
      <c r="CP38" s="48"/>
      <c r="CQ38" s="48"/>
      <c r="CR38" s="48"/>
      <c r="CS38" s="48"/>
      <c r="CT38" s="48"/>
      <c r="CU38" s="48"/>
      <c r="CV38" s="48"/>
      <c r="CW38" s="48"/>
      <c r="CX38" s="48"/>
      <c r="CY38" s="48"/>
      <c r="CZ38" s="48"/>
      <c r="DA38" s="48"/>
      <c r="DB38" s="48"/>
      <c r="DC38" s="48"/>
      <c r="DD38" s="48"/>
      <c r="DE38" s="48"/>
      <c r="DF38" s="48"/>
      <c r="DG38" s="48"/>
      <c r="DH38" s="48"/>
      <c r="DI38" s="48"/>
      <c r="DJ38" s="48"/>
      <c r="DK38" s="48"/>
      <c r="DL38" s="48"/>
      <c r="DM38" s="48"/>
      <c r="DN38" s="48"/>
      <c r="DO38" s="48"/>
      <c r="DP38" s="48"/>
      <c r="DQ38" s="48"/>
      <c r="DR38" s="48"/>
      <c r="DS38" s="48"/>
      <c r="DT38" s="48"/>
      <c r="DU38" s="48"/>
      <c r="DV38" s="48"/>
      <c r="DW38" s="48"/>
      <c r="DX38" s="48"/>
      <c r="DY38" s="48"/>
      <c r="DZ38" s="48"/>
      <c r="EA38" s="48"/>
      <c r="EB38" s="48"/>
      <c r="EC38" s="48"/>
      <c r="ED38" s="48"/>
      <c r="EE38" s="48"/>
      <c r="EF38" s="48"/>
      <c r="EG38" s="48"/>
      <c r="EH38" s="48"/>
      <c r="EI38" s="48"/>
      <c r="EJ38" s="48"/>
      <c r="EK38" s="48"/>
      <c r="EL38" s="48"/>
      <c r="EM38" s="48"/>
      <c r="EN38" s="48"/>
      <c r="EO38" s="48"/>
      <c r="EP38" s="48"/>
      <c r="EQ38" s="48"/>
      <c r="ER38" s="48"/>
      <c r="ES38" s="48"/>
      <c r="ET38" s="48"/>
      <c r="EU38" s="48"/>
      <c r="EV38" s="48"/>
      <c r="EW38" s="48"/>
      <c r="EX38" s="48"/>
      <c r="EY38" s="48"/>
      <c r="EZ38" s="48"/>
      <c r="FA38" s="48"/>
      <c r="FB38" s="48"/>
      <c r="FC38" s="48"/>
      <c r="FD38" s="48"/>
      <c r="FE38" s="48"/>
      <c r="FF38" s="48"/>
      <c r="FG38" s="48"/>
      <c r="FH38" s="48"/>
      <c r="FI38" s="48"/>
      <c r="FJ38" s="48"/>
      <c r="FK38" s="48"/>
      <c r="FL38" s="48"/>
      <c r="FM38" s="48"/>
      <c r="FN38" s="48"/>
      <c r="FO38" s="48"/>
      <c r="FP38" s="48"/>
      <c r="FQ38" s="48"/>
      <c r="FR38" s="48"/>
      <c r="FS38" s="48"/>
      <c r="FT38" s="48"/>
      <c r="FU38" s="48"/>
      <c r="FV38" s="48"/>
      <c r="FW38" s="48"/>
      <c r="FX38" s="48"/>
      <c r="FY38" s="48"/>
      <c r="FZ38" s="48"/>
      <c r="GA38" s="48"/>
      <c r="GB38" s="48"/>
      <c r="GC38" s="48"/>
      <c r="GD38" s="48"/>
      <c r="GE38" s="48"/>
      <c r="GF38" s="48"/>
      <c r="GG38" s="48"/>
    </row>
    <row r="39" spans="1:189" ht="24.95" customHeight="1">
      <c r="A39" s="1972" t="e">
        <f>#REF!</f>
        <v>#REF!</v>
      </c>
      <c r="B39" s="1973"/>
      <c r="C39" s="1864"/>
      <c r="D39" s="1864"/>
      <c r="E39" s="1864"/>
      <c r="F39" s="1865"/>
    </row>
    <row r="40" spans="1:189" s="456" customFormat="1">
      <c r="A40" s="689" t="e">
        <f>#REF!</f>
        <v>#REF!</v>
      </c>
      <c r="B40" s="752" t="e">
        <f>#REF!</f>
        <v>#REF!</v>
      </c>
      <c r="C40" s="802"/>
      <c r="D40" s="641"/>
      <c r="E40" s="641"/>
      <c r="F40" s="633"/>
      <c r="H40" s="493"/>
      <c r="I40" s="494"/>
      <c r="J40" s="493"/>
      <c r="K40" s="495"/>
      <c r="L40" s="495"/>
      <c r="M40" s="495"/>
      <c r="N40" s="495"/>
      <c r="O40" s="495"/>
      <c r="P40" s="495"/>
      <c r="Q40" s="495"/>
      <c r="R40" s="495"/>
      <c r="S40" s="495"/>
      <c r="T40" s="495"/>
      <c r="U40" s="495"/>
      <c r="V40" s="495"/>
      <c r="W40" s="495"/>
      <c r="X40" s="495"/>
      <c r="Y40" s="495"/>
      <c r="Z40" s="495"/>
      <c r="AA40" s="495"/>
      <c r="AB40" s="495"/>
      <c r="AC40" s="495"/>
      <c r="AD40" s="495"/>
      <c r="AE40" s="495"/>
      <c r="AF40" s="495"/>
      <c r="AG40" s="495"/>
      <c r="AH40" s="495"/>
      <c r="AI40" s="495"/>
      <c r="AJ40" s="495"/>
      <c r="AK40" s="495"/>
      <c r="AL40" s="495"/>
      <c r="AM40" s="495"/>
      <c r="AN40" s="495"/>
      <c r="AO40" s="495"/>
      <c r="AP40" s="495"/>
      <c r="AQ40" s="495"/>
      <c r="AR40" s="495"/>
      <c r="AS40" s="495"/>
      <c r="AT40" s="495"/>
      <c r="AU40" s="495"/>
      <c r="AV40" s="495"/>
      <c r="AW40" s="495"/>
      <c r="AX40" s="495"/>
      <c r="AY40" s="495"/>
      <c r="AZ40" s="495"/>
      <c r="BA40" s="495"/>
      <c r="BB40" s="495"/>
      <c r="BC40" s="495"/>
      <c r="BD40" s="495"/>
      <c r="BE40" s="495"/>
      <c r="BF40" s="495"/>
      <c r="BG40" s="495"/>
      <c r="BH40" s="495"/>
      <c r="BI40" s="495"/>
      <c r="BJ40" s="495"/>
      <c r="BK40" s="495"/>
      <c r="BL40" s="495"/>
      <c r="BM40" s="495"/>
      <c r="BN40" s="495"/>
      <c r="BO40" s="495"/>
      <c r="BP40" s="495"/>
      <c r="BQ40" s="495"/>
      <c r="BR40" s="495"/>
      <c r="BS40" s="495"/>
      <c r="BT40" s="495"/>
      <c r="BU40" s="495"/>
      <c r="BV40" s="495"/>
      <c r="BW40" s="495"/>
      <c r="BX40" s="495"/>
      <c r="BY40" s="495"/>
      <c r="BZ40" s="495"/>
      <c r="CA40" s="495"/>
      <c r="CB40" s="495"/>
      <c r="CC40" s="495"/>
      <c r="CD40" s="495"/>
      <c r="CE40" s="495"/>
      <c r="CF40" s="495"/>
      <c r="CG40" s="495"/>
      <c r="CH40" s="495"/>
      <c r="CI40" s="495"/>
      <c r="CJ40" s="495"/>
      <c r="CK40" s="495"/>
      <c r="CL40" s="495"/>
      <c r="CM40" s="495"/>
      <c r="CN40" s="495"/>
      <c r="CO40" s="495"/>
      <c r="CP40" s="495"/>
      <c r="CQ40" s="495"/>
      <c r="CR40" s="495"/>
      <c r="CS40" s="495"/>
      <c r="CT40" s="495"/>
      <c r="CU40" s="495"/>
      <c r="CV40" s="495"/>
      <c r="CW40" s="495"/>
      <c r="CX40" s="495"/>
      <c r="CY40" s="495"/>
      <c r="CZ40" s="495"/>
      <c r="DA40" s="495"/>
      <c r="DB40" s="495"/>
      <c r="DC40" s="495"/>
      <c r="DD40" s="495"/>
      <c r="DE40" s="495"/>
      <c r="DF40" s="495"/>
      <c r="DG40" s="495"/>
      <c r="DH40" s="495"/>
      <c r="DI40" s="495"/>
      <c r="DJ40" s="495"/>
      <c r="DK40" s="495"/>
      <c r="DL40" s="495"/>
      <c r="DM40" s="495"/>
      <c r="DN40" s="495"/>
      <c r="DO40" s="495"/>
      <c r="DP40" s="495"/>
      <c r="DQ40" s="495"/>
      <c r="DR40" s="495"/>
      <c r="DS40" s="495"/>
      <c r="DT40" s="495"/>
      <c r="DU40" s="495"/>
      <c r="DV40" s="495"/>
      <c r="DW40" s="495"/>
      <c r="DX40" s="495"/>
      <c r="DY40" s="495"/>
      <c r="DZ40" s="495"/>
      <c r="EA40" s="495"/>
      <c r="EB40" s="495"/>
      <c r="EC40" s="495"/>
      <c r="ED40" s="495"/>
      <c r="EE40" s="495"/>
      <c r="EF40" s="495"/>
      <c r="EG40" s="495"/>
      <c r="EH40" s="495"/>
      <c r="EI40" s="495"/>
      <c r="EJ40" s="495"/>
      <c r="EK40" s="495"/>
      <c r="EL40" s="495"/>
      <c r="EM40" s="495"/>
      <c r="EN40" s="495"/>
      <c r="EO40" s="495"/>
      <c r="EP40" s="495"/>
      <c r="EQ40" s="495"/>
      <c r="ER40" s="495"/>
      <c r="ES40" s="495"/>
      <c r="ET40" s="495"/>
      <c r="EU40" s="495"/>
      <c r="EV40" s="495"/>
      <c r="EW40" s="495"/>
      <c r="EX40" s="495"/>
      <c r="EY40" s="495"/>
      <c r="EZ40" s="495"/>
      <c r="FA40" s="495"/>
      <c r="FB40" s="495"/>
      <c r="FC40" s="495"/>
      <c r="FD40" s="495"/>
      <c r="FE40" s="495"/>
      <c r="FF40" s="495"/>
      <c r="FG40" s="495"/>
      <c r="FH40" s="495"/>
      <c r="FI40" s="495"/>
      <c r="FJ40" s="495"/>
      <c r="FK40" s="495"/>
      <c r="FL40" s="495"/>
      <c r="FM40" s="495"/>
      <c r="FN40" s="495"/>
      <c r="FO40" s="495"/>
      <c r="FP40" s="495"/>
      <c r="FQ40" s="495"/>
      <c r="FR40" s="495"/>
      <c r="FS40" s="495"/>
      <c r="FT40" s="495"/>
      <c r="FU40" s="495"/>
      <c r="FV40" s="495"/>
      <c r="FW40" s="495"/>
      <c r="FX40" s="495"/>
      <c r="FY40" s="495"/>
      <c r="FZ40" s="495"/>
      <c r="GA40" s="495"/>
      <c r="GB40" s="495"/>
      <c r="GC40" s="495"/>
      <c r="GD40" s="495"/>
      <c r="GE40" s="495"/>
      <c r="GF40" s="495"/>
      <c r="GG40" s="495"/>
    </row>
    <row r="41" spans="1:189" s="456" customFormat="1">
      <c r="A41" s="751"/>
      <c r="B41" s="708"/>
      <c r="C41" s="822" t="e">
        <f>#REF!</f>
        <v>#REF!</v>
      </c>
      <c r="D41" s="527">
        <v>1</v>
      </c>
      <c r="E41" s="527">
        <v>15672373</v>
      </c>
      <c r="F41" s="527">
        <f>+D41*E41</f>
        <v>15672373</v>
      </c>
      <c r="H41" s="493"/>
      <c r="I41" s="494"/>
      <c r="J41" s="493"/>
      <c r="K41" s="495"/>
      <c r="L41" s="495"/>
      <c r="M41" s="495"/>
      <c r="N41" s="495"/>
      <c r="O41" s="495"/>
      <c r="P41" s="495"/>
      <c r="Q41" s="495"/>
      <c r="R41" s="495"/>
      <c r="S41" s="495"/>
      <c r="T41" s="495"/>
      <c r="U41" s="495"/>
      <c r="V41" s="495"/>
      <c r="W41" s="495"/>
      <c r="X41" s="495"/>
      <c r="Y41" s="495"/>
      <c r="Z41" s="495"/>
      <c r="AA41" s="495"/>
      <c r="AB41" s="495"/>
      <c r="AC41" s="495"/>
      <c r="AD41" s="495"/>
      <c r="AE41" s="495"/>
      <c r="AF41" s="495"/>
      <c r="AG41" s="495"/>
      <c r="AH41" s="495"/>
      <c r="AI41" s="495"/>
      <c r="AJ41" s="495"/>
      <c r="AK41" s="495"/>
      <c r="AL41" s="495"/>
      <c r="AM41" s="495"/>
      <c r="AN41" s="495"/>
      <c r="AO41" s="495"/>
      <c r="AP41" s="495"/>
      <c r="AQ41" s="495"/>
      <c r="AR41" s="495"/>
      <c r="AS41" s="495"/>
      <c r="AT41" s="495"/>
      <c r="AU41" s="495"/>
      <c r="AV41" s="495"/>
      <c r="AW41" s="495"/>
      <c r="AX41" s="495"/>
      <c r="AY41" s="495"/>
      <c r="AZ41" s="495"/>
      <c r="BA41" s="495"/>
      <c r="BB41" s="495"/>
      <c r="BC41" s="495"/>
      <c r="BD41" s="495"/>
      <c r="BE41" s="495"/>
      <c r="BF41" s="495"/>
      <c r="BG41" s="495"/>
      <c r="BH41" s="495"/>
      <c r="BI41" s="495"/>
      <c r="BJ41" s="495"/>
      <c r="BK41" s="495"/>
      <c r="BL41" s="495"/>
      <c r="BM41" s="495"/>
      <c r="BN41" s="495"/>
      <c r="BO41" s="495"/>
      <c r="BP41" s="495"/>
      <c r="BQ41" s="495"/>
      <c r="BR41" s="495"/>
      <c r="BS41" s="495"/>
      <c r="BT41" s="495"/>
      <c r="BU41" s="495"/>
      <c r="BV41" s="495"/>
      <c r="BW41" s="495"/>
      <c r="BX41" s="495"/>
      <c r="BY41" s="495"/>
      <c r="BZ41" s="495"/>
      <c r="CA41" s="495"/>
      <c r="CB41" s="495"/>
      <c r="CC41" s="495"/>
      <c r="CD41" s="495"/>
      <c r="CE41" s="495"/>
      <c r="CF41" s="495"/>
      <c r="CG41" s="495"/>
      <c r="CH41" s="495"/>
      <c r="CI41" s="495"/>
      <c r="CJ41" s="495"/>
      <c r="CK41" s="495"/>
      <c r="CL41" s="495"/>
      <c r="CM41" s="495"/>
      <c r="CN41" s="495"/>
      <c r="CO41" s="495"/>
      <c r="CP41" s="495"/>
      <c r="CQ41" s="495"/>
      <c r="CR41" s="495"/>
      <c r="CS41" s="495"/>
      <c r="CT41" s="495"/>
      <c r="CU41" s="495"/>
      <c r="CV41" s="495"/>
      <c r="CW41" s="495"/>
      <c r="CX41" s="495"/>
      <c r="CY41" s="495"/>
      <c r="CZ41" s="495"/>
      <c r="DA41" s="495"/>
      <c r="DB41" s="495"/>
      <c r="DC41" s="495"/>
      <c r="DD41" s="495"/>
      <c r="DE41" s="495"/>
      <c r="DF41" s="495"/>
      <c r="DG41" s="495"/>
      <c r="DH41" s="495"/>
      <c r="DI41" s="495"/>
      <c r="DJ41" s="495"/>
      <c r="DK41" s="495"/>
      <c r="DL41" s="495"/>
      <c r="DM41" s="495"/>
      <c r="DN41" s="495"/>
      <c r="DO41" s="495"/>
      <c r="DP41" s="495"/>
      <c r="DQ41" s="495"/>
      <c r="DR41" s="495"/>
      <c r="DS41" s="495"/>
      <c r="DT41" s="495"/>
      <c r="DU41" s="495"/>
      <c r="DV41" s="495"/>
      <c r="DW41" s="495"/>
      <c r="DX41" s="495"/>
      <c r="DY41" s="495"/>
      <c r="DZ41" s="495"/>
      <c r="EA41" s="495"/>
      <c r="EB41" s="495"/>
      <c r="EC41" s="495"/>
      <c r="ED41" s="495"/>
      <c r="EE41" s="495"/>
      <c r="EF41" s="495"/>
      <c r="EG41" s="495"/>
      <c r="EH41" s="495"/>
      <c r="EI41" s="495"/>
      <c r="EJ41" s="495"/>
      <c r="EK41" s="495"/>
      <c r="EL41" s="495"/>
      <c r="EM41" s="495"/>
      <c r="EN41" s="495"/>
      <c r="EO41" s="495"/>
      <c r="EP41" s="495"/>
      <c r="EQ41" s="495"/>
      <c r="ER41" s="495"/>
      <c r="ES41" s="495"/>
      <c r="ET41" s="495"/>
      <c r="EU41" s="495"/>
      <c r="EV41" s="495"/>
      <c r="EW41" s="495"/>
      <c r="EX41" s="495"/>
      <c r="EY41" s="495"/>
      <c r="EZ41" s="495"/>
      <c r="FA41" s="495"/>
      <c r="FB41" s="495"/>
      <c r="FC41" s="495"/>
      <c r="FD41" s="495"/>
      <c r="FE41" s="495"/>
      <c r="FF41" s="495"/>
      <c r="FG41" s="495"/>
      <c r="FH41" s="495"/>
      <c r="FI41" s="495"/>
      <c r="FJ41" s="495"/>
      <c r="FK41" s="495"/>
      <c r="FL41" s="495"/>
      <c r="FM41" s="495"/>
      <c r="FN41" s="495"/>
      <c r="FO41" s="495"/>
      <c r="FP41" s="495"/>
      <c r="FQ41" s="495"/>
      <c r="FR41" s="495"/>
      <c r="FS41" s="495"/>
      <c r="FT41" s="495"/>
      <c r="FU41" s="495"/>
      <c r="FV41" s="495"/>
      <c r="FW41" s="495"/>
      <c r="FX41" s="495"/>
      <c r="FY41" s="495"/>
      <c r="FZ41" s="495"/>
      <c r="GA41" s="495"/>
      <c r="GB41" s="495"/>
      <c r="GC41" s="495"/>
      <c r="GD41" s="495"/>
      <c r="GE41" s="495"/>
      <c r="GF41" s="495"/>
      <c r="GG41" s="495"/>
    </row>
    <row r="42" spans="1:189" s="456" customFormat="1">
      <c r="A42" s="689" t="e">
        <f>#REF!</f>
        <v>#REF!</v>
      </c>
      <c r="B42" s="752" t="e">
        <f>#REF!</f>
        <v>#REF!</v>
      </c>
      <c r="C42" s="1542"/>
      <c r="D42" s="644"/>
      <c r="E42" s="641"/>
      <c r="F42" s="633"/>
      <c r="H42" s="493"/>
      <c r="I42" s="494"/>
      <c r="J42" s="493"/>
      <c r="K42" s="495"/>
      <c r="L42" s="495"/>
      <c r="M42" s="495"/>
      <c r="N42" s="495"/>
      <c r="O42" s="495"/>
      <c r="P42" s="495"/>
      <c r="Q42" s="495"/>
      <c r="R42" s="495"/>
      <c r="S42" s="495"/>
      <c r="T42" s="495"/>
      <c r="U42" s="495"/>
      <c r="V42" s="495"/>
      <c r="W42" s="495"/>
      <c r="X42" s="495"/>
      <c r="Y42" s="495"/>
      <c r="Z42" s="495"/>
      <c r="AA42" s="495"/>
      <c r="AB42" s="495"/>
      <c r="AC42" s="495"/>
      <c r="AD42" s="495"/>
      <c r="AE42" s="495"/>
      <c r="AF42" s="495"/>
      <c r="AG42" s="495"/>
      <c r="AH42" s="495"/>
      <c r="AI42" s="495"/>
      <c r="AJ42" s="495"/>
      <c r="AK42" s="495"/>
      <c r="AL42" s="495"/>
      <c r="AM42" s="495"/>
      <c r="AN42" s="495"/>
      <c r="AO42" s="495"/>
      <c r="AP42" s="495"/>
      <c r="AQ42" s="495"/>
      <c r="AR42" s="495"/>
      <c r="AS42" s="495"/>
      <c r="AT42" s="495"/>
      <c r="AU42" s="495"/>
      <c r="AV42" s="495"/>
      <c r="AW42" s="495"/>
      <c r="AX42" s="495"/>
      <c r="AY42" s="495"/>
      <c r="AZ42" s="495"/>
      <c r="BA42" s="495"/>
      <c r="BB42" s="495"/>
      <c r="BC42" s="495"/>
      <c r="BD42" s="495"/>
      <c r="BE42" s="495"/>
      <c r="BF42" s="495"/>
      <c r="BG42" s="495"/>
      <c r="BH42" s="495"/>
      <c r="BI42" s="495"/>
      <c r="BJ42" s="495"/>
      <c r="BK42" s="495"/>
      <c r="BL42" s="495"/>
      <c r="BM42" s="495"/>
      <c r="BN42" s="495"/>
      <c r="BO42" s="495"/>
      <c r="BP42" s="495"/>
      <c r="BQ42" s="495"/>
      <c r="BR42" s="495"/>
      <c r="BS42" s="495"/>
      <c r="BT42" s="495"/>
      <c r="BU42" s="495"/>
      <c r="BV42" s="495"/>
      <c r="BW42" s="495"/>
      <c r="BX42" s="495"/>
      <c r="BY42" s="495"/>
      <c r="BZ42" s="495"/>
      <c r="CA42" s="495"/>
      <c r="CB42" s="495"/>
      <c r="CC42" s="495"/>
      <c r="CD42" s="495"/>
      <c r="CE42" s="495"/>
      <c r="CF42" s="495"/>
      <c r="CG42" s="495"/>
      <c r="CH42" s="495"/>
      <c r="CI42" s="495"/>
      <c r="CJ42" s="495"/>
      <c r="CK42" s="495"/>
      <c r="CL42" s="495"/>
      <c r="CM42" s="495"/>
      <c r="CN42" s="495"/>
      <c r="CO42" s="495"/>
      <c r="CP42" s="495"/>
      <c r="CQ42" s="495"/>
      <c r="CR42" s="495"/>
      <c r="CS42" s="495"/>
      <c r="CT42" s="495"/>
      <c r="CU42" s="495"/>
      <c r="CV42" s="495"/>
      <c r="CW42" s="495"/>
      <c r="CX42" s="495"/>
      <c r="CY42" s="495"/>
      <c r="CZ42" s="495"/>
      <c r="DA42" s="495"/>
      <c r="DB42" s="495"/>
      <c r="DC42" s="495"/>
      <c r="DD42" s="495"/>
      <c r="DE42" s="495"/>
      <c r="DF42" s="495"/>
      <c r="DG42" s="495"/>
      <c r="DH42" s="495"/>
      <c r="DI42" s="495"/>
      <c r="DJ42" s="495"/>
      <c r="DK42" s="495"/>
      <c r="DL42" s="495"/>
      <c r="DM42" s="495"/>
      <c r="DN42" s="495"/>
      <c r="DO42" s="495"/>
      <c r="DP42" s="495"/>
      <c r="DQ42" s="495"/>
      <c r="DR42" s="495"/>
      <c r="DS42" s="495"/>
      <c r="DT42" s="495"/>
      <c r="DU42" s="495"/>
      <c r="DV42" s="495"/>
      <c r="DW42" s="495"/>
      <c r="DX42" s="495"/>
      <c r="DY42" s="495"/>
      <c r="DZ42" s="495"/>
      <c r="EA42" s="495"/>
      <c r="EB42" s="495"/>
      <c r="EC42" s="495"/>
      <c r="ED42" s="495"/>
      <c r="EE42" s="495"/>
      <c r="EF42" s="495"/>
      <c r="EG42" s="495"/>
      <c r="EH42" s="495"/>
      <c r="EI42" s="495"/>
      <c r="EJ42" s="495"/>
      <c r="EK42" s="495"/>
      <c r="EL42" s="495"/>
      <c r="EM42" s="495"/>
      <c r="EN42" s="495"/>
      <c r="EO42" s="495"/>
      <c r="EP42" s="495"/>
      <c r="EQ42" s="495"/>
      <c r="ER42" s="495"/>
      <c r="ES42" s="495"/>
      <c r="ET42" s="495"/>
      <c r="EU42" s="495"/>
      <c r="EV42" s="495"/>
      <c r="EW42" s="495"/>
      <c r="EX42" s="495"/>
      <c r="EY42" s="495"/>
      <c r="EZ42" s="495"/>
      <c r="FA42" s="495"/>
      <c r="FB42" s="495"/>
      <c r="FC42" s="495"/>
      <c r="FD42" s="495"/>
      <c r="FE42" s="495"/>
      <c r="FF42" s="495"/>
      <c r="FG42" s="495"/>
      <c r="FH42" s="495"/>
      <c r="FI42" s="495"/>
      <c r="FJ42" s="495"/>
      <c r="FK42" s="495"/>
      <c r="FL42" s="495"/>
      <c r="FM42" s="495"/>
      <c r="FN42" s="495"/>
      <c r="FO42" s="495"/>
      <c r="FP42" s="495"/>
      <c r="FQ42" s="495"/>
      <c r="FR42" s="495"/>
      <c r="FS42" s="495"/>
      <c r="FT42" s="495"/>
      <c r="FU42" s="495"/>
      <c r="FV42" s="495"/>
      <c r="FW42" s="495"/>
      <c r="FX42" s="495"/>
      <c r="FY42" s="495"/>
      <c r="FZ42" s="495"/>
      <c r="GA42" s="495"/>
      <c r="GB42" s="495"/>
      <c r="GC42" s="495"/>
      <c r="GD42" s="495"/>
      <c r="GE42" s="495"/>
      <c r="GF42" s="495"/>
      <c r="GG42" s="495"/>
    </row>
    <row r="43" spans="1:189" s="456" customFormat="1">
      <c r="A43" s="639" t="e">
        <f>#REF!</f>
        <v>#REF!</v>
      </c>
      <c r="B43" s="715" t="e">
        <f>#REF!</f>
        <v>#REF!</v>
      </c>
      <c r="C43" s="1560" t="e">
        <f>#REF!</f>
        <v>#REF!</v>
      </c>
      <c r="D43" s="646">
        <f>J43</f>
        <v>21782.25</v>
      </c>
      <c r="E43" s="527" t="e">
        <f>#REF!</f>
        <v>#REF!</v>
      </c>
      <c r="F43" s="527" t="e">
        <f>+D43*E43</f>
        <v>#REF!</v>
      </c>
      <c r="H43" s="493">
        <f>+I5*20+I6*15</f>
        <v>20745</v>
      </c>
      <c r="I43" s="494">
        <v>1.05</v>
      </c>
      <c r="J43" s="493">
        <f>H43*I43</f>
        <v>21782.25</v>
      </c>
      <c r="K43" s="495"/>
      <c r="L43" s="495"/>
      <c r="M43" s="495"/>
      <c r="N43" s="495"/>
      <c r="O43" s="495"/>
      <c r="P43" s="495"/>
      <c r="Q43" s="495"/>
      <c r="R43" s="495"/>
      <c r="S43" s="495"/>
      <c r="T43" s="495"/>
      <c r="U43" s="495"/>
      <c r="V43" s="495"/>
      <c r="W43" s="495"/>
      <c r="X43" s="495"/>
      <c r="Y43" s="495"/>
      <c r="Z43" s="495"/>
      <c r="AA43" s="495"/>
      <c r="AB43" s="495"/>
      <c r="AC43" s="495"/>
      <c r="AD43" s="495"/>
      <c r="AE43" s="495"/>
      <c r="AF43" s="495"/>
      <c r="AG43" s="495"/>
      <c r="AH43" s="495"/>
      <c r="AI43" s="495"/>
      <c r="AJ43" s="495"/>
      <c r="AK43" s="495"/>
      <c r="AL43" s="495"/>
      <c r="AM43" s="495"/>
      <c r="AN43" s="495"/>
      <c r="AO43" s="495"/>
      <c r="AP43" s="495"/>
      <c r="AQ43" s="495"/>
      <c r="AR43" s="495"/>
      <c r="AS43" s="495"/>
      <c r="AT43" s="495"/>
      <c r="AU43" s="495"/>
      <c r="AV43" s="495"/>
      <c r="AW43" s="495"/>
      <c r="AX43" s="495"/>
      <c r="AY43" s="495"/>
      <c r="AZ43" s="495"/>
      <c r="BA43" s="495"/>
      <c r="BB43" s="495"/>
      <c r="BC43" s="495"/>
      <c r="BD43" s="495"/>
      <c r="BE43" s="495"/>
      <c r="BF43" s="495"/>
      <c r="BG43" s="495"/>
      <c r="BH43" s="495"/>
      <c r="BI43" s="495"/>
      <c r="BJ43" s="495"/>
      <c r="BK43" s="495"/>
      <c r="BL43" s="495"/>
      <c r="BM43" s="495"/>
      <c r="BN43" s="495"/>
      <c r="BO43" s="495"/>
      <c r="BP43" s="495"/>
      <c r="BQ43" s="495"/>
      <c r="BR43" s="495"/>
      <c r="BS43" s="495"/>
      <c r="BT43" s="495"/>
      <c r="BU43" s="495"/>
      <c r="BV43" s="495"/>
      <c r="BW43" s="495"/>
      <c r="BX43" s="495"/>
      <c r="BY43" s="495"/>
      <c r="BZ43" s="495"/>
      <c r="CA43" s="495"/>
      <c r="CB43" s="495"/>
      <c r="CC43" s="495"/>
      <c r="CD43" s="495"/>
      <c r="CE43" s="495"/>
      <c r="CF43" s="495"/>
      <c r="CG43" s="495"/>
      <c r="CH43" s="495"/>
      <c r="CI43" s="495"/>
      <c r="CJ43" s="495"/>
      <c r="CK43" s="495"/>
      <c r="CL43" s="495"/>
      <c r="CM43" s="495"/>
      <c r="CN43" s="495"/>
      <c r="CO43" s="495"/>
      <c r="CP43" s="495"/>
      <c r="CQ43" s="495"/>
      <c r="CR43" s="495"/>
      <c r="CS43" s="495"/>
      <c r="CT43" s="495"/>
      <c r="CU43" s="495"/>
      <c r="CV43" s="495"/>
      <c r="CW43" s="495"/>
      <c r="CX43" s="495"/>
      <c r="CY43" s="495"/>
      <c r="CZ43" s="495"/>
      <c r="DA43" s="495"/>
      <c r="DB43" s="495"/>
      <c r="DC43" s="495"/>
      <c r="DD43" s="495"/>
      <c r="DE43" s="495"/>
      <c r="DF43" s="495"/>
      <c r="DG43" s="495"/>
      <c r="DH43" s="495"/>
      <c r="DI43" s="495"/>
      <c r="DJ43" s="495"/>
      <c r="DK43" s="495"/>
      <c r="DL43" s="495"/>
      <c r="DM43" s="495"/>
      <c r="DN43" s="495"/>
      <c r="DO43" s="495"/>
      <c r="DP43" s="495"/>
      <c r="DQ43" s="495"/>
      <c r="DR43" s="495"/>
      <c r="DS43" s="495"/>
      <c r="DT43" s="495"/>
      <c r="DU43" s="495"/>
      <c r="DV43" s="495"/>
      <c r="DW43" s="495"/>
      <c r="DX43" s="495"/>
      <c r="DY43" s="495"/>
      <c r="DZ43" s="495"/>
      <c r="EA43" s="495"/>
      <c r="EB43" s="495"/>
      <c r="EC43" s="495"/>
      <c r="ED43" s="495"/>
      <c r="EE43" s="495"/>
      <c r="EF43" s="495"/>
      <c r="EG43" s="495"/>
      <c r="EH43" s="495"/>
      <c r="EI43" s="495"/>
      <c r="EJ43" s="495"/>
      <c r="EK43" s="495"/>
      <c r="EL43" s="495"/>
      <c r="EM43" s="495"/>
      <c r="EN43" s="495"/>
      <c r="EO43" s="495"/>
      <c r="EP43" s="495"/>
      <c r="EQ43" s="495"/>
      <c r="ER43" s="495"/>
      <c r="ES43" s="495"/>
      <c r="ET43" s="495"/>
      <c r="EU43" s="495"/>
      <c r="EV43" s="495"/>
      <c r="EW43" s="495"/>
      <c r="EX43" s="495"/>
      <c r="EY43" s="495"/>
      <c r="EZ43" s="495"/>
      <c r="FA43" s="495"/>
      <c r="FB43" s="495"/>
      <c r="FC43" s="495"/>
      <c r="FD43" s="495"/>
      <c r="FE43" s="495"/>
      <c r="FF43" s="495"/>
      <c r="FG43" s="495"/>
      <c r="FH43" s="495"/>
      <c r="FI43" s="495"/>
      <c r="FJ43" s="495"/>
      <c r="FK43" s="495"/>
      <c r="FL43" s="495"/>
      <c r="FM43" s="495"/>
      <c r="FN43" s="495"/>
      <c r="FO43" s="495"/>
      <c r="FP43" s="495"/>
      <c r="FQ43" s="495"/>
      <c r="FR43" s="495"/>
      <c r="FS43" s="495"/>
      <c r="FT43" s="495"/>
      <c r="FU43" s="495"/>
      <c r="FV43" s="495"/>
      <c r="FW43" s="495"/>
      <c r="FX43" s="495"/>
      <c r="FY43" s="495"/>
      <c r="FZ43" s="495"/>
      <c r="GA43" s="495"/>
      <c r="GB43" s="495"/>
      <c r="GC43" s="495"/>
      <c r="GD43" s="495"/>
      <c r="GE43" s="495"/>
      <c r="GF43" s="495"/>
      <c r="GG43" s="495"/>
    </row>
    <row r="44" spans="1:189" s="456" customFormat="1">
      <c r="A44" s="689" t="e">
        <f>#REF!</f>
        <v>#REF!</v>
      </c>
      <c r="B44" s="752" t="e">
        <f>#REF!</f>
        <v>#REF!</v>
      </c>
      <c r="C44" s="1542"/>
      <c r="D44" s="644"/>
      <c r="E44" s="641"/>
      <c r="F44" s="641"/>
      <c r="H44" s="493"/>
      <c r="I44" s="494"/>
      <c r="J44" s="493"/>
      <c r="K44" s="495"/>
      <c r="L44" s="495"/>
      <c r="M44" s="495"/>
      <c r="N44" s="495"/>
      <c r="O44" s="495"/>
      <c r="P44" s="495"/>
      <c r="Q44" s="495"/>
      <c r="R44" s="495"/>
      <c r="S44" s="495"/>
      <c r="T44" s="495"/>
      <c r="U44" s="495"/>
      <c r="V44" s="495"/>
      <c r="W44" s="495"/>
      <c r="X44" s="495"/>
      <c r="Y44" s="495"/>
      <c r="Z44" s="495"/>
      <c r="AA44" s="495"/>
      <c r="AB44" s="495"/>
      <c r="AC44" s="495"/>
      <c r="AD44" s="495"/>
      <c r="AE44" s="495"/>
      <c r="AF44" s="495"/>
      <c r="AG44" s="495"/>
      <c r="AH44" s="495"/>
      <c r="AI44" s="495"/>
      <c r="AJ44" s="495"/>
      <c r="AK44" s="495"/>
      <c r="AL44" s="495"/>
      <c r="AM44" s="495"/>
      <c r="AN44" s="495"/>
      <c r="AO44" s="495"/>
      <c r="AP44" s="495"/>
      <c r="AQ44" s="495"/>
      <c r="AR44" s="495"/>
      <c r="AS44" s="495"/>
      <c r="AT44" s="495"/>
      <c r="AU44" s="495"/>
      <c r="AV44" s="495"/>
      <c r="AW44" s="495"/>
      <c r="AX44" s="495"/>
      <c r="AY44" s="495"/>
      <c r="AZ44" s="495"/>
      <c r="BA44" s="495"/>
      <c r="BB44" s="495"/>
      <c r="BC44" s="495"/>
      <c r="BD44" s="495"/>
      <c r="BE44" s="495"/>
      <c r="BF44" s="495"/>
      <c r="BG44" s="495"/>
      <c r="BH44" s="495"/>
      <c r="BI44" s="495"/>
      <c r="BJ44" s="495"/>
      <c r="BK44" s="495"/>
      <c r="BL44" s="495"/>
      <c r="BM44" s="495"/>
      <c r="BN44" s="495"/>
      <c r="BO44" s="495"/>
      <c r="BP44" s="495"/>
      <c r="BQ44" s="495"/>
      <c r="BR44" s="495"/>
      <c r="BS44" s="495"/>
      <c r="BT44" s="495"/>
      <c r="BU44" s="495"/>
      <c r="BV44" s="495"/>
      <c r="BW44" s="495"/>
      <c r="BX44" s="495"/>
      <c r="BY44" s="495"/>
      <c r="BZ44" s="495"/>
      <c r="CA44" s="495"/>
      <c r="CB44" s="495"/>
      <c r="CC44" s="495"/>
      <c r="CD44" s="495"/>
      <c r="CE44" s="495"/>
      <c r="CF44" s="495"/>
      <c r="CG44" s="495"/>
      <c r="CH44" s="495"/>
      <c r="CI44" s="495"/>
      <c r="CJ44" s="495"/>
      <c r="CK44" s="495"/>
      <c r="CL44" s="495"/>
      <c r="CM44" s="495"/>
      <c r="CN44" s="495"/>
      <c r="CO44" s="495"/>
      <c r="CP44" s="495"/>
      <c r="CQ44" s="495"/>
      <c r="CR44" s="495"/>
      <c r="CS44" s="495"/>
      <c r="CT44" s="495"/>
      <c r="CU44" s="495"/>
      <c r="CV44" s="495"/>
      <c r="CW44" s="495"/>
      <c r="CX44" s="495"/>
      <c r="CY44" s="495"/>
      <c r="CZ44" s="495"/>
      <c r="DA44" s="495"/>
      <c r="DB44" s="495"/>
      <c r="DC44" s="495"/>
      <c r="DD44" s="495"/>
      <c r="DE44" s="495"/>
      <c r="DF44" s="495"/>
      <c r="DG44" s="495"/>
      <c r="DH44" s="495"/>
      <c r="DI44" s="495"/>
      <c r="DJ44" s="495"/>
      <c r="DK44" s="495"/>
      <c r="DL44" s="495"/>
      <c r="DM44" s="495"/>
      <c r="DN44" s="495"/>
      <c r="DO44" s="495"/>
      <c r="DP44" s="495"/>
      <c r="DQ44" s="495"/>
      <c r="DR44" s="495"/>
      <c r="DS44" s="495"/>
      <c r="DT44" s="495"/>
      <c r="DU44" s="495"/>
      <c r="DV44" s="495"/>
      <c r="DW44" s="495"/>
      <c r="DX44" s="495"/>
      <c r="DY44" s="495"/>
      <c r="DZ44" s="495"/>
      <c r="EA44" s="495"/>
      <c r="EB44" s="495"/>
      <c r="EC44" s="495"/>
      <c r="ED44" s="495"/>
      <c r="EE44" s="495"/>
      <c r="EF44" s="495"/>
      <c r="EG44" s="495"/>
      <c r="EH44" s="495"/>
      <c r="EI44" s="495"/>
      <c r="EJ44" s="495"/>
      <c r="EK44" s="495"/>
      <c r="EL44" s="495"/>
      <c r="EM44" s="495"/>
      <c r="EN44" s="495"/>
      <c r="EO44" s="495"/>
      <c r="EP44" s="495"/>
      <c r="EQ44" s="495"/>
      <c r="ER44" s="495"/>
      <c r="ES44" s="495"/>
      <c r="ET44" s="495"/>
      <c r="EU44" s="495"/>
      <c r="EV44" s="495"/>
      <c r="EW44" s="495"/>
      <c r="EX44" s="495"/>
      <c r="EY44" s="495"/>
      <c r="EZ44" s="495"/>
      <c r="FA44" s="495"/>
      <c r="FB44" s="495"/>
      <c r="FC44" s="495"/>
      <c r="FD44" s="495"/>
      <c r="FE44" s="495"/>
      <c r="FF44" s="495"/>
      <c r="FG44" s="495"/>
      <c r="FH44" s="495"/>
      <c r="FI44" s="495"/>
      <c r="FJ44" s="495"/>
      <c r="FK44" s="495"/>
      <c r="FL44" s="495"/>
      <c r="FM44" s="495"/>
      <c r="FN44" s="495"/>
      <c r="FO44" s="495"/>
      <c r="FP44" s="495"/>
      <c r="FQ44" s="495"/>
      <c r="FR44" s="495"/>
      <c r="FS44" s="495"/>
      <c r="FT44" s="495"/>
      <c r="FU44" s="495"/>
      <c r="FV44" s="495"/>
      <c r="FW44" s="495"/>
      <c r="FX44" s="495"/>
      <c r="FY44" s="495"/>
      <c r="FZ44" s="495"/>
      <c r="GA44" s="495"/>
      <c r="GB44" s="495"/>
      <c r="GC44" s="495"/>
      <c r="GD44" s="495"/>
      <c r="GE44" s="495"/>
      <c r="GF44" s="495"/>
      <c r="GG44" s="495"/>
    </row>
    <row r="45" spans="1:189" s="456" customFormat="1">
      <c r="A45" s="751"/>
      <c r="B45" s="708"/>
      <c r="C45" s="1546" t="e">
        <f>#REF!</f>
        <v>#REF!</v>
      </c>
      <c r="D45" s="647">
        <v>25</v>
      </c>
      <c r="E45" s="527" t="e">
        <f>#REF!</f>
        <v>#REF!</v>
      </c>
      <c r="F45" s="527" t="e">
        <f>+D45*E45</f>
        <v>#REF!</v>
      </c>
      <c r="H45" s="493"/>
      <c r="I45" s="494"/>
      <c r="J45" s="493"/>
      <c r="K45" s="495"/>
      <c r="L45" s="495"/>
      <c r="M45" s="495"/>
      <c r="N45" s="495"/>
      <c r="O45" s="495"/>
      <c r="P45" s="495"/>
      <c r="Q45" s="495"/>
      <c r="R45" s="495"/>
      <c r="S45" s="495"/>
      <c r="T45" s="495"/>
      <c r="U45" s="495"/>
      <c r="V45" s="495"/>
      <c r="W45" s="495"/>
      <c r="X45" s="495"/>
      <c r="Y45" s="495"/>
      <c r="Z45" s="495"/>
      <c r="AA45" s="495"/>
      <c r="AB45" s="495"/>
      <c r="AC45" s="495"/>
      <c r="AD45" s="495"/>
      <c r="AE45" s="495"/>
      <c r="AF45" s="495"/>
      <c r="AG45" s="495"/>
      <c r="AH45" s="495"/>
      <c r="AI45" s="495"/>
      <c r="AJ45" s="495"/>
      <c r="AK45" s="495"/>
      <c r="AL45" s="495"/>
      <c r="AM45" s="495"/>
      <c r="AN45" s="495"/>
      <c r="AO45" s="495"/>
      <c r="AP45" s="495"/>
      <c r="AQ45" s="495"/>
      <c r="AR45" s="495"/>
      <c r="AS45" s="495"/>
      <c r="AT45" s="495"/>
      <c r="AU45" s="495"/>
      <c r="AV45" s="495"/>
      <c r="AW45" s="495"/>
      <c r="AX45" s="495"/>
      <c r="AY45" s="495"/>
      <c r="AZ45" s="495"/>
      <c r="BA45" s="495"/>
      <c r="BB45" s="495"/>
      <c r="BC45" s="495"/>
      <c r="BD45" s="495"/>
      <c r="BE45" s="495"/>
      <c r="BF45" s="495"/>
      <c r="BG45" s="495"/>
      <c r="BH45" s="495"/>
      <c r="BI45" s="495"/>
      <c r="BJ45" s="495"/>
      <c r="BK45" s="495"/>
      <c r="BL45" s="495"/>
      <c r="BM45" s="495"/>
      <c r="BN45" s="495"/>
      <c r="BO45" s="495"/>
      <c r="BP45" s="495"/>
      <c r="BQ45" s="495"/>
      <c r="BR45" s="495"/>
      <c r="BS45" s="495"/>
      <c r="BT45" s="495"/>
      <c r="BU45" s="495"/>
      <c r="BV45" s="495"/>
      <c r="BW45" s="495"/>
      <c r="BX45" s="495"/>
      <c r="BY45" s="495"/>
      <c r="BZ45" s="495"/>
      <c r="CA45" s="495"/>
      <c r="CB45" s="495"/>
      <c r="CC45" s="495"/>
      <c r="CD45" s="495"/>
      <c r="CE45" s="495"/>
      <c r="CF45" s="495"/>
      <c r="CG45" s="495"/>
      <c r="CH45" s="495"/>
      <c r="CI45" s="495"/>
      <c r="CJ45" s="495"/>
      <c r="CK45" s="495"/>
      <c r="CL45" s="495"/>
      <c r="CM45" s="495"/>
      <c r="CN45" s="495"/>
      <c r="CO45" s="495"/>
      <c r="CP45" s="495"/>
      <c r="CQ45" s="495"/>
      <c r="CR45" s="495"/>
      <c r="CS45" s="495"/>
      <c r="CT45" s="495"/>
      <c r="CU45" s="495"/>
      <c r="CV45" s="495"/>
      <c r="CW45" s="495"/>
      <c r="CX45" s="495"/>
      <c r="CY45" s="495"/>
      <c r="CZ45" s="495"/>
      <c r="DA45" s="495"/>
      <c r="DB45" s="495"/>
      <c r="DC45" s="495"/>
      <c r="DD45" s="495"/>
      <c r="DE45" s="495"/>
      <c r="DF45" s="495"/>
      <c r="DG45" s="495"/>
      <c r="DH45" s="495"/>
      <c r="DI45" s="495"/>
      <c r="DJ45" s="495"/>
      <c r="DK45" s="495"/>
      <c r="DL45" s="495"/>
      <c r="DM45" s="495"/>
      <c r="DN45" s="495"/>
      <c r="DO45" s="495"/>
      <c r="DP45" s="495"/>
      <c r="DQ45" s="495"/>
      <c r="DR45" s="495"/>
      <c r="DS45" s="495"/>
      <c r="DT45" s="495"/>
      <c r="DU45" s="495"/>
      <c r="DV45" s="495"/>
      <c r="DW45" s="495"/>
      <c r="DX45" s="495"/>
      <c r="DY45" s="495"/>
      <c r="DZ45" s="495"/>
      <c r="EA45" s="495"/>
      <c r="EB45" s="495"/>
      <c r="EC45" s="495"/>
      <c r="ED45" s="495"/>
      <c r="EE45" s="495"/>
      <c r="EF45" s="495"/>
      <c r="EG45" s="495"/>
      <c r="EH45" s="495"/>
      <c r="EI45" s="495"/>
      <c r="EJ45" s="495"/>
      <c r="EK45" s="495"/>
      <c r="EL45" s="495"/>
      <c r="EM45" s="495"/>
      <c r="EN45" s="495"/>
      <c r="EO45" s="495"/>
      <c r="EP45" s="495"/>
      <c r="EQ45" s="495"/>
      <c r="ER45" s="495"/>
      <c r="ES45" s="495"/>
      <c r="ET45" s="495"/>
      <c r="EU45" s="495"/>
      <c r="EV45" s="495"/>
      <c r="EW45" s="495"/>
      <c r="EX45" s="495"/>
      <c r="EY45" s="495"/>
      <c r="EZ45" s="495"/>
      <c r="FA45" s="495"/>
      <c r="FB45" s="495"/>
      <c r="FC45" s="495"/>
      <c r="FD45" s="495"/>
      <c r="FE45" s="495"/>
      <c r="FF45" s="495"/>
      <c r="FG45" s="495"/>
      <c r="FH45" s="495"/>
      <c r="FI45" s="495"/>
      <c r="FJ45" s="495"/>
      <c r="FK45" s="495"/>
      <c r="FL45" s="495"/>
      <c r="FM45" s="495"/>
      <c r="FN45" s="495"/>
      <c r="FO45" s="495"/>
      <c r="FP45" s="495"/>
      <c r="FQ45" s="495"/>
      <c r="FR45" s="495"/>
      <c r="FS45" s="495"/>
      <c r="FT45" s="495"/>
      <c r="FU45" s="495"/>
      <c r="FV45" s="495"/>
      <c r="FW45" s="495"/>
      <c r="FX45" s="495"/>
      <c r="FY45" s="495"/>
      <c r="FZ45" s="495"/>
      <c r="GA45" s="495"/>
      <c r="GB45" s="495"/>
      <c r="GC45" s="495"/>
      <c r="GD45" s="495"/>
      <c r="GE45" s="495"/>
      <c r="GF45" s="495"/>
      <c r="GG45" s="495"/>
    </row>
    <row r="46" spans="1:189" s="456" customFormat="1">
      <c r="A46" s="689" t="e">
        <f>#REF!</f>
        <v>#REF!</v>
      </c>
      <c r="B46" s="752" t="e">
        <f>#REF!</f>
        <v>#REF!</v>
      </c>
      <c r="C46" s="1571"/>
      <c r="D46" s="651"/>
      <c r="E46" s="641"/>
      <c r="F46" s="641"/>
      <c r="H46" s="493"/>
      <c r="I46" s="494"/>
      <c r="J46" s="493"/>
      <c r="K46" s="495"/>
      <c r="L46" s="495"/>
      <c r="M46" s="495"/>
      <c r="N46" s="495"/>
      <c r="O46" s="495"/>
      <c r="P46" s="495"/>
      <c r="Q46" s="495"/>
      <c r="R46" s="495"/>
      <c r="S46" s="495"/>
      <c r="T46" s="495"/>
      <c r="U46" s="495"/>
      <c r="V46" s="495"/>
      <c r="W46" s="495"/>
      <c r="X46" s="495"/>
      <c r="Y46" s="495"/>
      <c r="Z46" s="495"/>
      <c r="AA46" s="495"/>
      <c r="AB46" s="495"/>
      <c r="AC46" s="495"/>
      <c r="AD46" s="495"/>
      <c r="AE46" s="495"/>
      <c r="AF46" s="495"/>
      <c r="AG46" s="495"/>
      <c r="AH46" s="495"/>
      <c r="AI46" s="495"/>
      <c r="AJ46" s="495"/>
      <c r="AK46" s="495"/>
      <c r="AL46" s="495"/>
      <c r="AM46" s="495"/>
      <c r="AN46" s="495"/>
      <c r="AO46" s="495"/>
      <c r="AP46" s="495"/>
      <c r="AQ46" s="495"/>
      <c r="AR46" s="495"/>
      <c r="AS46" s="495"/>
      <c r="AT46" s="495"/>
      <c r="AU46" s="495"/>
      <c r="AV46" s="495"/>
      <c r="AW46" s="495"/>
      <c r="AX46" s="495"/>
      <c r="AY46" s="495"/>
      <c r="AZ46" s="495"/>
      <c r="BA46" s="495"/>
      <c r="BB46" s="495"/>
      <c r="BC46" s="495"/>
      <c r="BD46" s="495"/>
      <c r="BE46" s="495"/>
      <c r="BF46" s="495"/>
      <c r="BG46" s="495"/>
      <c r="BH46" s="495"/>
      <c r="BI46" s="495"/>
      <c r="BJ46" s="495"/>
      <c r="BK46" s="495"/>
      <c r="BL46" s="495"/>
      <c r="BM46" s="495"/>
      <c r="BN46" s="495"/>
      <c r="BO46" s="495"/>
      <c r="BP46" s="495"/>
      <c r="BQ46" s="495"/>
      <c r="BR46" s="495"/>
      <c r="BS46" s="495"/>
      <c r="BT46" s="495"/>
      <c r="BU46" s="495"/>
      <c r="BV46" s="495"/>
      <c r="BW46" s="495"/>
      <c r="BX46" s="495"/>
      <c r="BY46" s="495"/>
      <c r="BZ46" s="495"/>
      <c r="CA46" s="495"/>
      <c r="CB46" s="495"/>
      <c r="CC46" s="495"/>
      <c r="CD46" s="495"/>
      <c r="CE46" s="495"/>
      <c r="CF46" s="495"/>
      <c r="CG46" s="495"/>
      <c r="CH46" s="495"/>
      <c r="CI46" s="495"/>
      <c r="CJ46" s="495"/>
      <c r="CK46" s="495"/>
      <c r="CL46" s="495"/>
      <c r="CM46" s="495"/>
      <c r="CN46" s="495"/>
      <c r="CO46" s="495"/>
      <c r="CP46" s="495"/>
      <c r="CQ46" s="495"/>
      <c r="CR46" s="495"/>
      <c r="CS46" s="495"/>
      <c r="CT46" s="495"/>
      <c r="CU46" s="495"/>
      <c r="CV46" s="495"/>
      <c r="CW46" s="495"/>
      <c r="CX46" s="495"/>
      <c r="CY46" s="495"/>
      <c r="CZ46" s="495"/>
      <c r="DA46" s="495"/>
      <c r="DB46" s="495"/>
      <c r="DC46" s="495"/>
      <c r="DD46" s="495"/>
      <c r="DE46" s="495"/>
      <c r="DF46" s="495"/>
      <c r="DG46" s="495"/>
      <c r="DH46" s="495"/>
      <c r="DI46" s="495"/>
      <c r="DJ46" s="495"/>
      <c r="DK46" s="495"/>
      <c r="DL46" s="495"/>
      <c r="DM46" s="495"/>
      <c r="DN46" s="495"/>
      <c r="DO46" s="495"/>
      <c r="DP46" s="495"/>
      <c r="DQ46" s="495"/>
      <c r="DR46" s="495"/>
      <c r="DS46" s="495"/>
      <c r="DT46" s="495"/>
      <c r="DU46" s="495"/>
      <c r="DV46" s="495"/>
      <c r="DW46" s="495"/>
      <c r="DX46" s="495"/>
      <c r="DY46" s="495"/>
      <c r="DZ46" s="495"/>
      <c r="EA46" s="495"/>
      <c r="EB46" s="495"/>
      <c r="EC46" s="495"/>
      <c r="ED46" s="495"/>
      <c r="EE46" s="495"/>
      <c r="EF46" s="495"/>
      <c r="EG46" s="495"/>
      <c r="EH46" s="495"/>
      <c r="EI46" s="495"/>
      <c r="EJ46" s="495"/>
      <c r="EK46" s="495"/>
      <c r="EL46" s="495"/>
      <c r="EM46" s="495"/>
      <c r="EN46" s="495"/>
      <c r="EO46" s="495"/>
      <c r="EP46" s="495"/>
      <c r="EQ46" s="495"/>
      <c r="ER46" s="495"/>
      <c r="ES46" s="495"/>
      <c r="ET46" s="495"/>
      <c r="EU46" s="495"/>
      <c r="EV46" s="495"/>
      <c r="EW46" s="495"/>
      <c r="EX46" s="495"/>
      <c r="EY46" s="495"/>
      <c r="EZ46" s="495"/>
      <c r="FA46" s="495"/>
      <c r="FB46" s="495"/>
      <c r="FC46" s="495"/>
      <c r="FD46" s="495"/>
      <c r="FE46" s="495"/>
      <c r="FF46" s="495"/>
      <c r="FG46" s="495"/>
      <c r="FH46" s="495"/>
      <c r="FI46" s="495"/>
      <c r="FJ46" s="495"/>
      <c r="FK46" s="495"/>
      <c r="FL46" s="495"/>
      <c r="FM46" s="495"/>
      <c r="FN46" s="495"/>
      <c r="FO46" s="495"/>
      <c r="FP46" s="495"/>
      <c r="FQ46" s="495"/>
      <c r="FR46" s="495"/>
      <c r="FS46" s="495"/>
      <c r="FT46" s="495"/>
      <c r="FU46" s="495"/>
      <c r="FV46" s="495"/>
      <c r="FW46" s="495"/>
      <c r="FX46" s="495"/>
      <c r="FY46" s="495"/>
      <c r="FZ46" s="495"/>
      <c r="GA46" s="495"/>
      <c r="GB46" s="495"/>
      <c r="GC46" s="495"/>
      <c r="GD46" s="495"/>
      <c r="GE46" s="495"/>
      <c r="GF46" s="495"/>
      <c r="GG46" s="495"/>
    </row>
    <row r="47" spans="1:189" s="456" customFormat="1">
      <c r="A47" s="750" t="e">
        <f>#REF!</f>
        <v>#REF!</v>
      </c>
      <c r="B47" s="729" t="e">
        <f>#REF!</f>
        <v>#REF!</v>
      </c>
      <c r="C47" s="1553" t="e">
        <f>#REF!</f>
        <v>#REF!</v>
      </c>
      <c r="D47" s="704">
        <v>1</v>
      </c>
      <c r="E47" s="633">
        <v>19079875</v>
      </c>
      <c r="F47" s="633">
        <f>+D47*E47</f>
        <v>19079875</v>
      </c>
      <c r="H47" s="494">
        <f>F12/1000</f>
        <v>1.153</v>
      </c>
      <c r="I47" s="494">
        <v>1.05</v>
      </c>
      <c r="J47" s="705">
        <f>H47*I47</f>
        <v>1.21065</v>
      </c>
      <c r="K47" s="495"/>
      <c r="L47" s="495"/>
      <c r="M47" s="495"/>
      <c r="N47" s="495"/>
      <c r="O47" s="495"/>
      <c r="P47" s="495"/>
      <c r="Q47" s="495"/>
      <c r="R47" s="495"/>
      <c r="S47" s="495"/>
      <c r="T47" s="495"/>
      <c r="U47" s="495"/>
      <c r="V47" s="495"/>
      <c r="W47" s="495"/>
      <c r="X47" s="495"/>
      <c r="Y47" s="495"/>
      <c r="Z47" s="495"/>
      <c r="AA47" s="495"/>
      <c r="AB47" s="495"/>
      <c r="AC47" s="495"/>
      <c r="AD47" s="495"/>
      <c r="AE47" s="495"/>
      <c r="AF47" s="495"/>
      <c r="AG47" s="495"/>
      <c r="AH47" s="495"/>
      <c r="AI47" s="495"/>
      <c r="AJ47" s="495"/>
      <c r="AK47" s="495"/>
      <c r="AL47" s="495"/>
      <c r="AM47" s="495"/>
      <c r="AN47" s="495"/>
      <c r="AO47" s="495"/>
      <c r="AP47" s="495"/>
      <c r="AQ47" s="495"/>
      <c r="AR47" s="495"/>
      <c r="AS47" s="495"/>
      <c r="AT47" s="495"/>
      <c r="AU47" s="495"/>
      <c r="AV47" s="495"/>
      <c r="AW47" s="495"/>
      <c r="AX47" s="495"/>
      <c r="AY47" s="495"/>
      <c r="AZ47" s="495"/>
      <c r="BA47" s="495"/>
      <c r="BB47" s="495"/>
      <c r="BC47" s="495"/>
      <c r="BD47" s="495"/>
      <c r="BE47" s="495"/>
      <c r="BF47" s="495"/>
      <c r="BG47" s="495"/>
      <c r="BH47" s="495"/>
      <c r="BI47" s="495"/>
      <c r="BJ47" s="495"/>
      <c r="BK47" s="495"/>
      <c r="BL47" s="495"/>
      <c r="BM47" s="495"/>
      <c r="BN47" s="495"/>
      <c r="BO47" s="495"/>
      <c r="BP47" s="495"/>
      <c r="BQ47" s="495"/>
      <c r="BR47" s="495"/>
      <c r="BS47" s="495"/>
      <c r="BT47" s="495"/>
      <c r="BU47" s="495"/>
      <c r="BV47" s="495"/>
      <c r="BW47" s="495"/>
      <c r="BX47" s="495"/>
      <c r="BY47" s="495"/>
      <c r="BZ47" s="495"/>
      <c r="CA47" s="495"/>
      <c r="CB47" s="495"/>
      <c r="CC47" s="495"/>
      <c r="CD47" s="495"/>
      <c r="CE47" s="495"/>
      <c r="CF47" s="495"/>
      <c r="CG47" s="495"/>
      <c r="CH47" s="495"/>
      <c r="CI47" s="495"/>
      <c r="CJ47" s="495"/>
      <c r="CK47" s="495"/>
      <c r="CL47" s="495"/>
      <c r="CM47" s="495"/>
      <c r="CN47" s="495"/>
      <c r="CO47" s="495"/>
      <c r="CP47" s="495"/>
      <c r="CQ47" s="495"/>
      <c r="CR47" s="495"/>
      <c r="CS47" s="495"/>
      <c r="CT47" s="495"/>
      <c r="CU47" s="495"/>
      <c r="CV47" s="495"/>
      <c r="CW47" s="495"/>
      <c r="CX47" s="495"/>
      <c r="CY47" s="495"/>
      <c r="CZ47" s="495"/>
      <c r="DA47" s="495"/>
      <c r="DB47" s="495"/>
      <c r="DC47" s="495"/>
      <c r="DD47" s="495"/>
      <c r="DE47" s="495"/>
      <c r="DF47" s="495"/>
      <c r="DG47" s="495"/>
      <c r="DH47" s="495"/>
      <c r="DI47" s="495"/>
      <c r="DJ47" s="495"/>
      <c r="DK47" s="495"/>
      <c r="DL47" s="495"/>
      <c r="DM47" s="495"/>
      <c r="DN47" s="495"/>
      <c r="DO47" s="495"/>
      <c r="DP47" s="495"/>
      <c r="DQ47" s="495"/>
      <c r="DR47" s="495"/>
      <c r="DS47" s="495"/>
      <c r="DT47" s="495"/>
      <c r="DU47" s="495"/>
      <c r="DV47" s="495"/>
      <c r="DW47" s="495"/>
      <c r="DX47" s="495"/>
      <c r="DY47" s="495"/>
      <c r="DZ47" s="495"/>
      <c r="EA47" s="495"/>
      <c r="EB47" s="495"/>
      <c r="EC47" s="495"/>
      <c r="ED47" s="495"/>
      <c r="EE47" s="495"/>
      <c r="EF47" s="495"/>
      <c r="EG47" s="495"/>
      <c r="EH47" s="495"/>
      <c r="EI47" s="495"/>
      <c r="EJ47" s="495"/>
      <c r="EK47" s="495"/>
      <c r="EL47" s="495"/>
      <c r="EM47" s="495"/>
      <c r="EN47" s="495"/>
      <c r="EO47" s="495"/>
      <c r="EP47" s="495"/>
      <c r="EQ47" s="495"/>
      <c r="ER47" s="495"/>
      <c r="ES47" s="495"/>
      <c r="ET47" s="495"/>
      <c r="EU47" s="495"/>
      <c r="EV47" s="495"/>
      <c r="EW47" s="495"/>
      <c r="EX47" s="495"/>
      <c r="EY47" s="495"/>
      <c r="EZ47" s="495"/>
      <c r="FA47" s="495"/>
      <c r="FB47" s="495"/>
      <c r="FC47" s="495"/>
      <c r="FD47" s="495"/>
      <c r="FE47" s="495"/>
      <c r="FF47" s="495"/>
      <c r="FG47" s="495"/>
      <c r="FH47" s="495"/>
      <c r="FI47" s="495"/>
      <c r="FJ47" s="495"/>
      <c r="FK47" s="495"/>
      <c r="FL47" s="495"/>
      <c r="FM47" s="495"/>
      <c r="FN47" s="495"/>
      <c r="FO47" s="495"/>
      <c r="FP47" s="495"/>
      <c r="FQ47" s="495"/>
      <c r="FR47" s="495"/>
      <c r="FS47" s="495"/>
      <c r="FT47" s="495"/>
      <c r="FU47" s="495"/>
      <c r="FV47" s="495"/>
      <c r="FW47" s="495"/>
      <c r="FX47" s="495"/>
      <c r="FY47" s="495"/>
      <c r="FZ47" s="495"/>
      <c r="GA47" s="495"/>
      <c r="GB47" s="495"/>
      <c r="GC47" s="495"/>
      <c r="GD47" s="495"/>
      <c r="GE47" s="495"/>
      <c r="GF47" s="495"/>
      <c r="GG47" s="495"/>
    </row>
    <row r="48" spans="1:189" s="495" customFormat="1">
      <c r="A48" s="750" t="e">
        <f>#REF!</f>
        <v>#REF!</v>
      </c>
      <c r="B48" s="729" t="e">
        <f>#REF!</f>
        <v>#REF!</v>
      </c>
      <c r="C48" s="1553" t="e">
        <f>#REF!</f>
        <v>#REF!</v>
      </c>
      <c r="D48" s="704">
        <v>1</v>
      </c>
      <c r="E48" s="633">
        <v>14263900</v>
      </c>
      <c r="F48" s="633">
        <f>+D48*E48</f>
        <v>14263900</v>
      </c>
      <c r="G48" s="456"/>
      <c r="H48" s="494">
        <f>H47</f>
        <v>1.153</v>
      </c>
      <c r="I48" s="494">
        <v>1.05</v>
      </c>
      <c r="J48" s="705">
        <f>H48*I48</f>
        <v>1.21065</v>
      </c>
    </row>
    <row r="49" spans="1:12" s="495" customFormat="1">
      <c r="A49" s="750" t="e">
        <f>#REF!</f>
        <v>#REF!</v>
      </c>
      <c r="B49" s="729" t="e">
        <f>#REF!</f>
        <v>#REF!</v>
      </c>
      <c r="C49" s="1553" t="e">
        <f>#REF!</f>
        <v>#REF!</v>
      </c>
      <c r="D49" s="704">
        <f>J49</f>
        <v>894</v>
      </c>
      <c r="E49" s="633" t="e">
        <f>#REF!</f>
        <v>#REF!</v>
      </c>
      <c r="F49" s="633" t="e">
        <f>+D49*E49</f>
        <v>#REF!</v>
      </c>
      <c r="G49" s="456"/>
      <c r="H49" s="494">
        <f>1153-690+350</f>
        <v>813</v>
      </c>
      <c r="I49" s="494">
        <v>1.1000000000000001</v>
      </c>
      <c r="J49" s="705">
        <f>ROUND(H49*I49,0)</f>
        <v>894</v>
      </c>
    </row>
    <row r="50" spans="1:12" s="495" customFormat="1">
      <c r="A50" s="751" t="e">
        <f>#REF!</f>
        <v>#REF!</v>
      </c>
      <c r="B50" s="708" t="e">
        <f>#REF!</f>
        <v>#REF!</v>
      </c>
      <c r="C50" s="1554" t="e">
        <f>#REF!</f>
        <v>#REF!</v>
      </c>
      <c r="D50" s="706">
        <v>1</v>
      </c>
      <c r="E50" s="633">
        <v>11490314.9926</v>
      </c>
      <c r="F50" s="527">
        <f>+D50*E50</f>
        <v>11490314.9926</v>
      </c>
      <c r="G50" s="456"/>
      <c r="H50" s="494">
        <f>H48</f>
        <v>1.153</v>
      </c>
      <c r="I50" s="494">
        <v>1.05</v>
      </c>
      <c r="J50" s="705">
        <f>H50*I50</f>
        <v>1.21065</v>
      </c>
    </row>
    <row r="51" spans="1:12" s="495" customFormat="1">
      <c r="A51" s="689" t="e">
        <f>#REF!</f>
        <v>#REF!</v>
      </c>
      <c r="B51" s="752" t="e">
        <f>#REF!</f>
        <v>#REF!</v>
      </c>
      <c r="C51" s="1544"/>
      <c r="D51" s="707"/>
      <c r="E51" s="641"/>
      <c r="F51" s="633"/>
      <c r="G51" s="456"/>
      <c r="H51" s="493"/>
      <c r="I51" s="494"/>
      <c r="J51" s="493"/>
    </row>
    <row r="52" spans="1:12" s="495" customFormat="1">
      <c r="A52" s="751"/>
      <c r="B52" s="708"/>
      <c r="C52" s="1546" t="e">
        <f>#REF!</f>
        <v>#REF!</v>
      </c>
      <c r="D52" s="661">
        <f>J52</f>
        <v>1430.0000000000002</v>
      </c>
      <c r="E52" s="527" t="e">
        <f>#REF!</f>
        <v>#REF!</v>
      </c>
      <c r="F52" s="527" t="e">
        <f>+D52*E52</f>
        <v>#REF!</v>
      </c>
      <c r="G52" s="456"/>
      <c r="H52" s="493">
        <f>+(730-690)*20+500</f>
        <v>1300</v>
      </c>
      <c r="I52" s="494">
        <v>1.1000000000000001</v>
      </c>
      <c r="J52" s="493">
        <f>H52*I52</f>
        <v>1430.0000000000002</v>
      </c>
    </row>
    <row r="53" spans="1:12" s="495" customFormat="1">
      <c r="A53" s="689" t="e">
        <f>#REF!</f>
        <v>#REF!</v>
      </c>
      <c r="B53" s="752" t="e">
        <f>#REF!</f>
        <v>#REF!</v>
      </c>
      <c r="C53" s="1571"/>
      <c r="D53" s="651"/>
      <c r="E53" s="641"/>
      <c r="F53" s="641"/>
      <c r="G53" s="456"/>
      <c r="H53" s="493"/>
      <c r="I53" s="494"/>
      <c r="J53" s="493"/>
    </row>
    <row r="54" spans="1:12" s="495" customFormat="1">
      <c r="A54" s="751" t="e">
        <f>#REF!</f>
        <v>#REF!</v>
      </c>
      <c r="B54" s="708" t="e">
        <f>#REF!</f>
        <v>#REF!</v>
      </c>
      <c r="C54" s="1547" t="e">
        <f>#REF!</f>
        <v>#REF!</v>
      </c>
      <c r="D54" s="1433">
        <f>J54</f>
        <v>4131</v>
      </c>
      <c r="E54" s="527" t="e">
        <f>#REF!</f>
        <v>#REF!</v>
      </c>
      <c r="F54" s="527" t="e">
        <f>+D54*E54</f>
        <v>#REF!</v>
      </c>
      <c r="G54" s="456"/>
      <c r="H54" s="493">
        <f>1000+136+66+87+422+972+295+168+391+472+122</f>
        <v>4131</v>
      </c>
      <c r="I54" s="494">
        <v>1</v>
      </c>
      <c r="J54" s="493">
        <f>H54*I54</f>
        <v>4131</v>
      </c>
    </row>
    <row r="55" spans="1:12" s="495" customFormat="1" ht="18.75">
      <c r="A55" s="1434"/>
      <c r="B55" s="464"/>
      <c r="C55" s="686"/>
      <c r="D55" s="635"/>
      <c r="E55" s="636" t="s">
        <v>111</v>
      </c>
      <c r="F55" s="1122" t="e">
        <f>SUM(F40:F54)</f>
        <v>#REF!</v>
      </c>
      <c r="G55" s="456"/>
      <c r="H55" s="493"/>
      <c r="I55" s="494"/>
      <c r="J55" s="493"/>
    </row>
    <row r="56" spans="1:12" s="129" customFormat="1" ht="15" customHeight="1">
      <c r="A56" s="10"/>
      <c r="B56" s="40"/>
      <c r="C56" s="51"/>
      <c r="D56" s="76"/>
      <c r="E56" s="66"/>
      <c r="F56" s="66"/>
      <c r="G56" s="142"/>
      <c r="H56" s="255"/>
      <c r="I56" s="262"/>
      <c r="J56" s="255"/>
    </row>
    <row r="57" spans="1:12" s="129" customFormat="1" ht="24.95" customHeight="1">
      <c r="A57" s="1863" t="e">
        <f>#REF!</f>
        <v>#REF!</v>
      </c>
      <c r="B57" s="1864"/>
      <c r="C57" s="1864"/>
      <c r="D57" s="1864"/>
      <c r="E57" s="1864"/>
      <c r="F57" s="1865"/>
      <c r="G57" s="142"/>
      <c r="H57" s="255"/>
      <c r="I57" s="262"/>
      <c r="J57" s="255"/>
    </row>
    <row r="58" spans="1:12" s="129" customFormat="1">
      <c r="A58" s="556" t="e">
        <f>#REF!</f>
        <v>#REF!</v>
      </c>
      <c r="B58" s="1424" t="e">
        <f>#REF!</f>
        <v>#REF!</v>
      </c>
      <c r="C58" s="109"/>
      <c r="D58" s="109"/>
      <c r="E58" s="109"/>
      <c r="F58" s="483"/>
      <c r="G58" s="142"/>
      <c r="H58" s="255"/>
      <c r="I58" s="262"/>
      <c r="J58" s="255"/>
    </row>
    <row r="59" spans="1:12" s="129" customFormat="1">
      <c r="A59" s="1412" t="e">
        <f>#REF!</f>
        <v>#REF!</v>
      </c>
      <c r="B59" s="573" t="e">
        <f>#REF!</f>
        <v>#REF!</v>
      </c>
      <c r="C59" s="1665" t="e">
        <f>#REF!</f>
        <v>#REF!</v>
      </c>
      <c r="D59" s="107">
        <f>J59</f>
        <v>7260.7499999999991</v>
      </c>
      <c r="E59" s="107" t="e">
        <f>#REF!</f>
        <v>#REF!</v>
      </c>
      <c r="F59" s="474" t="e">
        <f>+D59*E59</f>
        <v>#REF!</v>
      </c>
      <c r="G59" s="142"/>
      <c r="H59" s="268">
        <f>(I5*20+I6*15)*0.35</f>
        <v>7260.7499999999991</v>
      </c>
      <c r="I59" s="262">
        <v>1</v>
      </c>
      <c r="J59" s="255">
        <f>H59*I59</f>
        <v>7260.7499999999991</v>
      </c>
    </row>
    <row r="60" spans="1:12" s="129" customFormat="1">
      <c r="A60" s="1405" t="e">
        <f>#REF!</f>
        <v>#REF!</v>
      </c>
      <c r="B60" s="1413" t="e">
        <f>#REF!</f>
        <v>#REF!</v>
      </c>
      <c r="C60" s="1551"/>
      <c r="D60" s="413"/>
      <c r="E60" s="109"/>
      <c r="F60" s="483"/>
      <c r="G60" s="142"/>
      <c r="H60" s="255"/>
      <c r="I60" s="262"/>
      <c r="J60" s="255"/>
      <c r="L60" s="270">
        <f>J63-J61</f>
        <v>6895.3500000000013</v>
      </c>
    </row>
    <row r="61" spans="1:12" s="129" customFormat="1">
      <c r="A61" s="1412"/>
      <c r="B61" s="573"/>
      <c r="C61" s="1665" t="e">
        <f>#REF!</f>
        <v>#REF!</v>
      </c>
      <c r="D61" s="147">
        <f>+J61</f>
        <v>4563.9000000000005</v>
      </c>
      <c r="E61" s="107" t="e">
        <f>#REF!</f>
        <v>#REF!</v>
      </c>
      <c r="F61" s="474" t="e">
        <f>+D61*E61</f>
        <v>#REF!</v>
      </c>
      <c r="G61" s="142"/>
      <c r="H61" s="268">
        <f>(I5*20+I6*15)*0.2</f>
        <v>4149</v>
      </c>
      <c r="I61" s="262">
        <v>1.1000000000000001</v>
      </c>
      <c r="J61" s="255">
        <f>H61*I61</f>
        <v>4563.9000000000005</v>
      </c>
      <c r="K61" s="270"/>
    </row>
    <row r="62" spans="1:12" s="205" customFormat="1">
      <c r="A62" s="1435" t="e">
        <f>#REF!</f>
        <v>#REF!</v>
      </c>
      <c r="B62" s="1436" t="e">
        <f>#REF!</f>
        <v>#REF!</v>
      </c>
      <c r="C62" s="943"/>
      <c r="D62" s="172"/>
      <c r="E62" s="161"/>
      <c r="F62" s="1437"/>
      <c r="H62" s="258"/>
      <c r="I62" s="264"/>
      <c r="J62" s="258"/>
    </row>
    <row r="63" spans="1:12" s="205" customFormat="1">
      <c r="A63" s="1664"/>
      <c r="B63" s="1438"/>
      <c r="C63" s="1552" t="e">
        <f>#REF!</f>
        <v>#REF!</v>
      </c>
      <c r="D63" s="147">
        <f>J63</f>
        <v>11459.250000000002</v>
      </c>
      <c r="E63" s="185" t="e">
        <f>#REF!</f>
        <v>#REF!</v>
      </c>
      <c r="F63" s="927" t="e">
        <f>+D63*E63</f>
        <v>#REF!</v>
      </c>
      <c r="H63" s="258">
        <f>15*1.5*I6</f>
        <v>10417.5</v>
      </c>
      <c r="I63" s="264">
        <v>1.1000000000000001</v>
      </c>
      <c r="J63" s="258">
        <f>H63*I63</f>
        <v>11459.250000000002</v>
      </c>
      <c r="K63" s="205" t="s">
        <v>312</v>
      </c>
    </row>
    <row r="64" spans="1:12" s="129" customFormat="1" ht="18.75">
      <c r="A64" s="5"/>
      <c r="B64" s="501"/>
      <c r="C64" s="95"/>
      <c r="D64" s="92"/>
      <c r="E64" s="636" t="s">
        <v>110</v>
      </c>
      <c r="F64" s="1122" t="e">
        <f>SUM(F58:F63)</f>
        <v>#REF!</v>
      </c>
      <c r="G64" s="142"/>
      <c r="H64" s="255"/>
      <c r="I64" s="262"/>
      <c r="J64" s="255"/>
    </row>
    <row r="65" spans="1:11" s="129" customFormat="1" ht="15" customHeight="1">
      <c r="A65" s="5"/>
      <c r="B65" s="501"/>
      <c r="C65" s="823"/>
      <c r="D65" s="823"/>
      <c r="E65" s="823"/>
      <c r="F65" s="823"/>
      <c r="G65" s="142"/>
      <c r="H65" s="255">
        <f>0.15*9.84*I5+0.15*7.84*I6+20*20*9.84*0.15</f>
        <v>2153.328</v>
      </c>
      <c r="I65" s="262" t="s">
        <v>243</v>
      </c>
      <c r="J65" s="255"/>
    </row>
    <row r="66" spans="1:11" s="129" customFormat="1" ht="24.95" customHeight="1">
      <c r="A66" s="1863" t="e">
        <f>#REF!</f>
        <v>#REF!</v>
      </c>
      <c r="B66" s="1864"/>
      <c r="C66" s="1864"/>
      <c r="D66" s="1864"/>
      <c r="E66" s="1864"/>
      <c r="F66" s="1865"/>
      <c r="G66" s="375"/>
      <c r="H66" s="255">
        <f>0.2*9.84*I5+0.2*7.84*I6+(20-9.84)*0.2*I5+0.2*(15-7.84)*I6+20*20*0.2*9</f>
        <v>4869</v>
      </c>
      <c r="I66" s="262" t="s">
        <v>244</v>
      </c>
      <c r="J66" s="255"/>
    </row>
    <row r="67" spans="1:11" s="129" customFormat="1">
      <c r="A67" s="689" t="e">
        <f>#REF!</f>
        <v>#REF!</v>
      </c>
      <c r="B67" s="711" t="e">
        <f>#REF!</f>
        <v>#REF!</v>
      </c>
      <c r="C67" s="1478"/>
      <c r="D67" s="543"/>
      <c r="E67" s="1137"/>
      <c r="F67" s="544"/>
      <c r="G67" s="142"/>
      <c r="H67" s="145">
        <v>0</v>
      </c>
      <c r="I67" s="262" t="s">
        <v>245</v>
      </c>
      <c r="J67" s="255"/>
    </row>
    <row r="68" spans="1:11" s="129" customFormat="1">
      <c r="A68" s="751" t="e">
        <f>#REF!</f>
        <v>#REF!</v>
      </c>
      <c r="B68" s="753" t="e">
        <f>#REF!</f>
        <v>#REF!</v>
      </c>
      <c r="C68" s="1523" t="e">
        <f>#REF!</f>
        <v>#REF!</v>
      </c>
      <c r="D68" s="1521">
        <f>J68</f>
        <v>7724.5608000000002</v>
      </c>
      <c r="E68" s="1439" t="e">
        <f>#REF!</f>
        <v>#REF!</v>
      </c>
      <c r="F68" s="547" t="e">
        <f>+D68*E68</f>
        <v>#REF!</v>
      </c>
      <c r="G68" s="142"/>
      <c r="H68" s="145">
        <f>SUM(H65:H67)</f>
        <v>7022.3279999999995</v>
      </c>
      <c r="I68" s="262">
        <f>1.1</f>
        <v>1.1000000000000001</v>
      </c>
      <c r="J68" s="255">
        <f>H68*I68</f>
        <v>7724.5608000000002</v>
      </c>
    </row>
    <row r="69" spans="1:11" s="129" customFormat="1">
      <c r="A69" s="689" t="e">
        <f>#REF!</f>
        <v>#REF!</v>
      </c>
      <c r="B69" s="711" t="e">
        <f>#REF!</f>
        <v>#REF!</v>
      </c>
      <c r="C69" s="640"/>
      <c r="D69" s="641"/>
      <c r="E69" s="665"/>
      <c r="F69" s="641"/>
      <c r="G69" s="142"/>
      <c r="H69" s="255"/>
      <c r="I69" s="262"/>
      <c r="J69" s="255"/>
    </row>
    <row r="70" spans="1:11" s="129" customFormat="1">
      <c r="A70" s="751"/>
      <c r="B70" s="753"/>
      <c r="C70" s="1523" t="e">
        <f>#REF!</f>
        <v>#REF!</v>
      </c>
      <c r="D70" s="527">
        <f>J70</f>
        <v>48785.1</v>
      </c>
      <c r="E70" s="744" t="e">
        <f>#REF!</f>
        <v>#REF!</v>
      </c>
      <c r="F70" s="527" t="e">
        <f>+D70*E70</f>
        <v>#REF!</v>
      </c>
      <c r="G70" s="142"/>
      <c r="H70" s="255">
        <f>((20-2.5)*I5+(15-3)*I6+(15-1)*20*20)*2</f>
        <v>46462</v>
      </c>
      <c r="I70" s="262">
        <f>1.05</f>
        <v>1.05</v>
      </c>
      <c r="J70" s="255">
        <f>H70*I70</f>
        <v>48785.1</v>
      </c>
      <c r="K70" s="129" t="s">
        <v>261</v>
      </c>
    </row>
    <row r="71" spans="1:11" s="129" customFormat="1">
      <c r="A71" s="689" t="e">
        <f>#REF!</f>
        <v>#REF!</v>
      </c>
      <c r="B71" s="711" t="e">
        <f>#REF!</f>
        <v>#REF!</v>
      </c>
      <c r="C71" s="640"/>
      <c r="D71" s="641"/>
      <c r="E71" s="665"/>
      <c r="F71" s="641"/>
      <c r="G71" s="142"/>
      <c r="H71" s="255"/>
      <c r="I71" s="262"/>
      <c r="J71" s="255"/>
    </row>
    <row r="72" spans="1:11" s="129" customFormat="1">
      <c r="A72" s="751"/>
      <c r="B72" s="753"/>
      <c r="C72" s="1523" t="e">
        <f>#REF!</f>
        <v>#REF!</v>
      </c>
      <c r="D72" s="527">
        <f>+D70</f>
        <v>48785.1</v>
      </c>
      <c r="E72" s="744" t="e">
        <f>#REF!</f>
        <v>#REF!</v>
      </c>
      <c r="F72" s="527" t="e">
        <f>+D72*E72</f>
        <v>#REF!</v>
      </c>
      <c r="G72" s="142"/>
      <c r="H72" s="255"/>
      <c r="I72" s="262"/>
      <c r="J72" s="255"/>
    </row>
    <row r="73" spans="1:11" s="129" customFormat="1">
      <c r="A73" s="689" t="e">
        <f>#REF!</f>
        <v>#REF!</v>
      </c>
      <c r="B73" s="711" t="e">
        <f>#REF!</f>
        <v>#REF!</v>
      </c>
      <c r="C73" s="640"/>
      <c r="D73" s="641"/>
      <c r="E73" s="665"/>
      <c r="F73" s="641"/>
      <c r="G73" s="142"/>
      <c r="H73" s="255"/>
      <c r="I73" s="262"/>
      <c r="J73" s="255"/>
    </row>
    <row r="74" spans="1:11" s="129" customFormat="1">
      <c r="A74" s="751"/>
      <c r="B74" s="753"/>
      <c r="C74" s="1523" t="e">
        <f>#REF!</f>
        <v>#REF!</v>
      </c>
      <c r="D74" s="547">
        <f>J74</f>
        <v>220446.954</v>
      </c>
      <c r="E74" s="744" t="e">
        <f>#REF!</f>
        <v>#REF!</v>
      </c>
      <c r="F74" s="527" t="e">
        <f>+D74*E74</f>
        <v>#REF!</v>
      </c>
      <c r="G74" s="142"/>
      <c r="H74" s="255">
        <f>1950*H65*5%</f>
        <v>209949.47999999998</v>
      </c>
      <c r="I74" s="262">
        <f>1.05</f>
        <v>1.05</v>
      </c>
      <c r="J74" s="255">
        <f>H74*I74</f>
        <v>220446.954</v>
      </c>
    </row>
    <row r="75" spans="1:11" s="129" customFormat="1">
      <c r="A75" s="689" t="e">
        <f>#REF!</f>
        <v>#REF!</v>
      </c>
      <c r="B75" s="711" t="e">
        <f>#REF!</f>
        <v>#REF!</v>
      </c>
      <c r="C75" s="1407"/>
      <c r="D75" s="662"/>
      <c r="E75" s="665"/>
      <c r="F75" s="641"/>
      <c r="G75" s="142"/>
      <c r="H75" s="255"/>
      <c r="I75" s="262"/>
      <c r="J75" s="255"/>
    </row>
    <row r="76" spans="1:11" s="129" customFormat="1">
      <c r="A76" s="755" t="e">
        <f>#REF!</f>
        <v>#REF!</v>
      </c>
      <c r="B76" s="678" t="e">
        <f>#REF!</f>
        <v>#REF!</v>
      </c>
      <c r="C76" s="1485"/>
      <c r="D76" s="654"/>
      <c r="E76" s="526"/>
      <c r="F76" s="633"/>
      <c r="G76" s="142"/>
      <c r="H76" s="255"/>
      <c r="I76" s="262"/>
      <c r="J76" s="255"/>
    </row>
    <row r="77" spans="1:11" s="129" customFormat="1">
      <c r="A77" s="750" t="e">
        <f>#REF!</f>
        <v>#REF!</v>
      </c>
      <c r="B77" s="677" t="e">
        <f>#REF!</f>
        <v>#REF!</v>
      </c>
      <c r="C77" s="1485" t="e">
        <f>#REF!</f>
        <v>#REF!</v>
      </c>
      <c r="D77" s="654"/>
      <c r="E77" s="526" t="e">
        <f>#REF!</f>
        <v>#REF!</v>
      </c>
      <c r="F77" s="633" t="e">
        <f t="shared" ref="F77:F79" si="0">+D77*E77</f>
        <v>#REF!</v>
      </c>
      <c r="G77" s="142"/>
      <c r="H77" s="255"/>
      <c r="I77" s="262"/>
      <c r="J77" s="255"/>
    </row>
    <row r="78" spans="1:11" s="129" customFormat="1">
      <c r="A78" s="750" t="e">
        <f>#REF!</f>
        <v>#REF!</v>
      </c>
      <c r="B78" s="677" t="e">
        <f>#REF!</f>
        <v>#REF!</v>
      </c>
      <c r="C78" s="1485" t="e">
        <f>#REF!</f>
        <v>#REF!</v>
      </c>
      <c r="D78" s="654">
        <f>+J78*0.9</f>
        <v>13565.966400000001</v>
      </c>
      <c r="E78" s="526" t="e">
        <f>#REF!</f>
        <v>#REF!</v>
      </c>
      <c r="F78" s="633" t="e">
        <f t="shared" si="0"/>
        <v>#REF!</v>
      </c>
      <c r="G78" s="142"/>
      <c r="H78" s="255">
        <f>9.84*I5+7.84*I6+20*20*9.84</f>
        <v>14355.52</v>
      </c>
      <c r="I78" s="262">
        <v>1.05</v>
      </c>
      <c r="J78" s="255">
        <f>H78*I78</f>
        <v>15073.296</v>
      </c>
    </row>
    <row r="79" spans="1:11" s="129" customFormat="1">
      <c r="A79" s="750" t="e">
        <f>#REF!</f>
        <v>#REF!</v>
      </c>
      <c r="B79" s="677" t="e">
        <f>#REF!</f>
        <v>#REF!</v>
      </c>
      <c r="C79" s="1485" t="e">
        <f>#REF!</f>
        <v>#REF!</v>
      </c>
      <c r="D79" s="654">
        <f>+J79*0.83</f>
        <v>6284.8048200000003</v>
      </c>
      <c r="E79" s="526" t="e">
        <f>#REF!</f>
        <v>#REF!</v>
      </c>
      <c r="F79" s="633" t="e">
        <f t="shared" si="0"/>
        <v>#REF!</v>
      </c>
      <c r="G79" s="142"/>
      <c r="H79" s="268">
        <f>(20-9.84-2.5)*I5+I6*(15-3-7.84)</f>
        <v>7211.4800000000005</v>
      </c>
      <c r="I79" s="262">
        <v>1.05</v>
      </c>
      <c r="J79" s="255">
        <f>H79*I79</f>
        <v>7572.054000000001</v>
      </c>
    </row>
    <row r="80" spans="1:11" s="129" customFormat="1">
      <c r="A80" s="755" t="e">
        <f>#REF!</f>
        <v>#REF!</v>
      </c>
      <c r="B80" s="678" t="e">
        <f>#REF!</f>
        <v>#REF!</v>
      </c>
      <c r="C80" s="1485"/>
      <c r="D80" s="654"/>
      <c r="E80" s="526"/>
      <c r="F80" s="633"/>
      <c r="G80" s="142"/>
      <c r="H80" s="255"/>
      <c r="I80" s="262"/>
      <c r="J80" s="255"/>
    </row>
    <row r="81" spans="1:10" s="129" customFormat="1">
      <c r="A81" s="750" t="e">
        <f>#REF!</f>
        <v>#REF!</v>
      </c>
      <c r="B81" s="677" t="e">
        <f>#REF!</f>
        <v>#REF!</v>
      </c>
      <c r="C81" s="1485" t="e">
        <f>#REF!</f>
        <v>#REF!</v>
      </c>
      <c r="D81" s="654"/>
      <c r="E81" s="526" t="e">
        <f>#REF!</f>
        <v>#REF!</v>
      </c>
      <c r="F81" s="633"/>
      <c r="G81" s="142"/>
      <c r="H81" s="609"/>
      <c r="I81" s="1700"/>
      <c r="J81" s="1700"/>
    </row>
    <row r="82" spans="1:10" s="129" customFormat="1">
      <c r="A82" s="750" t="e">
        <f>#REF!</f>
        <v>#REF!</v>
      </c>
      <c r="B82" s="677" t="e">
        <f>#REF!</f>
        <v>#REF!</v>
      </c>
      <c r="C82" s="1485" t="e">
        <f>#REF!</f>
        <v>#REF!</v>
      </c>
      <c r="D82" s="654">
        <f>+D78</f>
        <v>13565.966400000001</v>
      </c>
      <c r="E82" s="526" t="e">
        <f>#REF!</f>
        <v>#REF!</v>
      </c>
      <c r="F82" s="633" t="e">
        <f>+D82*E82</f>
        <v>#REF!</v>
      </c>
      <c r="G82" s="142"/>
      <c r="H82" s="609"/>
      <c r="I82" s="1700"/>
      <c r="J82" s="1700"/>
    </row>
    <row r="83" spans="1:10" s="129" customFormat="1">
      <c r="A83" s="751" t="e">
        <f>#REF!</f>
        <v>#REF!</v>
      </c>
      <c r="B83" s="753" t="e">
        <f>#REF!</f>
        <v>#REF!</v>
      </c>
      <c r="C83" s="1408" t="e">
        <f>#REF!</f>
        <v>#REF!</v>
      </c>
      <c r="D83" s="654">
        <f>+D79</f>
        <v>6284.8048200000003</v>
      </c>
      <c r="E83" s="744" t="e">
        <f>#REF!</f>
        <v>#REF!</v>
      </c>
      <c r="F83" s="527" t="e">
        <f>+D83*E83</f>
        <v>#REF!</v>
      </c>
      <c r="G83" s="142"/>
      <c r="H83" s="609"/>
      <c r="I83" s="1700"/>
      <c r="J83" s="1700"/>
    </row>
    <row r="84" spans="1:10" s="129" customFormat="1">
      <c r="A84" s="689" t="e">
        <f>#REF!</f>
        <v>#REF!</v>
      </c>
      <c r="B84" s="711" t="e">
        <f>#REF!</f>
        <v>#REF!</v>
      </c>
      <c r="C84" s="1487"/>
      <c r="D84" s="784"/>
      <c r="E84" s="665"/>
      <c r="F84" s="641"/>
      <c r="G84" s="142"/>
      <c r="H84" s="609"/>
      <c r="I84" s="1700"/>
      <c r="J84" s="1700"/>
    </row>
    <row r="85" spans="1:10" s="129" customFormat="1">
      <c r="A85" s="755" t="e">
        <f>#REF!</f>
        <v>#REF!</v>
      </c>
      <c r="B85" s="678" t="e">
        <f>#REF!</f>
        <v>#REF!</v>
      </c>
      <c r="C85" s="1486"/>
      <c r="D85" s="757"/>
      <c r="E85" s="526"/>
      <c r="F85" s="633"/>
      <c r="G85" s="142"/>
      <c r="H85" s="255"/>
      <c r="I85" s="262"/>
      <c r="J85" s="255"/>
    </row>
    <row r="86" spans="1:10" s="129" customFormat="1">
      <c r="A86" s="750" t="e">
        <f>#REF!</f>
        <v>#REF!</v>
      </c>
      <c r="B86" s="677" t="e">
        <f>#REF!</f>
        <v>#REF!</v>
      </c>
      <c r="C86" s="1486" t="e">
        <f>#REF!</f>
        <v>#REF!</v>
      </c>
      <c r="D86" s="757">
        <f>+J86</f>
        <v>480</v>
      </c>
      <c r="E86" s="526" t="e">
        <f>#REF!</f>
        <v>#REF!</v>
      </c>
      <c r="F86" s="633" t="e">
        <f t="shared" ref="F86:F88" si="1">+D86*E86</f>
        <v>#REF!</v>
      </c>
      <c r="G86" s="142"/>
      <c r="H86" s="255">
        <f>20*20</f>
        <v>400</v>
      </c>
      <c r="I86" s="262">
        <v>1.2</v>
      </c>
      <c r="J86" s="255">
        <f t="shared" ref="J86:J89" si="2">H86*I86</f>
        <v>480</v>
      </c>
    </row>
    <row r="87" spans="1:10" s="129" customFormat="1">
      <c r="A87" s="750" t="e">
        <f>#REF!</f>
        <v>#REF!</v>
      </c>
      <c r="B87" s="677" t="e">
        <f>#REF!</f>
        <v>#REF!</v>
      </c>
      <c r="C87" s="1486" t="e">
        <f>#REF!</f>
        <v>#REF!</v>
      </c>
      <c r="D87" s="757">
        <f t="shared" ref="D87:D88" si="3">+J87</f>
        <v>3261.3</v>
      </c>
      <c r="E87" s="526" t="e">
        <f>#REF!</f>
        <v>#REF!</v>
      </c>
      <c r="F87" s="633" t="e">
        <f t="shared" si="1"/>
        <v>#REF!</v>
      </c>
      <c r="G87" s="142"/>
      <c r="H87" s="255">
        <f>+F12*2+20*20*2</f>
        <v>3106</v>
      </c>
      <c r="I87" s="262">
        <v>1.05</v>
      </c>
      <c r="J87" s="255">
        <f t="shared" si="2"/>
        <v>3261.3</v>
      </c>
    </row>
    <row r="88" spans="1:10" s="129" customFormat="1">
      <c r="A88" s="750" t="e">
        <f>#REF!</f>
        <v>#REF!</v>
      </c>
      <c r="B88" s="677" t="e">
        <f>#REF!</f>
        <v>#REF!</v>
      </c>
      <c r="C88" s="1486" t="e">
        <f>#REF!</f>
        <v>#REF!</v>
      </c>
      <c r="D88" s="757">
        <f t="shared" si="3"/>
        <v>3261.3</v>
      </c>
      <c r="E88" s="526" t="e">
        <f>#REF!</f>
        <v>#REF!</v>
      </c>
      <c r="F88" s="633" t="e">
        <f t="shared" si="1"/>
        <v>#REF!</v>
      </c>
      <c r="G88" s="142"/>
      <c r="H88" s="255">
        <f>+F12*2+20*2*20</f>
        <v>3106</v>
      </c>
      <c r="I88" s="262">
        <v>1.05</v>
      </c>
      <c r="J88" s="255">
        <f t="shared" si="2"/>
        <v>3261.3</v>
      </c>
    </row>
    <row r="89" spans="1:10" s="129" customFormat="1">
      <c r="A89" s="755" t="e">
        <f>#REF!</f>
        <v>#REF!</v>
      </c>
      <c r="B89" s="678" t="e">
        <f>#REF!</f>
        <v>#REF!</v>
      </c>
      <c r="C89" s="1486"/>
      <c r="D89" s="757"/>
      <c r="E89" s="526"/>
      <c r="F89" s="633"/>
      <c r="G89" s="142"/>
      <c r="H89" s="255"/>
      <c r="I89" s="262">
        <v>1.05</v>
      </c>
      <c r="J89" s="255">
        <f t="shared" si="2"/>
        <v>0</v>
      </c>
    </row>
    <row r="90" spans="1:10" s="129" customFormat="1">
      <c r="A90" s="750" t="e">
        <f>#REF!</f>
        <v>#REF!</v>
      </c>
      <c r="B90" s="677" t="e">
        <f>#REF!</f>
        <v>#REF!</v>
      </c>
      <c r="C90" s="1486" t="e">
        <f>#REF!</f>
        <v>#REF!</v>
      </c>
      <c r="D90" s="757">
        <f>+D86</f>
        <v>480</v>
      </c>
      <c r="E90" s="526" t="e">
        <f>#REF!</f>
        <v>#REF!</v>
      </c>
      <c r="F90" s="633" t="e">
        <f>+D90*E90</f>
        <v>#REF!</v>
      </c>
      <c r="G90" s="142"/>
      <c r="H90" s="255">
        <f>F12*2+20*20*2+9.84*20</f>
        <v>3302.8</v>
      </c>
      <c r="I90" s="262">
        <v>1.05</v>
      </c>
      <c r="J90" s="255">
        <f>H90*I90</f>
        <v>3467.9400000000005</v>
      </c>
    </row>
    <row r="91" spans="1:10" s="129" customFormat="1">
      <c r="A91" s="750" t="e">
        <f>#REF!</f>
        <v>#REF!</v>
      </c>
      <c r="B91" s="677" t="e">
        <f>#REF!</f>
        <v>#REF!</v>
      </c>
      <c r="C91" s="1486" t="e">
        <f>#REF!</f>
        <v>#REF!</v>
      </c>
      <c r="D91" s="757">
        <f t="shared" ref="D91:D92" si="4">+D87</f>
        <v>3261.3</v>
      </c>
      <c r="E91" s="526" t="e">
        <f>#REF!</f>
        <v>#REF!</v>
      </c>
      <c r="F91" s="633" t="e">
        <f>+D91*E91</f>
        <v>#REF!</v>
      </c>
      <c r="G91" s="142"/>
      <c r="H91" s="255">
        <f>F12*1.1</f>
        <v>1268.3000000000002</v>
      </c>
      <c r="I91" s="262">
        <v>1.05</v>
      </c>
      <c r="J91" s="255">
        <f>H91*I91</f>
        <v>1331.7150000000001</v>
      </c>
    </row>
    <row r="92" spans="1:10" s="129" customFormat="1">
      <c r="A92" s="751" t="e">
        <f>#REF!</f>
        <v>#REF!</v>
      </c>
      <c r="B92" s="753" t="e">
        <f>#REF!</f>
        <v>#REF!</v>
      </c>
      <c r="C92" s="1482" t="e">
        <f>#REF!</f>
        <v>#REF!</v>
      </c>
      <c r="D92" s="757">
        <f t="shared" si="4"/>
        <v>3261.3</v>
      </c>
      <c r="E92" s="744" t="e">
        <f>#REF!</f>
        <v>#REF!</v>
      </c>
      <c r="F92" s="527" t="e">
        <f>+D92*E92</f>
        <v>#REF!</v>
      </c>
      <c r="G92" s="142"/>
      <c r="H92" s="279">
        <f>2*F12+20*20*2</f>
        <v>3106</v>
      </c>
      <c r="I92" s="262">
        <v>1.05</v>
      </c>
      <c r="J92" s="255">
        <f>H92*I92</f>
        <v>3261.3</v>
      </c>
    </row>
    <row r="93" spans="1:10" s="129" customFormat="1" ht="30" customHeight="1">
      <c r="A93" s="689" t="e">
        <f>#REF!</f>
        <v>#REF!</v>
      </c>
      <c r="B93" s="1270" t="e">
        <f>#REF!</f>
        <v>#REF!</v>
      </c>
      <c r="C93" s="1487"/>
      <c r="D93" s="784"/>
      <c r="E93" s="665"/>
      <c r="F93" s="641"/>
      <c r="G93" s="142"/>
      <c r="H93" s="279"/>
      <c r="I93" s="262"/>
      <c r="J93" s="255"/>
    </row>
    <row r="94" spans="1:10" s="129" customFormat="1">
      <c r="A94" s="755" t="e">
        <f>#REF!</f>
        <v>#REF!</v>
      </c>
      <c r="B94" s="678" t="e">
        <f>#REF!</f>
        <v>#REF!</v>
      </c>
      <c r="C94" s="1486"/>
      <c r="D94" s="757"/>
      <c r="E94" s="526"/>
      <c r="F94" s="633"/>
      <c r="G94" s="142"/>
      <c r="H94" s="279"/>
      <c r="I94" s="262"/>
      <c r="J94" s="255"/>
    </row>
    <row r="95" spans="1:10" s="129" customFormat="1">
      <c r="A95" s="750" t="e">
        <f>#REF!</f>
        <v>#REF!</v>
      </c>
      <c r="B95" s="677" t="e">
        <f>#REF!</f>
        <v>#REF!</v>
      </c>
      <c r="C95" s="1486" t="e">
        <f>#REF!</f>
        <v>#REF!</v>
      </c>
      <c r="D95" s="757">
        <f>+D78*0.1</f>
        <v>1356.5966400000002</v>
      </c>
      <c r="E95" s="526" t="e">
        <f>#REF!</f>
        <v>#REF!</v>
      </c>
      <c r="F95" s="633" t="e">
        <f>+D95*E95</f>
        <v>#REF!</v>
      </c>
      <c r="G95" s="142"/>
      <c r="H95" s="279"/>
      <c r="I95" s="262"/>
      <c r="J95" s="255"/>
    </row>
    <row r="96" spans="1:10" s="129" customFormat="1">
      <c r="A96" s="750" t="e">
        <f>#REF!</f>
        <v>#REF!</v>
      </c>
      <c r="B96" s="677" t="e">
        <f>#REF!</f>
        <v>#REF!</v>
      </c>
      <c r="C96" s="1486" t="e">
        <f>#REF!</f>
        <v>#REF!</v>
      </c>
      <c r="D96" s="757">
        <f>+D79*0.2</f>
        <v>1256.9609640000001</v>
      </c>
      <c r="E96" s="526" t="e">
        <f>#REF!</f>
        <v>#REF!</v>
      </c>
      <c r="F96" s="633" t="e">
        <f t="shared" ref="F96:F99" si="5">+D96*E96</f>
        <v>#REF!</v>
      </c>
      <c r="G96" s="142"/>
      <c r="H96" s="279"/>
      <c r="I96" s="262"/>
      <c r="J96" s="255"/>
    </row>
    <row r="97" spans="1:12" s="129" customFormat="1">
      <c r="A97" s="755" t="e">
        <f>#REF!</f>
        <v>#REF!</v>
      </c>
      <c r="B97" s="678" t="e">
        <f>#REF!</f>
        <v>#REF!</v>
      </c>
      <c r="C97" s="1486"/>
      <c r="D97" s="757"/>
      <c r="E97" s="526"/>
      <c r="F97" s="633"/>
      <c r="G97" s="142"/>
      <c r="H97" s="279"/>
      <c r="I97" s="262"/>
      <c r="J97" s="255"/>
    </row>
    <row r="98" spans="1:12" s="129" customFormat="1">
      <c r="A98" s="750" t="e">
        <f>#REF!</f>
        <v>#REF!</v>
      </c>
      <c r="B98" s="677" t="e">
        <f>#REF!</f>
        <v>#REF!</v>
      </c>
      <c r="C98" s="1486" t="e">
        <f>#REF!</f>
        <v>#REF!</v>
      </c>
      <c r="D98" s="757">
        <f>+D95</f>
        <v>1356.5966400000002</v>
      </c>
      <c r="E98" s="526" t="e">
        <f>#REF!</f>
        <v>#REF!</v>
      </c>
      <c r="F98" s="633" t="e">
        <f t="shared" si="5"/>
        <v>#REF!</v>
      </c>
      <c r="G98" s="142"/>
      <c r="H98" s="279"/>
      <c r="I98" s="262"/>
      <c r="J98" s="255"/>
    </row>
    <row r="99" spans="1:12" s="129" customFormat="1">
      <c r="A99" s="751" t="e">
        <f>#REF!</f>
        <v>#REF!</v>
      </c>
      <c r="B99" s="753" t="e">
        <f>#REF!</f>
        <v>#REF!</v>
      </c>
      <c r="C99" s="1482" t="e">
        <f>#REF!</f>
        <v>#REF!</v>
      </c>
      <c r="D99" s="757">
        <f>+D96</f>
        <v>1256.9609640000001</v>
      </c>
      <c r="E99" s="744" t="e">
        <f>#REF!</f>
        <v>#REF!</v>
      </c>
      <c r="F99" s="633" t="e">
        <f t="shared" si="5"/>
        <v>#REF!</v>
      </c>
      <c r="G99" s="142"/>
      <c r="H99" s="279"/>
      <c r="I99" s="262"/>
      <c r="J99" s="255"/>
    </row>
    <row r="100" spans="1:12" s="129" customFormat="1" ht="18.75">
      <c r="A100" s="1434"/>
      <c r="B100" s="460"/>
      <c r="C100" s="686"/>
      <c r="D100" s="635"/>
      <c r="E100" s="636" t="s">
        <v>109</v>
      </c>
      <c r="F100" s="1122" t="e">
        <f>SUM(F67:F99)</f>
        <v>#REF!</v>
      </c>
      <c r="G100" s="142"/>
      <c r="H100" s="255"/>
      <c r="I100" s="262"/>
      <c r="J100" s="255"/>
    </row>
    <row r="101" spans="1:12" s="129" customFormat="1" ht="15.95" customHeight="1">
      <c r="A101" s="10"/>
      <c r="B101" s="12"/>
      <c r="C101" s="12"/>
      <c r="D101" s="12"/>
      <c r="E101" s="12"/>
      <c r="F101" s="12"/>
      <c r="G101" s="142"/>
      <c r="H101" s="255"/>
      <c r="I101" s="262"/>
      <c r="J101" s="262">
        <f>4.82*2.4*1.46</f>
        <v>16.889279999999999</v>
      </c>
      <c r="L101" s="129">
        <f>5.9/2</f>
        <v>2.95</v>
      </c>
    </row>
    <row r="102" spans="1:12" s="129" customFormat="1" ht="24.95" customHeight="1">
      <c r="A102" s="1863" t="e">
        <f>#REF!</f>
        <v>#REF!</v>
      </c>
      <c r="B102" s="1864"/>
      <c r="C102" s="1864"/>
      <c r="D102" s="1864"/>
      <c r="E102" s="1864"/>
      <c r="F102" s="1865"/>
      <c r="G102" s="142"/>
      <c r="H102" s="255"/>
      <c r="I102" s="262"/>
      <c r="J102" s="255"/>
      <c r="L102" s="129">
        <f>2.95*2</f>
        <v>5.9</v>
      </c>
    </row>
    <row r="103" spans="1:12" s="129" customFormat="1">
      <c r="A103" s="745" t="e">
        <f>#REF!</f>
        <v>#REF!</v>
      </c>
      <c r="B103" s="830" t="e">
        <f>#REF!</f>
        <v>#REF!</v>
      </c>
      <c r="C103" s="1478"/>
      <c r="D103" s="543"/>
      <c r="E103" s="641"/>
      <c r="F103" s="1138"/>
      <c r="G103" s="142"/>
      <c r="H103" s="255"/>
      <c r="I103" s="262"/>
      <c r="J103" s="255"/>
      <c r="L103" s="129">
        <v>6.1</v>
      </c>
    </row>
    <row r="104" spans="1:12" s="129" customFormat="1">
      <c r="A104" s="639"/>
      <c r="B104" s="681"/>
      <c r="C104" s="1523" t="e">
        <f>#REF!</f>
        <v>#REF!</v>
      </c>
      <c r="D104" s="1521">
        <f>J104</f>
        <v>13441.758000000002</v>
      </c>
      <c r="E104" s="527" t="e">
        <f>#REF!</f>
        <v>#REF!</v>
      </c>
      <c r="F104" s="1440" t="e">
        <f>+D104*E104</f>
        <v>#REF!</v>
      </c>
      <c r="G104" s="142"/>
      <c r="H104" s="256">
        <f>(2.5+0.2*3+0.1*2+0.6*2)*(1+0.1+0.2*2)*I5+(3+0.2*3+0.6*2+0.1*2)*(1+0.1+0.2*2)*I6+20*20*2*(1+0.1*2+0.2*2+0.4*2)*(1+0.1+0.2+0.2)+(0.8+0.2*2+0.1*2+0.4*2)*(0.8+0.1+0.2+0.2)*F3</f>
        <v>12219.78</v>
      </c>
      <c r="I104" s="262">
        <v>1.1000000000000001</v>
      </c>
      <c r="J104" s="255">
        <f>H104*I104</f>
        <v>13441.758000000002</v>
      </c>
      <c r="L104" s="129">
        <f>2*9</f>
        <v>18</v>
      </c>
    </row>
    <row r="105" spans="1:12" s="129" customFormat="1">
      <c r="A105" s="745" t="e">
        <f>#REF!</f>
        <v>#REF!</v>
      </c>
      <c r="B105" s="830" t="e">
        <f>#REF!</f>
        <v>#REF!</v>
      </c>
      <c r="C105" s="1396"/>
      <c r="D105" s="1663"/>
      <c r="E105" s="641"/>
      <c r="F105" s="1489"/>
      <c r="G105" s="142"/>
      <c r="H105" s="255"/>
      <c r="I105" s="262"/>
      <c r="J105" s="255">
        <f t="shared" ref="J105:J106" si="6">H105*I105</f>
        <v>0</v>
      </c>
      <c r="L105" s="129">
        <f>2*2</f>
        <v>4</v>
      </c>
    </row>
    <row r="106" spans="1:12" s="129" customFormat="1">
      <c r="A106" s="1432"/>
      <c r="B106" s="680"/>
      <c r="C106" s="1523" t="e">
        <f>#REF!</f>
        <v>#REF!</v>
      </c>
      <c r="D106" s="1521">
        <f>J106</f>
        <v>8995.36</v>
      </c>
      <c r="E106" s="527" t="e">
        <f>#REF!</f>
        <v>#REF!</v>
      </c>
      <c r="F106" s="741" t="e">
        <f>+D106*E106</f>
        <v>#REF!</v>
      </c>
      <c r="H106" s="142">
        <f>+H104-(0.8*0.8*F3+2*1.25*1*(F4+F5+F6)+2*1.7*1.3*F7)</f>
        <v>8177.6</v>
      </c>
      <c r="I106" s="262">
        <v>1.1000000000000001</v>
      </c>
      <c r="J106" s="255">
        <f t="shared" si="6"/>
        <v>8995.36</v>
      </c>
      <c r="L106" s="129">
        <f>2*3</f>
        <v>6</v>
      </c>
    </row>
    <row r="107" spans="1:12" s="129" customFormat="1">
      <c r="A107" s="689" t="e">
        <f>#REF!</f>
        <v>#REF!</v>
      </c>
      <c r="B107" s="711" t="e">
        <f>#REF!</f>
        <v>#REF!</v>
      </c>
      <c r="C107" s="1478"/>
      <c r="D107" s="543"/>
      <c r="E107" s="641"/>
      <c r="F107" s="740"/>
      <c r="G107" s="142"/>
      <c r="H107" s="255"/>
      <c r="I107" s="262"/>
      <c r="J107" s="255"/>
    </row>
    <row r="108" spans="1:12" s="129" customFormat="1">
      <c r="A108" s="751"/>
      <c r="B108" s="753"/>
      <c r="C108" s="1523" t="e">
        <f>#REF!</f>
        <v>#REF!</v>
      </c>
      <c r="D108" s="1521">
        <v>30</v>
      </c>
      <c r="E108" s="527" t="e">
        <f>#REF!</f>
        <v>#REF!</v>
      </c>
      <c r="F108" s="741" t="e">
        <f>+D108*E108</f>
        <v>#REF!</v>
      </c>
      <c r="G108" s="142"/>
      <c r="H108" s="255"/>
      <c r="I108" s="262"/>
      <c r="J108" s="255"/>
    </row>
    <row r="109" spans="1:12" s="129" customFormat="1">
      <c r="A109" s="689" t="e">
        <f>#REF!</f>
        <v>#REF!</v>
      </c>
      <c r="B109" s="711" t="e">
        <f>#REF!</f>
        <v>#REF!</v>
      </c>
      <c r="C109" s="1490"/>
      <c r="D109" s="784"/>
      <c r="E109" s="641"/>
      <c r="F109" s="740"/>
      <c r="G109" s="142"/>
      <c r="H109" s="255"/>
      <c r="I109" s="262"/>
      <c r="J109" s="255"/>
    </row>
    <row r="110" spans="1:12" s="129" customFormat="1">
      <c r="A110" s="751"/>
      <c r="B110" s="753"/>
      <c r="C110" s="1408" t="e">
        <f>#REF!</f>
        <v>#REF!</v>
      </c>
      <c r="D110" s="648">
        <v>1250</v>
      </c>
      <c r="E110" s="527" t="e">
        <f>#REF!</f>
        <v>#REF!</v>
      </c>
      <c r="F110" s="741" t="e">
        <f>+D110*E110</f>
        <v>#REF!</v>
      </c>
      <c r="G110" s="142"/>
      <c r="H110" s="255"/>
      <c r="I110" s="262"/>
      <c r="J110" s="255">
        <f>6.2+2</f>
        <v>8.1999999999999993</v>
      </c>
      <c r="K110" s="129">
        <f>2</f>
        <v>2</v>
      </c>
    </row>
    <row r="111" spans="1:12" s="129" customFormat="1">
      <c r="A111" s="689" t="e">
        <f>#REF!</f>
        <v>#REF!</v>
      </c>
      <c r="B111" s="711" t="e">
        <f>#REF!</f>
        <v>#REF!</v>
      </c>
      <c r="C111" s="1490"/>
      <c r="D111" s="784"/>
      <c r="E111" s="641"/>
      <c r="F111" s="740"/>
      <c r="G111" s="142"/>
      <c r="H111" s="255"/>
      <c r="I111" s="262"/>
      <c r="J111" s="255"/>
      <c r="K111" s="129">
        <f>J110*K110/2</f>
        <v>8.1999999999999993</v>
      </c>
    </row>
    <row r="112" spans="1:12" s="129" customFormat="1">
      <c r="A112" s="751" t="e">
        <f>#REF!</f>
        <v>#REF!</v>
      </c>
      <c r="B112" s="753" t="e">
        <f>#REF!</f>
        <v>#REF!</v>
      </c>
      <c r="C112" s="1482" t="e">
        <f>#REF!</f>
        <v>#REF!</v>
      </c>
      <c r="D112" s="758">
        <f>D116*110</f>
        <v>16500</v>
      </c>
      <c r="E112" s="527" t="e">
        <f>#REF!</f>
        <v>#REF!</v>
      </c>
      <c r="F112" s="741" t="e">
        <f>+D112*E112</f>
        <v>#REF!</v>
      </c>
      <c r="G112" s="142"/>
      <c r="H112" s="255"/>
      <c r="I112" s="262"/>
      <c r="J112" s="255"/>
    </row>
    <row r="113" spans="1:189" s="129" customFormat="1">
      <c r="A113" s="689" t="e">
        <f>#REF!</f>
        <v>#REF!</v>
      </c>
      <c r="B113" s="711" t="e">
        <f>#REF!</f>
        <v>#REF!</v>
      </c>
      <c r="C113" s="1490"/>
      <c r="D113" s="784"/>
      <c r="E113" s="641"/>
      <c r="F113" s="740"/>
      <c r="G113" s="142"/>
      <c r="H113" s="255"/>
      <c r="I113" s="262"/>
      <c r="J113" s="255"/>
    </row>
    <row r="114" spans="1:189" s="129" customFormat="1">
      <c r="A114" s="751"/>
      <c r="B114" s="753"/>
      <c r="C114" s="1408" t="e">
        <f>#REF!</f>
        <v>#REF!</v>
      </c>
      <c r="D114" s="648">
        <v>100</v>
      </c>
      <c r="E114" s="527" t="e">
        <f>#REF!</f>
        <v>#REF!</v>
      </c>
      <c r="F114" s="741" t="e">
        <f>+D114*E114</f>
        <v>#REF!</v>
      </c>
      <c r="G114" s="142"/>
      <c r="H114" s="255"/>
      <c r="I114" s="262"/>
      <c r="J114" s="255"/>
    </row>
    <row r="115" spans="1:189" s="129" customFormat="1">
      <c r="A115" s="689" t="e">
        <f>#REF!</f>
        <v>#REF!</v>
      </c>
      <c r="B115" s="711" t="e">
        <f>#REF!</f>
        <v>#REF!</v>
      </c>
      <c r="C115" s="1490"/>
      <c r="D115" s="784"/>
      <c r="E115" s="641"/>
      <c r="F115" s="740"/>
      <c r="G115" s="142"/>
      <c r="H115" s="255"/>
      <c r="I115" s="262"/>
      <c r="J115" s="255"/>
    </row>
    <row r="116" spans="1:189" s="129" customFormat="1">
      <c r="A116" s="751"/>
      <c r="B116" s="753"/>
      <c r="C116" s="1408" t="e">
        <f>#REF!</f>
        <v>#REF!</v>
      </c>
      <c r="D116" s="648">
        <v>150</v>
      </c>
      <c r="E116" s="527" t="e">
        <f>#REF!</f>
        <v>#REF!</v>
      </c>
      <c r="F116" s="741" t="e">
        <f>+D116*E116</f>
        <v>#REF!</v>
      </c>
      <c r="G116" s="142"/>
      <c r="H116" s="255"/>
      <c r="I116" s="262"/>
      <c r="J116" s="255"/>
    </row>
    <row r="117" spans="1:189" s="129" customFormat="1" ht="30" customHeight="1">
      <c r="A117" s="689" t="e">
        <f>#REF!</f>
        <v>#REF!</v>
      </c>
      <c r="B117" s="1270" t="e">
        <f>#REF!</f>
        <v>#REF!</v>
      </c>
      <c r="C117" s="1490"/>
      <c r="D117" s="784"/>
      <c r="E117" s="641"/>
      <c r="F117" s="740"/>
      <c r="G117" s="142"/>
      <c r="H117" s="255"/>
      <c r="I117" s="262"/>
      <c r="J117" s="255"/>
    </row>
    <row r="118" spans="1:189" s="129" customFormat="1">
      <c r="A118" s="750" t="e">
        <f>#REF!</f>
        <v>#REF!</v>
      </c>
      <c r="B118" s="677" t="e">
        <f>#REF!</f>
        <v>#REF!</v>
      </c>
      <c r="C118" s="1485" t="e">
        <f>#REF!</f>
        <v>#REF!</v>
      </c>
      <c r="D118" s="757">
        <f>J118</f>
        <v>454.41000000000008</v>
      </c>
      <c r="E118" s="633" t="e">
        <f>#REF!</f>
        <v>#REF!</v>
      </c>
      <c r="F118" s="655" t="e">
        <f>+D118*E118</f>
        <v>#REF!</v>
      </c>
      <c r="G118" s="142"/>
      <c r="H118" s="255">
        <f>10%*J54*1.1</f>
        <v>454.41000000000008</v>
      </c>
      <c r="I118" s="262">
        <v>1</v>
      </c>
      <c r="J118" s="255">
        <f>H118*I118</f>
        <v>454.41000000000008</v>
      </c>
    </row>
    <row r="119" spans="1:189" s="129" customFormat="1">
      <c r="A119" s="750" t="e">
        <f>#REF!</f>
        <v>#REF!</v>
      </c>
      <c r="B119" s="677" t="e">
        <f>#REF!</f>
        <v>#REF!</v>
      </c>
      <c r="C119" s="1485" t="e">
        <f>#REF!</f>
        <v>#REF!</v>
      </c>
      <c r="D119" s="757">
        <f>J119</f>
        <v>82.62</v>
      </c>
      <c r="E119" s="633" t="e">
        <f>#REF!</f>
        <v>#REF!</v>
      </c>
      <c r="F119" s="655" t="e">
        <f>+D119*E119</f>
        <v>#REF!</v>
      </c>
      <c r="G119" s="142"/>
      <c r="H119" s="255">
        <f>2%*J54</f>
        <v>82.62</v>
      </c>
      <c r="I119" s="262">
        <v>1</v>
      </c>
      <c r="J119" s="255">
        <f>H119*I119</f>
        <v>82.62</v>
      </c>
      <c r="L119" s="270"/>
    </row>
    <row r="120" spans="1:189" s="129" customFormat="1">
      <c r="A120" s="751" t="e">
        <f>#REF!</f>
        <v>#REF!</v>
      </c>
      <c r="B120" s="753" t="e">
        <f>#REF!</f>
        <v>#REF!</v>
      </c>
      <c r="C120" s="1408" t="e">
        <f>#REF!</f>
        <v>#REF!</v>
      </c>
      <c r="D120" s="758">
        <f>H120</f>
        <v>0</v>
      </c>
      <c r="E120" s="527" t="e">
        <f>#REF!</f>
        <v>#REF!</v>
      </c>
      <c r="F120" s="741" t="e">
        <f>+D120*E120</f>
        <v>#REF!</v>
      </c>
      <c r="G120" s="142"/>
      <c r="H120" s="255">
        <f>10*0</f>
        <v>0</v>
      </c>
      <c r="I120" s="262"/>
      <c r="J120" s="255"/>
    </row>
    <row r="121" spans="1:189" s="225" customFormat="1">
      <c r="A121" s="689" t="e">
        <f>#REF!</f>
        <v>#REF!</v>
      </c>
      <c r="B121" s="711" t="e">
        <f>#REF!</f>
        <v>#REF!</v>
      </c>
      <c r="C121" s="1407"/>
      <c r="D121" s="662"/>
      <c r="E121" s="641"/>
      <c r="F121" s="740"/>
      <c r="H121" s="259"/>
      <c r="I121" s="265"/>
      <c r="J121" s="259"/>
      <c r="K121" s="226"/>
      <c r="L121" s="226"/>
      <c r="M121" s="226"/>
      <c r="N121" s="226"/>
      <c r="O121" s="226"/>
      <c r="P121" s="226"/>
      <c r="Q121" s="226"/>
      <c r="R121" s="226"/>
      <c r="S121" s="226"/>
      <c r="T121" s="226"/>
      <c r="U121" s="226"/>
      <c r="V121" s="226"/>
      <c r="W121" s="226"/>
      <c r="X121" s="226"/>
      <c r="Y121" s="226"/>
      <c r="Z121" s="226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  <c r="AY121" s="226"/>
      <c r="AZ121" s="226"/>
      <c r="BA121" s="226"/>
      <c r="BB121" s="226"/>
      <c r="BC121" s="226"/>
      <c r="BD121" s="226"/>
      <c r="BE121" s="226"/>
      <c r="BF121" s="226"/>
      <c r="BG121" s="226"/>
      <c r="BH121" s="226"/>
      <c r="BI121" s="226"/>
      <c r="BJ121" s="226"/>
      <c r="BK121" s="226"/>
      <c r="BL121" s="226"/>
      <c r="BM121" s="226"/>
      <c r="BN121" s="226"/>
      <c r="BO121" s="226"/>
      <c r="BP121" s="226"/>
      <c r="BQ121" s="226"/>
      <c r="BR121" s="226"/>
      <c r="BS121" s="226"/>
      <c r="BT121" s="226"/>
      <c r="BU121" s="226"/>
      <c r="BV121" s="226"/>
      <c r="BW121" s="226"/>
      <c r="BX121" s="226"/>
      <c r="BY121" s="226"/>
      <c r="BZ121" s="226"/>
      <c r="CA121" s="226"/>
      <c r="CB121" s="226"/>
      <c r="CC121" s="226"/>
      <c r="CD121" s="226"/>
      <c r="CE121" s="226"/>
      <c r="CF121" s="226"/>
      <c r="CG121" s="226"/>
      <c r="CH121" s="226"/>
      <c r="CI121" s="226"/>
      <c r="CJ121" s="226"/>
      <c r="CK121" s="226"/>
      <c r="CL121" s="226"/>
      <c r="CM121" s="226"/>
      <c r="CN121" s="226"/>
      <c r="CO121" s="226"/>
      <c r="CP121" s="226"/>
      <c r="CQ121" s="226"/>
      <c r="CR121" s="226"/>
      <c r="CS121" s="226"/>
      <c r="CT121" s="226"/>
      <c r="CU121" s="226"/>
      <c r="CV121" s="226"/>
      <c r="CW121" s="226"/>
      <c r="CX121" s="226"/>
      <c r="CY121" s="226"/>
      <c r="CZ121" s="226"/>
      <c r="DA121" s="226"/>
      <c r="DB121" s="226"/>
      <c r="DC121" s="226"/>
      <c r="DD121" s="226"/>
      <c r="DE121" s="226"/>
      <c r="DF121" s="226"/>
      <c r="DG121" s="226"/>
      <c r="DH121" s="226"/>
      <c r="DI121" s="226"/>
      <c r="DJ121" s="226"/>
      <c r="DK121" s="226"/>
      <c r="DL121" s="226"/>
      <c r="DM121" s="226"/>
      <c r="DN121" s="226"/>
      <c r="DO121" s="226"/>
      <c r="DP121" s="226"/>
      <c r="DQ121" s="226"/>
      <c r="DR121" s="226"/>
      <c r="DS121" s="226"/>
      <c r="DT121" s="226"/>
      <c r="DU121" s="226"/>
      <c r="DV121" s="226"/>
      <c r="DW121" s="226"/>
      <c r="DX121" s="226"/>
      <c r="DY121" s="226"/>
      <c r="DZ121" s="226"/>
      <c r="EA121" s="226"/>
      <c r="EB121" s="226"/>
      <c r="EC121" s="226"/>
      <c r="ED121" s="226"/>
      <c r="EE121" s="226"/>
      <c r="EF121" s="226"/>
      <c r="EG121" s="226"/>
      <c r="EH121" s="226"/>
      <c r="EI121" s="226"/>
      <c r="EJ121" s="226"/>
      <c r="EK121" s="226"/>
      <c r="EL121" s="226"/>
      <c r="EM121" s="226"/>
      <c r="EN121" s="226"/>
      <c r="EO121" s="226"/>
      <c r="EP121" s="226"/>
      <c r="EQ121" s="226"/>
      <c r="ER121" s="226"/>
      <c r="ES121" s="226"/>
      <c r="ET121" s="226"/>
      <c r="EU121" s="226"/>
      <c r="EV121" s="226"/>
      <c r="EW121" s="226"/>
      <c r="EX121" s="226"/>
      <c r="EY121" s="226"/>
      <c r="EZ121" s="226"/>
      <c r="FA121" s="226"/>
      <c r="FB121" s="226"/>
      <c r="FC121" s="226"/>
      <c r="FD121" s="226"/>
      <c r="FE121" s="226"/>
      <c r="FF121" s="226"/>
      <c r="FG121" s="226"/>
      <c r="FH121" s="226"/>
      <c r="FI121" s="226"/>
      <c r="FJ121" s="226"/>
      <c r="FK121" s="226"/>
      <c r="FL121" s="226"/>
      <c r="FM121" s="226"/>
      <c r="FN121" s="226"/>
      <c r="FO121" s="226"/>
      <c r="FP121" s="226"/>
      <c r="FQ121" s="226"/>
      <c r="FR121" s="226"/>
      <c r="FS121" s="226"/>
      <c r="FT121" s="226"/>
      <c r="FU121" s="226"/>
      <c r="FV121" s="226"/>
      <c r="FW121" s="226"/>
      <c r="FX121" s="226"/>
      <c r="FY121" s="226"/>
      <c r="FZ121" s="226"/>
      <c r="GA121" s="226"/>
      <c r="GB121" s="226"/>
      <c r="GC121" s="226"/>
      <c r="GD121" s="226"/>
      <c r="GE121" s="226"/>
      <c r="GF121" s="226"/>
      <c r="GG121" s="226"/>
    </row>
    <row r="122" spans="1:189" s="225" customFormat="1">
      <c r="A122" s="750" t="e">
        <f>#REF!</f>
        <v>#REF!</v>
      </c>
      <c r="B122" s="677" t="e">
        <f>#REF!</f>
        <v>#REF!</v>
      </c>
      <c r="C122" s="1485" t="e">
        <f>#REF!</f>
        <v>#REF!</v>
      </c>
      <c r="D122" s="654">
        <f>+J122</f>
        <v>1392.3</v>
      </c>
      <c r="E122" s="633" t="e">
        <f>+#REF!</f>
        <v>#REF!</v>
      </c>
      <c r="F122" s="655" t="e">
        <f>+D122*E122</f>
        <v>#REF!</v>
      </c>
      <c r="H122" s="259">
        <f>+F7*2*0+846+20*2*12</f>
        <v>1326</v>
      </c>
      <c r="I122" s="265">
        <v>1.05</v>
      </c>
      <c r="J122" s="259">
        <f>H122*I122</f>
        <v>1392.3</v>
      </c>
      <c r="K122" s="226"/>
      <c r="L122" s="226"/>
      <c r="M122" s="226"/>
      <c r="N122" s="226"/>
      <c r="O122" s="226"/>
      <c r="P122" s="226"/>
      <c r="Q122" s="226"/>
      <c r="R122" s="226"/>
      <c r="S122" s="226"/>
      <c r="T122" s="226"/>
      <c r="U122" s="226"/>
      <c r="V122" s="226"/>
      <c r="W122" s="226"/>
      <c r="X122" s="226"/>
      <c r="Y122" s="226"/>
      <c r="Z122" s="226"/>
      <c r="AA122" s="226"/>
      <c r="AB122" s="226"/>
      <c r="AC122" s="226"/>
      <c r="AD122" s="226"/>
      <c r="AE122" s="226"/>
      <c r="AF122" s="226"/>
      <c r="AG122" s="226"/>
      <c r="AH122" s="226"/>
      <c r="AI122" s="226"/>
      <c r="AJ122" s="226"/>
      <c r="AK122" s="226"/>
      <c r="AL122" s="226"/>
      <c r="AM122" s="226"/>
      <c r="AN122" s="226"/>
      <c r="AO122" s="226"/>
      <c r="AP122" s="226"/>
      <c r="AQ122" s="226"/>
      <c r="AR122" s="226"/>
      <c r="AS122" s="226"/>
      <c r="AT122" s="226"/>
      <c r="AU122" s="226"/>
      <c r="AV122" s="226"/>
      <c r="AW122" s="226"/>
      <c r="AX122" s="226"/>
      <c r="AY122" s="226"/>
      <c r="AZ122" s="226"/>
      <c r="BA122" s="226"/>
      <c r="BB122" s="226"/>
      <c r="BC122" s="226"/>
      <c r="BD122" s="226"/>
      <c r="BE122" s="226"/>
      <c r="BF122" s="226"/>
      <c r="BG122" s="226"/>
      <c r="BH122" s="226"/>
      <c r="BI122" s="226"/>
      <c r="BJ122" s="226"/>
      <c r="BK122" s="226"/>
      <c r="BL122" s="226"/>
      <c r="BM122" s="226"/>
      <c r="BN122" s="226"/>
      <c r="BO122" s="226"/>
      <c r="BP122" s="226"/>
      <c r="BQ122" s="226"/>
      <c r="BR122" s="226"/>
      <c r="BS122" s="226"/>
      <c r="BT122" s="226"/>
      <c r="BU122" s="226"/>
      <c r="BV122" s="226"/>
      <c r="BW122" s="226"/>
      <c r="BX122" s="226"/>
      <c r="BY122" s="226"/>
      <c r="BZ122" s="226"/>
      <c r="CA122" s="226"/>
      <c r="CB122" s="226"/>
      <c r="CC122" s="226"/>
      <c r="CD122" s="226"/>
      <c r="CE122" s="226"/>
      <c r="CF122" s="226"/>
      <c r="CG122" s="226"/>
      <c r="CH122" s="226"/>
      <c r="CI122" s="226"/>
      <c r="CJ122" s="226"/>
      <c r="CK122" s="226"/>
      <c r="CL122" s="226"/>
      <c r="CM122" s="226"/>
      <c r="CN122" s="226"/>
      <c r="CO122" s="226"/>
      <c r="CP122" s="226"/>
      <c r="CQ122" s="226"/>
      <c r="CR122" s="226"/>
      <c r="CS122" s="226"/>
      <c r="CT122" s="226"/>
      <c r="CU122" s="226"/>
      <c r="CV122" s="226"/>
      <c r="CW122" s="226"/>
      <c r="CX122" s="226"/>
      <c r="CY122" s="226"/>
      <c r="CZ122" s="226"/>
      <c r="DA122" s="226"/>
      <c r="DB122" s="226"/>
      <c r="DC122" s="226"/>
      <c r="DD122" s="226"/>
      <c r="DE122" s="226"/>
      <c r="DF122" s="226"/>
      <c r="DG122" s="226"/>
      <c r="DH122" s="226"/>
      <c r="DI122" s="226"/>
      <c r="DJ122" s="226"/>
      <c r="DK122" s="226"/>
      <c r="DL122" s="226"/>
      <c r="DM122" s="226"/>
      <c r="DN122" s="226"/>
      <c r="DO122" s="226"/>
      <c r="DP122" s="226"/>
      <c r="DQ122" s="226"/>
      <c r="DR122" s="226"/>
      <c r="DS122" s="226"/>
      <c r="DT122" s="226"/>
      <c r="DU122" s="226"/>
      <c r="DV122" s="226"/>
      <c r="DW122" s="226"/>
      <c r="DX122" s="226"/>
      <c r="DY122" s="226"/>
      <c r="DZ122" s="226"/>
      <c r="EA122" s="226"/>
      <c r="EB122" s="226"/>
      <c r="EC122" s="226"/>
      <c r="ED122" s="226"/>
      <c r="EE122" s="226"/>
      <c r="EF122" s="226"/>
      <c r="EG122" s="226"/>
      <c r="EH122" s="226"/>
      <c r="EI122" s="226"/>
      <c r="EJ122" s="226"/>
      <c r="EK122" s="226"/>
      <c r="EL122" s="226"/>
      <c r="EM122" s="226"/>
      <c r="EN122" s="226"/>
      <c r="EO122" s="226"/>
      <c r="EP122" s="226"/>
      <c r="EQ122" s="226"/>
      <c r="ER122" s="226"/>
      <c r="ES122" s="226"/>
      <c r="ET122" s="226"/>
      <c r="EU122" s="226"/>
      <c r="EV122" s="226"/>
      <c r="EW122" s="226"/>
      <c r="EX122" s="226"/>
      <c r="EY122" s="226"/>
      <c r="EZ122" s="226"/>
      <c r="FA122" s="226"/>
      <c r="FB122" s="226"/>
      <c r="FC122" s="226"/>
      <c r="FD122" s="226"/>
      <c r="FE122" s="226"/>
      <c r="FF122" s="226"/>
      <c r="FG122" s="226"/>
      <c r="FH122" s="226"/>
      <c r="FI122" s="226"/>
      <c r="FJ122" s="226"/>
      <c r="FK122" s="226"/>
      <c r="FL122" s="226"/>
      <c r="FM122" s="226"/>
      <c r="FN122" s="226"/>
      <c r="FO122" s="226"/>
      <c r="FP122" s="226"/>
      <c r="FQ122" s="226"/>
      <c r="FR122" s="226"/>
      <c r="FS122" s="226"/>
      <c r="FT122" s="226"/>
      <c r="FU122" s="226"/>
      <c r="FV122" s="226"/>
      <c r="FW122" s="226"/>
      <c r="FX122" s="226"/>
      <c r="FY122" s="226"/>
      <c r="FZ122" s="226"/>
      <c r="GA122" s="226"/>
      <c r="GB122" s="226"/>
      <c r="GC122" s="226"/>
      <c r="GD122" s="226"/>
      <c r="GE122" s="226"/>
      <c r="GF122" s="226"/>
      <c r="GG122" s="226"/>
    </row>
    <row r="123" spans="1:189" s="225" customFormat="1">
      <c r="A123" s="750" t="e">
        <f>#REF!</f>
        <v>#REF!</v>
      </c>
      <c r="B123" s="677" t="e">
        <f>#REF!</f>
        <v>#REF!</v>
      </c>
      <c r="C123" s="1485" t="e">
        <f>#REF!</f>
        <v>#REF!</v>
      </c>
      <c r="D123" s="654">
        <f>J123</f>
        <v>420</v>
      </c>
      <c r="E123" s="633" t="e">
        <f>#REF!</f>
        <v>#REF!</v>
      </c>
      <c r="F123" s="655" t="e">
        <f>+D123*E123</f>
        <v>#REF!</v>
      </c>
      <c r="H123" s="259">
        <f>20*2*10</f>
        <v>400</v>
      </c>
      <c r="I123" s="265">
        <v>1.05</v>
      </c>
      <c r="J123" s="259">
        <f>H123*I123</f>
        <v>420</v>
      </c>
      <c r="K123" s="226"/>
      <c r="L123" s="226"/>
      <c r="M123" s="226"/>
      <c r="N123" s="226"/>
      <c r="O123" s="226"/>
      <c r="P123" s="226"/>
      <c r="Q123" s="226"/>
      <c r="R123" s="226"/>
      <c r="S123" s="226"/>
      <c r="T123" s="226"/>
      <c r="U123" s="226"/>
      <c r="V123" s="226"/>
      <c r="W123" s="226"/>
      <c r="X123" s="226"/>
      <c r="Y123" s="226"/>
      <c r="Z123" s="226"/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  <c r="AY123" s="226"/>
      <c r="AZ123" s="226"/>
      <c r="BA123" s="226"/>
      <c r="BB123" s="226"/>
      <c r="BC123" s="226"/>
      <c r="BD123" s="226"/>
      <c r="BE123" s="226"/>
      <c r="BF123" s="226"/>
      <c r="BG123" s="226"/>
      <c r="BH123" s="226"/>
      <c r="BI123" s="226"/>
      <c r="BJ123" s="226"/>
      <c r="BK123" s="226"/>
      <c r="BL123" s="226"/>
      <c r="BM123" s="226"/>
      <c r="BN123" s="226"/>
      <c r="BO123" s="226"/>
      <c r="BP123" s="226"/>
      <c r="BQ123" s="226"/>
      <c r="BR123" s="226"/>
      <c r="BS123" s="226"/>
      <c r="BT123" s="226"/>
      <c r="BU123" s="226"/>
      <c r="BV123" s="226"/>
      <c r="BW123" s="226"/>
      <c r="BX123" s="226"/>
      <c r="BY123" s="226"/>
      <c r="BZ123" s="226"/>
      <c r="CA123" s="226"/>
      <c r="CB123" s="226"/>
      <c r="CC123" s="226"/>
      <c r="CD123" s="226"/>
      <c r="CE123" s="226"/>
      <c r="CF123" s="226"/>
      <c r="CG123" s="226"/>
      <c r="CH123" s="226"/>
      <c r="CI123" s="226"/>
      <c r="CJ123" s="226"/>
      <c r="CK123" s="226"/>
      <c r="CL123" s="226"/>
      <c r="CM123" s="226"/>
      <c r="CN123" s="226"/>
      <c r="CO123" s="226"/>
      <c r="CP123" s="226"/>
      <c r="CQ123" s="226"/>
      <c r="CR123" s="226"/>
      <c r="CS123" s="226"/>
      <c r="CT123" s="226"/>
      <c r="CU123" s="226"/>
      <c r="CV123" s="226"/>
      <c r="CW123" s="226"/>
      <c r="CX123" s="226"/>
      <c r="CY123" s="226"/>
      <c r="CZ123" s="226"/>
      <c r="DA123" s="226"/>
      <c r="DB123" s="226"/>
      <c r="DC123" s="226"/>
      <c r="DD123" s="226"/>
      <c r="DE123" s="226"/>
      <c r="DF123" s="226"/>
      <c r="DG123" s="226"/>
      <c r="DH123" s="226"/>
      <c r="DI123" s="226"/>
      <c r="DJ123" s="226"/>
      <c r="DK123" s="226"/>
      <c r="DL123" s="226"/>
      <c r="DM123" s="226"/>
      <c r="DN123" s="226"/>
      <c r="DO123" s="226"/>
      <c r="DP123" s="226"/>
      <c r="DQ123" s="226"/>
      <c r="DR123" s="226"/>
      <c r="DS123" s="226"/>
      <c r="DT123" s="226"/>
      <c r="DU123" s="226"/>
      <c r="DV123" s="226"/>
      <c r="DW123" s="226"/>
      <c r="DX123" s="226"/>
      <c r="DY123" s="226"/>
      <c r="DZ123" s="226"/>
      <c r="EA123" s="226"/>
      <c r="EB123" s="226"/>
      <c r="EC123" s="226"/>
      <c r="ED123" s="226"/>
      <c r="EE123" s="226"/>
      <c r="EF123" s="226"/>
      <c r="EG123" s="226"/>
      <c r="EH123" s="226"/>
      <c r="EI123" s="226"/>
      <c r="EJ123" s="226"/>
      <c r="EK123" s="226"/>
      <c r="EL123" s="226"/>
      <c r="EM123" s="226"/>
      <c r="EN123" s="226"/>
      <c r="EO123" s="226"/>
      <c r="EP123" s="226"/>
      <c r="EQ123" s="226"/>
      <c r="ER123" s="226"/>
      <c r="ES123" s="226"/>
      <c r="ET123" s="226"/>
      <c r="EU123" s="226"/>
      <c r="EV123" s="226"/>
      <c r="EW123" s="226"/>
      <c r="EX123" s="226"/>
      <c r="EY123" s="226"/>
      <c r="EZ123" s="226"/>
      <c r="FA123" s="226"/>
      <c r="FB123" s="226"/>
      <c r="FC123" s="226"/>
      <c r="FD123" s="226"/>
      <c r="FE123" s="226"/>
      <c r="FF123" s="226"/>
      <c r="FG123" s="226"/>
      <c r="FH123" s="226"/>
      <c r="FI123" s="226"/>
      <c r="FJ123" s="226"/>
      <c r="FK123" s="226"/>
      <c r="FL123" s="226"/>
      <c r="FM123" s="226"/>
      <c r="FN123" s="226"/>
      <c r="FO123" s="226"/>
      <c r="FP123" s="226"/>
      <c r="FQ123" s="226"/>
      <c r="FR123" s="226"/>
      <c r="FS123" s="226"/>
      <c r="FT123" s="226"/>
      <c r="FU123" s="226"/>
      <c r="FV123" s="226"/>
      <c r="FW123" s="226"/>
      <c r="FX123" s="226"/>
      <c r="FY123" s="226"/>
      <c r="FZ123" s="226"/>
      <c r="GA123" s="226"/>
      <c r="GB123" s="226"/>
      <c r="GC123" s="226"/>
      <c r="GD123" s="226"/>
      <c r="GE123" s="226"/>
      <c r="GF123" s="226"/>
      <c r="GG123" s="226"/>
    </row>
    <row r="124" spans="1:189" s="205" customFormat="1">
      <c r="A124" s="639" t="e">
        <f>#REF!</f>
        <v>#REF!</v>
      </c>
      <c r="B124" s="681" t="e">
        <f>#REF!</f>
        <v>#REF!</v>
      </c>
      <c r="C124" s="1523" t="e">
        <f>#REF!</f>
        <v>#REF!</v>
      </c>
      <c r="D124" s="1521">
        <f>J124</f>
        <v>724.5</v>
      </c>
      <c r="E124" s="547" t="e">
        <f>#REF!</f>
        <v>#REF!</v>
      </c>
      <c r="F124" s="963" t="e">
        <f>+D124*E124</f>
        <v>#REF!</v>
      </c>
      <c r="G124" s="935" t="e">
        <f>SUM(F122:F124)</f>
        <v>#REF!</v>
      </c>
      <c r="H124" s="258">
        <f>(F4+F5+F6)</f>
        <v>690</v>
      </c>
      <c r="I124" s="265">
        <v>1.05</v>
      </c>
      <c r="J124" s="258">
        <f>H124*I124</f>
        <v>724.5</v>
      </c>
    </row>
    <row r="125" spans="1:189" s="205" customFormat="1">
      <c r="A125" s="745" t="e">
        <f>#REF!</f>
        <v>#REF!</v>
      </c>
      <c r="B125" s="830" t="e">
        <f>#REF!</f>
        <v>#REF!</v>
      </c>
      <c r="C125" s="1264"/>
      <c r="D125" s="1519"/>
      <c r="E125" s="544"/>
      <c r="F125" s="1136"/>
      <c r="H125" s="258"/>
      <c r="I125" s="265">
        <v>1.05</v>
      </c>
      <c r="J125" s="258"/>
    </row>
    <row r="126" spans="1:189" s="205" customFormat="1">
      <c r="A126" s="639" t="e">
        <f>#REF!</f>
        <v>#REF!</v>
      </c>
      <c r="B126" s="681" t="e">
        <f>#REF!</f>
        <v>#REF!</v>
      </c>
      <c r="C126" s="1523" t="e">
        <f>#REF!</f>
        <v>#REF!</v>
      </c>
      <c r="D126" s="1521">
        <f>J126</f>
        <v>486.15000000000003</v>
      </c>
      <c r="E126" s="547" t="e">
        <f>+#REF!</f>
        <v>#REF!</v>
      </c>
      <c r="F126" s="963" t="e">
        <f>+D126*E126</f>
        <v>#REF!</v>
      </c>
      <c r="G126" s="935" t="e">
        <f>SUM(F126)</f>
        <v>#REF!</v>
      </c>
      <c r="H126" s="258">
        <f>F7</f>
        <v>463</v>
      </c>
      <c r="I126" s="265">
        <v>1.05</v>
      </c>
      <c r="J126" s="258">
        <f>H126*I126</f>
        <v>486.15000000000003</v>
      </c>
    </row>
    <row r="127" spans="1:189" s="320" customFormat="1">
      <c r="A127" s="745" t="e">
        <f>#REF!</f>
        <v>#REF!</v>
      </c>
      <c r="B127" s="830" t="e">
        <f>#REF!</f>
        <v>#REF!</v>
      </c>
      <c r="C127" s="1687"/>
      <c r="D127" s="1685"/>
      <c r="E127" s="544"/>
      <c r="F127" s="1136"/>
      <c r="G127" s="205"/>
      <c r="H127" s="258"/>
      <c r="I127" s="264"/>
      <c r="J127" s="258"/>
    </row>
    <row r="128" spans="1:189" s="205" customFormat="1">
      <c r="A128" s="639"/>
      <c r="B128" s="681"/>
      <c r="C128" s="1689" t="e">
        <f>#REF!</f>
        <v>#REF!</v>
      </c>
      <c r="D128" s="1686">
        <v>1</v>
      </c>
      <c r="E128" s="547" t="e">
        <f>#REF!</f>
        <v>#REF!</v>
      </c>
      <c r="F128" s="963" t="e">
        <f>+D128*E128</f>
        <v>#REF!</v>
      </c>
      <c r="G128" s="935" t="e">
        <f>SUM(F128)</f>
        <v>#REF!</v>
      </c>
      <c r="H128" s="258">
        <f>37+13+19</f>
        <v>69</v>
      </c>
      <c r="I128" s="264">
        <v>1.05</v>
      </c>
      <c r="J128" s="258">
        <f>H128*I128</f>
        <v>72.45</v>
      </c>
    </row>
    <row r="129" spans="1:189" s="225" customFormat="1">
      <c r="A129" s="689" t="e">
        <f>#REF!</f>
        <v>#REF!</v>
      </c>
      <c r="B129" s="711" t="e">
        <f>#REF!</f>
        <v>#REF!</v>
      </c>
      <c r="C129" s="1407"/>
      <c r="D129" s="662"/>
      <c r="E129" s="641"/>
      <c r="F129" s="740"/>
      <c r="H129" s="259"/>
      <c r="I129" s="265"/>
      <c r="J129" s="259"/>
      <c r="K129" s="226"/>
      <c r="L129" s="226"/>
      <c r="M129" s="226"/>
      <c r="N129" s="226"/>
      <c r="O129" s="226"/>
      <c r="P129" s="226"/>
      <c r="Q129" s="226"/>
      <c r="R129" s="226"/>
      <c r="S129" s="226"/>
      <c r="T129" s="226"/>
      <c r="U129" s="226"/>
      <c r="V129" s="226"/>
      <c r="W129" s="226"/>
      <c r="X129" s="226"/>
      <c r="Y129" s="226"/>
      <c r="Z129" s="226"/>
      <c r="AA129" s="226"/>
      <c r="AB129" s="226"/>
      <c r="AC129" s="226"/>
      <c r="AD129" s="226"/>
      <c r="AE129" s="226"/>
      <c r="AF129" s="226"/>
      <c r="AG129" s="226"/>
      <c r="AH129" s="226"/>
      <c r="AI129" s="226"/>
      <c r="AJ129" s="226"/>
      <c r="AK129" s="226"/>
      <c r="AL129" s="226"/>
      <c r="AM129" s="226"/>
      <c r="AN129" s="226"/>
      <c r="AO129" s="226"/>
      <c r="AP129" s="226"/>
      <c r="AQ129" s="226"/>
      <c r="AR129" s="226"/>
      <c r="AS129" s="226"/>
      <c r="AT129" s="226"/>
      <c r="AU129" s="226"/>
      <c r="AV129" s="226"/>
      <c r="AW129" s="226"/>
      <c r="AX129" s="226"/>
      <c r="AY129" s="226"/>
      <c r="AZ129" s="226"/>
      <c r="BA129" s="226"/>
      <c r="BB129" s="226"/>
      <c r="BC129" s="226"/>
      <c r="BD129" s="226"/>
      <c r="BE129" s="226"/>
      <c r="BF129" s="226"/>
      <c r="BG129" s="226"/>
      <c r="BH129" s="226"/>
      <c r="BI129" s="226"/>
      <c r="BJ129" s="226"/>
      <c r="BK129" s="226"/>
      <c r="BL129" s="226"/>
      <c r="BM129" s="226"/>
      <c r="BN129" s="226"/>
      <c r="BO129" s="226"/>
      <c r="BP129" s="226"/>
      <c r="BQ129" s="226"/>
      <c r="BR129" s="226"/>
      <c r="BS129" s="226"/>
      <c r="BT129" s="226"/>
      <c r="BU129" s="226"/>
      <c r="BV129" s="226"/>
      <c r="BW129" s="226"/>
      <c r="BX129" s="226"/>
      <c r="BY129" s="226"/>
      <c r="BZ129" s="226"/>
      <c r="CA129" s="226"/>
      <c r="CB129" s="226"/>
      <c r="CC129" s="226"/>
      <c r="CD129" s="226"/>
      <c r="CE129" s="226"/>
      <c r="CF129" s="226"/>
      <c r="CG129" s="226"/>
      <c r="CH129" s="226"/>
      <c r="CI129" s="226"/>
      <c r="CJ129" s="226"/>
      <c r="CK129" s="226"/>
      <c r="CL129" s="226"/>
      <c r="CM129" s="226"/>
      <c r="CN129" s="226"/>
      <c r="CO129" s="226"/>
      <c r="CP129" s="226"/>
      <c r="CQ129" s="226"/>
      <c r="CR129" s="226"/>
      <c r="CS129" s="226"/>
      <c r="CT129" s="226"/>
      <c r="CU129" s="226"/>
      <c r="CV129" s="226"/>
      <c r="CW129" s="226"/>
      <c r="CX129" s="226"/>
      <c r="CY129" s="226"/>
      <c r="CZ129" s="226"/>
      <c r="DA129" s="226"/>
      <c r="DB129" s="226"/>
      <c r="DC129" s="226"/>
      <c r="DD129" s="226"/>
      <c r="DE129" s="226"/>
      <c r="DF129" s="226"/>
      <c r="DG129" s="226"/>
      <c r="DH129" s="226"/>
      <c r="DI129" s="226"/>
      <c r="DJ129" s="226"/>
      <c r="DK129" s="226"/>
      <c r="DL129" s="226"/>
      <c r="DM129" s="226"/>
      <c r="DN129" s="226"/>
      <c r="DO129" s="226"/>
      <c r="DP129" s="226"/>
      <c r="DQ129" s="226"/>
      <c r="DR129" s="226"/>
      <c r="DS129" s="226"/>
      <c r="DT129" s="226"/>
      <c r="DU129" s="226"/>
      <c r="DV129" s="226"/>
      <c r="DW129" s="226"/>
      <c r="DX129" s="226"/>
      <c r="DY129" s="226"/>
      <c r="DZ129" s="226"/>
      <c r="EA129" s="226"/>
      <c r="EB129" s="226"/>
      <c r="EC129" s="226"/>
      <c r="ED129" s="226"/>
      <c r="EE129" s="226"/>
      <c r="EF129" s="226"/>
      <c r="EG129" s="226"/>
      <c r="EH129" s="226"/>
      <c r="EI129" s="226"/>
      <c r="EJ129" s="226"/>
      <c r="EK129" s="226"/>
      <c r="EL129" s="226"/>
      <c r="EM129" s="226"/>
      <c r="EN129" s="226"/>
      <c r="EO129" s="226"/>
      <c r="EP129" s="226"/>
      <c r="EQ129" s="226"/>
      <c r="ER129" s="226"/>
      <c r="ES129" s="226"/>
      <c r="ET129" s="226"/>
      <c r="EU129" s="226"/>
      <c r="EV129" s="226"/>
      <c r="EW129" s="226"/>
      <c r="EX129" s="226"/>
      <c r="EY129" s="226"/>
      <c r="EZ129" s="226"/>
      <c r="FA129" s="226"/>
      <c r="FB129" s="226"/>
      <c r="FC129" s="226"/>
      <c r="FD129" s="226"/>
      <c r="FE129" s="226"/>
      <c r="FF129" s="226"/>
      <c r="FG129" s="226"/>
      <c r="FH129" s="226"/>
      <c r="FI129" s="226"/>
      <c r="FJ129" s="226"/>
      <c r="FK129" s="226"/>
      <c r="FL129" s="226"/>
      <c r="FM129" s="226"/>
      <c r="FN129" s="226"/>
      <c r="FO129" s="226"/>
      <c r="FP129" s="226"/>
      <c r="FQ129" s="226"/>
      <c r="FR129" s="226"/>
      <c r="FS129" s="226"/>
      <c r="FT129" s="226"/>
      <c r="FU129" s="226"/>
      <c r="FV129" s="226"/>
      <c r="FW129" s="226"/>
      <c r="FX129" s="226"/>
      <c r="FY129" s="226"/>
      <c r="FZ129" s="226"/>
      <c r="GA129" s="226"/>
      <c r="GB129" s="226"/>
      <c r="GC129" s="226"/>
      <c r="GD129" s="226"/>
      <c r="GE129" s="226"/>
      <c r="GF129" s="226"/>
      <c r="GG129" s="226"/>
    </row>
    <row r="130" spans="1:189" s="225" customFormat="1" ht="30" customHeight="1">
      <c r="A130" s="785" t="e">
        <f>#REF!</f>
        <v>#REF!</v>
      </c>
      <c r="B130" s="764" t="e">
        <f>#REF!</f>
        <v>#REF!</v>
      </c>
      <c r="C130" s="1485" t="e">
        <f>#REF!</f>
        <v>#REF!</v>
      </c>
      <c r="D130" s="654">
        <f>J130</f>
        <v>10</v>
      </c>
      <c r="E130" s="633" t="e">
        <f>#REF!</f>
        <v>#REF!</v>
      </c>
      <c r="F130" s="655" t="e">
        <f>+D130*E130</f>
        <v>#REF!</v>
      </c>
      <c r="H130" s="259">
        <f>+(H126)/50</f>
        <v>9.26</v>
      </c>
      <c r="I130" s="265">
        <v>1.1000000000000001</v>
      </c>
      <c r="J130" s="259">
        <f>ROUND(H130*I130,0)</f>
        <v>10</v>
      </c>
      <c r="K130" s="226"/>
      <c r="L130" s="226"/>
      <c r="M130" s="226"/>
      <c r="N130" s="226"/>
      <c r="O130" s="226"/>
      <c r="P130" s="226"/>
      <c r="Q130" s="226"/>
      <c r="R130" s="226"/>
      <c r="S130" s="226"/>
      <c r="T130" s="226"/>
      <c r="U130" s="226"/>
      <c r="V130" s="226"/>
      <c r="W130" s="226"/>
      <c r="X130" s="226"/>
      <c r="Y130" s="226"/>
      <c r="Z130" s="226"/>
      <c r="AA130" s="226"/>
      <c r="AB130" s="226"/>
      <c r="AC130" s="226"/>
      <c r="AD130" s="226"/>
      <c r="AE130" s="226"/>
      <c r="AF130" s="226"/>
      <c r="AG130" s="226"/>
      <c r="AH130" s="226"/>
      <c r="AI130" s="226"/>
      <c r="AJ130" s="226"/>
      <c r="AK130" s="226"/>
      <c r="AL130" s="226"/>
      <c r="AM130" s="226"/>
      <c r="AN130" s="226"/>
      <c r="AO130" s="226"/>
      <c r="AP130" s="226"/>
      <c r="AQ130" s="226"/>
      <c r="AR130" s="226"/>
      <c r="AS130" s="226"/>
      <c r="AT130" s="226"/>
      <c r="AU130" s="226"/>
      <c r="AV130" s="226"/>
      <c r="AW130" s="226"/>
      <c r="AX130" s="226"/>
      <c r="AY130" s="226"/>
      <c r="AZ130" s="226"/>
      <c r="BA130" s="226"/>
      <c r="BB130" s="226"/>
      <c r="BC130" s="226"/>
      <c r="BD130" s="226"/>
      <c r="BE130" s="226"/>
      <c r="BF130" s="226"/>
      <c r="BG130" s="226"/>
      <c r="BH130" s="226"/>
      <c r="BI130" s="226"/>
      <c r="BJ130" s="226"/>
      <c r="BK130" s="226"/>
      <c r="BL130" s="226"/>
      <c r="BM130" s="226"/>
      <c r="BN130" s="226"/>
      <c r="BO130" s="226"/>
      <c r="BP130" s="226"/>
      <c r="BQ130" s="226"/>
      <c r="BR130" s="226"/>
      <c r="BS130" s="226"/>
      <c r="BT130" s="226"/>
      <c r="BU130" s="226"/>
      <c r="BV130" s="226"/>
      <c r="BW130" s="226"/>
      <c r="BX130" s="226"/>
      <c r="BY130" s="226"/>
      <c r="BZ130" s="226"/>
      <c r="CA130" s="226"/>
      <c r="CB130" s="226"/>
      <c r="CC130" s="226"/>
      <c r="CD130" s="226"/>
      <c r="CE130" s="226"/>
      <c r="CF130" s="226"/>
      <c r="CG130" s="226"/>
      <c r="CH130" s="226"/>
      <c r="CI130" s="226"/>
      <c r="CJ130" s="226"/>
      <c r="CK130" s="226"/>
      <c r="CL130" s="226"/>
      <c r="CM130" s="226"/>
      <c r="CN130" s="226"/>
      <c r="CO130" s="226"/>
      <c r="CP130" s="226"/>
      <c r="CQ130" s="226"/>
      <c r="CR130" s="226"/>
      <c r="CS130" s="226"/>
      <c r="CT130" s="226"/>
      <c r="CU130" s="226"/>
      <c r="CV130" s="226"/>
      <c r="CW130" s="226"/>
      <c r="CX130" s="226"/>
      <c r="CY130" s="226"/>
      <c r="CZ130" s="226"/>
      <c r="DA130" s="226"/>
      <c r="DB130" s="226"/>
      <c r="DC130" s="226"/>
      <c r="DD130" s="226"/>
      <c r="DE130" s="226"/>
      <c r="DF130" s="226"/>
      <c r="DG130" s="226"/>
      <c r="DH130" s="226"/>
      <c r="DI130" s="226"/>
      <c r="DJ130" s="226"/>
      <c r="DK130" s="226"/>
      <c r="DL130" s="226"/>
      <c r="DM130" s="226"/>
      <c r="DN130" s="226"/>
      <c r="DO130" s="226"/>
      <c r="DP130" s="226"/>
      <c r="DQ130" s="226"/>
      <c r="DR130" s="226"/>
      <c r="DS130" s="226"/>
      <c r="DT130" s="226"/>
      <c r="DU130" s="226"/>
      <c r="DV130" s="226"/>
      <c r="DW130" s="226"/>
      <c r="DX130" s="226"/>
      <c r="DY130" s="226"/>
      <c r="DZ130" s="226"/>
      <c r="EA130" s="226"/>
      <c r="EB130" s="226"/>
      <c r="EC130" s="226"/>
      <c r="ED130" s="226"/>
      <c r="EE130" s="226"/>
      <c r="EF130" s="226"/>
      <c r="EG130" s="226"/>
      <c r="EH130" s="226"/>
      <c r="EI130" s="226"/>
      <c r="EJ130" s="226"/>
      <c r="EK130" s="226"/>
      <c r="EL130" s="226"/>
      <c r="EM130" s="226"/>
      <c r="EN130" s="226"/>
      <c r="EO130" s="226"/>
      <c r="EP130" s="226"/>
      <c r="EQ130" s="226"/>
      <c r="ER130" s="226"/>
      <c r="ES130" s="226"/>
      <c r="ET130" s="226"/>
      <c r="EU130" s="226"/>
      <c r="EV130" s="226"/>
      <c r="EW130" s="226"/>
      <c r="EX130" s="226"/>
      <c r="EY130" s="226"/>
      <c r="EZ130" s="226"/>
      <c r="FA130" s="226"/>
      <c r="FB130" s="226"/>
      <c r="FC130" s="226"/>
      <c r="FD130" s="226"/>
      <c r="FE130" s="226"/>
      <c r="FF130" s="226"/>
      <c r="FG130" s="226"/>
      <c r="FH130" s="226"/>
      <c r="FI130" s="226"/>
      <c r="FJ130" s="226"/>
      <c r="FK130" s="226"/>
      <c r="FL130" s="226"/>
      <c r="FM130" s="226"/>
      <c r="FN130" s="226"/>
      <c r="FO130" s="226"/>
      <c r="FP130" s="226"/>
      <c r="FQ130" s="226"/>
      <c r="FR130" s="226"/>
      <c r="FS130" s="226"/>
      <c r="FT130" s="226"/>
      <c r="FU130" s="226"/>
      <c r="FV130" s="226"/>
      <c r="FW130" s="226"/>
      <c r="FX130" s="226"/>
      <c r="FY130" s="226"/>
      <c r="FZ130" s="226"/>
      <c r="GA130" s="226"/>
      <c r="GB130" s="226"/>
      <c r="GC130" s="226"/>
      <c r="GD130" s="226"/>
      <c r="GE130" s="226"/>
      <c r="GF130" s="226"/>
      <c r="GG130" s="226"/>
    </row>
    <row r="131" spans="1:189" s="225" customFormat="1">
      <c r="A131" s="765" t="e">
        <f>#REF!</f>
        <v>#REF!</v>
      </c>
      <c r="B131" s="1429" t="e">
        <f>#REF!</f>
        <v>#REF!</v>
      </c>
      <c r="C131" s="1408" t="e">
        <f>#REF!</f>
        <v>#REF!</v>
      </c>
      <c r="D131" s="648">
        <f>J131</f>
        <v>221</v>
      </c>
      <c r="E131" s="527" t="e">
        <f>#REF!</f>
        <v>#REF!</v>
      </c>
      <c r="F131" s="741" t="e">
        <f>+D131*E131</f>
        <v>#REF!</v>
      </c>
      <c r="G131" s="470" t="e">
        <f>SUM(F130:F131)</f>
        <v>#REF!</v>
      </c>
      <c r="H131" s="259">
        <f>SUM(H122:H124)/12</f>
        <v>201.33333333333334</v>
      </c>
      <c r="I131" s="265">
        <v>1.1000000000000001</v>
      </c>
      <c r="J131" s="259">
        <f>ROUND(H131*I131,0)</f>
        <v>221</v>
      </c>
      <c r="K131" s="226"/>
      <c r="L131" s="226"/>
      <c r="M131" s="226"/>
      <c r="N131" s="226"/>
      <c r="O131" s="226"/>
      <c r="P131" s="226"/>
      <c r="Q131" s="226"/>
      <c r="R131" s="226"/>
      <c r="S131" s="226"/>
      <c r="T131" s="226"/>
      <c r="U131" s="226"/>
      <c r="V131" s="226"/>
      <c r="W131" s="226"/>
      <c r="X131" s="226"/>
      <c r="Y131" s="226"/>
      <c r="Z131" s="226"/>
      <c r="AA131" s="226"/>
      <c r="AB131" s="226"/>
      <c r="AC131" s="226"/>
      <c r="AD131" s="226"/>
      <c r="AE131" s="226"/>
      <c r="AF131" s="226"/>
      <c r="AG131" s="226"/>
      <c r="AH131" s="226"/>
      <c r="AI131" s="226"/>
      <c r="AJ131" s="226"/>
      <c r="AK131" s="226"/>
      <c r="AL131" s="226"/>
      <c r="AM131" s="226"/>
      <c r="AN131" s="226"/>
      <c r="AO131" s="226"/>
      <c r="AP131" s="226"/>
      <c r="AQ131" s="226"/>
      <c r="AR131" s="226"/>
      <c r="AS131" s="226"/>
      <c r="AT131" s="226"/>
      <c r="AU131" s="226"/>
      <c r="AV131" s="226"/>
      <c r="AW131" s="226"/>
      <c r="AX131" s="226"/>
      <c r="AY131" s="226"/>
      <c r="AZ131" s="226"/>
      <c r="BA131" s="226"/>
      <c r="BB131" s="226"/>
      <c r="BC131" s="226"/>
      <c r="BD131" s="226"/>
      <c r="BE131" s="226"/>
      <c r="BF131" s="226"/>
      <c r="BG131" s="226"/>
      <c r="BH131" s="226"/>
      <c r="BI131" s="226"/>
      <c r="BJ131" s="226"/>
      <c r="BK131" s="226"/>
      <c r="BL131" s="226"/>
      <c r="BM131" s="226"/>
      <c r="BN131" s="226"/>
      <c r="BO131" s="226"/>
      <c r="BP131" s="226"/>
      <c r="BQ131" s="226"/>
      <c r="BR131" s="226"/>
      <c r="BS131" s="226"/>
      <c r="BT131" s="226"/>
      <c r="BU131" s="226"/>
      <c r="BV131" s="226"/>
      <c r="BW131" s="226"/>
      <c r="BX131" s="226"/>
      <c r="BY131" s="226"/>
      <c r="BZ131" s="226"/>
      <c r="CA131" s="226"/>
      <c r="CB131" s="226"/>
      <c r="CC131" s="226"/>
      <c r="CD131" s="226"/>
      <c r="CE131" s="226"/>
      <c r="CF131" s="226"/>
      <c r="CG131" s="226"/>
      <c r="CH131" s="226"/>
      <c r="CI131" s="226"/>
      <c r="CJ131" s="226"/>
      <c r="CK131" s="226"/>
      <c r="CL131" s="226"/>
      <c r="CM131" s="226"/>
      <c r="CN131" s="226"/>
      <c r="CO131" s="226"/>
      <c r="CP131" s="226"/>
      <c r="CQ131" s="226"/>
      <c r="CR131" s="226"/>
      <c r="CS131" s="226"/>
      <c r="CT131" s="226"/>
      <c r="CU131" s="226"/>
      <c r="CV131" s="226"/>
      <c r="CW131" s="226"/>
      <c r="CX131" s="226"/>
      <c r="CY131" s="226"/>
      <c r="CZ131" s="226"/>
      <c r="DA131" s="226"/>
      <c r="DB131" s="226"/>
      <c r="DC131" s="226"/>
      <c r="DD131" s="226"/>
      <c r="DE131" s="226"/>
      <c r="DF131" s="226"/>
      <c r="DG131" s="226"/>
      <c r="DH131" s="226"/>
      <c r="DI131" s="226"/>
      <c r="DJ131" s="226"/>
      <c r="DK131" s="226"/>
      <c r="DL131" s="226"/>
      <c r="DM131" s="226"/>
      <c r="DN131" s="226"/>
      <c r="DO131" s="226"/>
      <c r="DP131" s="226"/>
      <c r="DQ131" s="226"/>
      <c r="DR131" s="226"/>
      <c r="DS131" s="226"/>
      <c r="DT131" s="226"/>
      <c r="DU131" s="226"/>
      <c r="DV131" s="226"/>
      <c r="DW131" s="226"/>
      <c r="DX131" s="226"/>
      <c r="DY131" s="226"/>
      <c r="DZ131" s="226"/>
      <c r="EA131" s="226"/>
      <c r="EB131" s="226"/>
      <c r="EC131" s="226"/>
      <c r="ED131" s="226"/>
      <c r="EE131" s="226"/>
      <c r="EF131" s="226"/>
      <c r="EG131" s="226"/>
      <c r="EH131" s="226"/>
      <c r="EI131" s="226"/>
      <c r="EJ131" s="226"/>
      <c r="EK131" s="226"/>
      <c r="EL131" s="226"/>
      <c r="EM131" s="226"/>
      <c r="EN131" s="226"/>
      <c r="EO131" s="226"/>
      <c r="EP131" s="226"/>
      <c r="EQ131" s="226"/>
      <c r="ER131" s="226"/>
      <c r="ES131" s="226"/>
      <c r="ET131" s="226"/>
      <c r="EU131" s="226"/>
      <c r="EV131" s="226"/>
      <c r="EW131" s="226"/>
      <c r="EX131" s="226"/>
      <c r="EY131" s="226"/>
      <c r="EZ131" s="226"/>
      <c r="FA131" s="226"/>
      <c r="FB131" s="226"/>
      <c r="FC131" s="226"/>
      <c r="FD131" s="226"/>
      <c r="FE131" s="226"/>
      <c r="FF131" s="226"/>
      <c r="FG131" s="226"/>
      <c r="FH131" s="226"/>
      <c r="FI131" s="226"/>
      <c r="FJ131" s="226"/>
      <c r="FK131" s="226"/>
      <c r="FL131" s="226"/>
      <c r="FM131" s="226"/>
      <c r="FN131" s="226"/>
      <c r="FO131" s="226"/>
      <c r="FP131" s="226"/>
      <c r="FQ131" s="226"/>
      <c r="FR131" s="226"/>
      <c r="FS131" s="226"/>
      <c r="FT131" s="226"/>
      <c r="FU131" s="226"/>
      <c r="FV131" s="226"/>
      <c r="FW131" s="226"/>
      <c r="FX131" s="226"/>
      <c r="FY131" s="226"/>
      <c r="FZ131" s="226"/>
      <c r="GA131" s="226"/>
      <c r="GB131" s="226"/>
      <c r="GC131" s="226"/>
      <c r="GD131" s="226"/>
      <c r="GE131" s="226"/>
      <c r="GF131" s="226"/>
      <c r="GG131" s="226"/>
    </row>
    <row r="132" spans="1:189" s="225" customFormat="1">
      <c r="A132" s="689" t="e">
        <f>#REF!</f>
        <v>#REF!</v>
      </c>
      <c r="B132" s="711" t="e">
        <f>#REF!</f>
        <v>#REF!</v>
      </c>
      <c r="C132" s="1407"/>
      <c r="D132" s="662"/>
      <c r="E132" s="641"/>
      <c r="F132" s="740"/>
      <c r="H132" s="259"/>
      <c r="I132" s="265"/>
      <c r="J132" s="259"/>
      <c r="K132" s="226"/>
      <c r="L132" s="226"/>
      <c r="M132" s="226"/>
      <c r="N132" s="226"/>
      <c r="O132" s="226"/>
      <c r="P132" s="226"/>
      <c r="Q132" s="226"/>
      <c r="R132" s="226"/>
      <c r="S132" s="226"/>
      <c r="T132" s="226"/>
      <c r="U132" s="226"/>
      <c r="V132" s="226"/>
      <c r="W132" s="226"/>
      <c r="X132" s="226"/>
      <c r="Y132" s="226"/>
      <c r="Z132" s="226"/>
      <c r="AA132" s="226"/>
      <c r="AB132" s="226"/>
      <c r="AC132" s="226"/>
      <c r="AD132" s="226"/>
      <c r="AE132" s="226"/>
      <c r="AF132" s="226"/>
      <c r="AG132" s="226"/>
      <c r="AH132" s="226"/>
      <c r="AI132" s="226"/>
      <c r="AJ132" s="226"/>
      <c r="AK132" s="226"/>
      <c r="AL132" s="226"/>
      <c r="AM132" s="226"/>
      <c r="AN132" s="226"/>
      <c r="AO132" s="226"/>
      <c r="AP132" s="226"/>
      <c r="AQ132" s="226"/>
      <c r="AR132" s="226"/>
      <c r="AS132" s="226"/>
      <c r="AT132" s="226"/>
      <c r="AU132" s="226"/>
      <c r="AV132" s="226"/>
      <c r="AW132" s="226"/>
      <c r="AX132" s="226"/>
      <c r="AY132" s="226"/>
      <c r="AZ132" s="226"/>
      <c r="BA132" s="226"/>
      <c r="BB132" s="226"/>
      <c r="BC132" s="226"/>
      <c r="BD132" s="226"/>
      <c r="BE132" s="226"/>
      <c r="BF132" s="226"/>
      <c r="BG132" s="226"/>
      <c r="BH132" s="226"/>
      <c r="BI132" s="226"/>
      <c r="BJ132" s="226"/>
      <c r="BK132" s="226"/>
      <c r="BL132" s="226"/>
      <c r="BM132" s="226"/>
      <c r="BN132" s="226"/>
      <c r="BO132" s="226"/>
      <c r="BP132" s="226"/>
      <c r="BQ132" s="226"/>
      <c r="BR132" s="226"/>
      <c r="BS132" s="226"/>
      <c r="BT132" s="226"/>
      <c r="BU132" s="226"/>
      <c r="BV132" s="226"/>
      <c r="BW132" s="226"/>
      <c r="BX132" s="226"/>
      <c r="BY132" s="226"/>
      <c r="BZ132" s="226"/>
      <c r="CA132" s="226"/>
      <c r="CB132" s="226"/>
      <c r="CC132" s="226"/>
      <c r="CD132" s="226"/>
      <c r="CE132" s="226"/>
      <c r="CF132" s="226"/>
      <c r="CG132" s="226"/>
      <c r="CH132" s="226"/>
      <c r="CI132" s="226"/>
      <c r="CJ132" s="226"/>
      <c r="CK132" s="226"/>
      <c r="CL132" s="226"/>
      <c r="CM132" s="226"/>
      <c r="CN132" s="226"/>
      <c r="CO132" s="226"/>
      <c r="CP132" s="226"/>
      <c r="CQ132" s="226"/>
      <c r="CR132" s="226"/>
      <c r="CS132" s="226"/>
      <c r="CT132" s="226"/>
      <c r="CU132" s="226"/>
      <c r="CV132" s="226"/>
      <c r="CW132" s="226"/>
      <c r="CX132" s="226"/>
      <c r="CY132" s="226"/>
      <c r="CZ132" s="226"/>
      <c r="DA132" s="226"/>
      <c r="DB132" s="226"/>
      <c r="DC132" s="226"/>
      <c r="DD132" s="226"/>
      <c r="DE132" s="226"/>
      <c r="DF132" s="226"/>
      <c r="DG132" s="226"/>
      <c r="DH132" s="226"/>
      <c r="DI132" s="226"/>
      <c r="DJ132" s="226"/>
      <c r="DK132" s="226"/>
      <c r="DL132" s="226"/>
      <c r="DM132" s="226"/>
      <c r="DN132" s="226"/>
      <c r="DO132" s="226"/>
      <c r="DP132" s="226"/>
      <c r="DQ132" s="226"/>
      <c r="DR132" s="226"/>
      <c r="DS132" s="226"/>
      <c r="DT132" s="226"/>
      <c r="DU132" s="226"/>
      <c r="DV132" s="226"/>
      <c r="DW132" s="226"/>
      <c r="DX132" s="226"/>
      <c r="DY132" s="226"/>
      <c r="DZ132" s="226"/>
      <c r="EA132" s="226"/>
      <c r="EB132" s="226"/>
      <c r="EC132" s="226"/>
      <c r="ED132" s="226"/>
      <c r="EE132" s="226"/>
      <c r="EF132" s="226"/>
      <c r="EG132" s="226"/>
      <c r="EH132" s="226"/>
      <c r="EI132" s="226"/>
      <c r="EJ132" s="226"/>
      <c r="EK132" s="226"/>
      <c r="EL132" s="226"/>
      <c r="EM132" s="226"/>
      <c r="EN132" s="226"/>
      <c r="EO132" s="226"/>
      <c r="EP132" s="226"/>
      <c r="EQ132" s="226"/>
      <c r="ER132" s="226"/>
      <c r="ES132" s="226"/>
      <c r="ET132" s="226"/>
      <c r="EU132" s="226"/>
      <c r="EV132" s="226"/>
      <c r="EW132" s="226"/>
      <c r="EX132" s="226"/>
      <c r="EY132" s="226"/>
      <c r="EZ132" s="226"/>
      <c r="FA132" s="226"/>
      <c r="FB132" s="226"/>
      <c r="FC132" s="226"/>
      <c r="FD132" s="226"/>
      <c r="FE132" s="226"/>
      <c r="FF132" s="226"/>
      <c r="FG132" s="226"/>
      <c r="FH132" s="226"/>
      <c r="FI132" s="226"/>
      <c r="FJ132" s="226"/>
      <c r="FK132" s="226"/>
      <c r="FL132" s="226"/>
      <c r="FM132" s="226"/>
      <c r="FN132" s="226"/>
      <c r="FO132" s="226"/>
      <c r="FP132" s="226"/>
      <c r="FQ132" s="226"/>
      <c r="FR132" s="226"/>
      <c r="FS132" s="226"/>
      <c r="FT132" s="226"/>
      <c r="FU132" s="226"/>
      <c r="FV132" s="226"/>
      <c r="FW132" s="226"/>
      <c r="FX132" s="226"/>
      <c r="FY132" s="226"/>
      <c r="FZ132" s="226"/>
      <c r="GA132" s="226"/>
      <c r="GB132" s="226"/>
      <c r="GC132" s="226"/>
      <c r="GD132" s="226"/>
      <c r="GE132" s="226"/>
      <c r="GF132" s="226"/>
      <c r="GG132" s="226"/>
    </row>
    <row r="133" spans="1:189" s="225" customFormat="1">
      <c r="A133" s="821" t="e">
        <f>#REF!</f>
        <v>#REF!</v>
      </c>
      <c r="B133" s="1441" t="e">
        <f>#REF!</f>
        <v>#REF!</v>
      </c>
      <c r="C133" s="1408" t="e">
        <f>#REF!</f>
        <v>#REF!</v>
      </c>
      <c r="D133" s="648">
        <f>J133</f>
        <v>486.15000000000003</v>
      </c>
      <c r="E133" s="527" t="e">
        <f>#REF!</f>
        <v>#REF!</v>
      </c>
      <c r="F133" s="741" t="e">
        <f>+D133*E133</f>
        <v>#REF!</v>
      </c>
      <c r="H133" s="259">
        <f>F7</f>
        <v>463</v>
      </c>
      <c r="I133" s="265">
        <v>1.05</v>
      </c>
      <c r="J133" s="259">
        <f>H133*I133</f>
        <v>486.15000000000003</v>
      </c>
      <c r="K133" s="226"/>
      <c r="L133" s="226"/>
      <c r="M133" s="226"/>
      <c r="N133" s="226"/>
      <c r="O133" s="226"/>
      <c r="P133" s="226"/>
      <c r="Q133" s="226"/>
      <c r="R133" s="226"/>
      <c r="S133" s="226"/>
      <c r="T133" s="226"/>
      <c r="U133" s="226"/>
      <c r="V133" s="226"/>
      <c r="W133" s="226"/>
      <c r="X133" s="226"/>
      <c r="Y133" s="226"/>
      <c r="Z133" s="226"/>
      <c r="AA133" s="226"/>
      <c r="AB133" s="226"/>
      <c r="AC133" s="226"/>
      <c r="AD133" s="226"/>
      <c r="AE133" s="226"/>
      <c r="AF133" s="226"/>
      <c r="AG133" s="226"/>
      <c r="AH133" s="226"/>
      <c r="AI133" s="226"/>
      <c r="AJ133" s="226"/>
      <c r="AK133" s="226"/>
      <c r="AL133" s="226"/>
      <c r="AM133" s="226"/>
      <c r="AN133" s="226"/>
      <c r="AO133" s="226"/>
      <c r="AP133" s="226"/>
      <c r="AQ133" s="226"/>
      <c r="AR133" s="226"/>
      <c r="AS133" s="226"/>
      <c r="AT133" s="226"/>
      <c r="AU133" s="226"/>
      <c r="AV133" s="226"/>
      <c r="AW133" s="226"/>
      <c r="AX133" s="226"/>
      <c r="AY133" s="226"/>
      <c r="AZ133" s="226"/>
      <c r="BA133" s="226"/>
      <c r="BB133" s="226"/>
      <c r="BC133" s="226"/>
      <c r="BD133" s="226"/>
      <c r="BE133" s="226"/>
      <c r="BF133" s="226"/>
      <c r="BG133" s="226"/>
      <c r="BH133" s="226"/>
      <c r="BI133" s="226"/>
      <c r="BJ133" s="226"/>
      <c r="BK133" s="226"/>
      <c r="BL133" s="226"/>
      <c r="BM133" s="226"/>
      <c r="BN133" s="226"/>
      <c r="BO133" s="226"/>
      <c r="BP133" s="226"/>
      <c r="BQ133" s="226"/>
      <c r="BR133" s="226"/>
      <c r="BS133" s="226"/>
      <c r="BT133" s="226"/>
      <c r="BU133" s="226"/>
      <c r="BV133" s="226"/>
      <c r="BW133" s="226"/>
      <c r="BX133" s="226"/>
      <c r="BY133" s="226"/>
      <c r="BZ133" s="226"/>
      <c r="CA133" s="226"/>
      <c r="CB133" s="226"/>
      <c r="CC133" s="226"/>
      <c r="CD133" s="226"/>
      <c r="CE133" s="226"/>
      <c r="CF133" s="226"/>
      <c r="CG133" s="226"/>
      <c r="CH133" s="226"/>
      <c r="CI133" s="226"/>
      <c r="CJ133" s="226"/>
      <c r="CK133" s="226"/>
      <c r="CL133" s="226"/>
      <c r="CM133" s="226"/>
      <c r="CN133" s="226"/>
      <c r="CO133" s="226"/>
      <c r="CP133" s="226"/>
      <c r="CQ133" s="226"/>
      <c r="CR133" s="226"/>
      <c r="CS133" s="226"/>
      <c r="CT133" s="226"/>
      <c r="CU133" s="226"/>
      <c r="CV133" s="226"/>
      <c r="CW133" s="226"/>
      <c r="CX133" s="226"/>
      <c r="CY133" s="226"/>
      <c r="CZ133" s="226"/>
      <c r="DA133" s="226"/>
      <c r="DB133" s="226"/>
      <c r="DC133" s="226"/>
      <c r="DD133" s="226"/>
      <c r="DE133" s="226"/>
      <c r="DF133" s="226"/>
      <c r="DG133" s="226"/>
      <c r="DH133" s="226"/>
      <c r="DI133" s="226"/>
      <c r="DJ133" s="226"/>
      <c r="DK133" s="226"/>
      <c r="DL133" s="226"/>
      <c r="DM133" s="226"/>
      <c r="DN133" s="226"/>
      <c r="DO133" s="226"/>
      <c r="DP133" s="226"/>
      <c r="DQ133" s="226"/>
      <c r="DR133" s="226"/>
      <c r="DS133" s="226"/>
      <c r="DT133" s="226"/>
      <c r="DU133" s="226"/>
      <c r="DV133" s="226"/>
      <c r="DW133" s="226"/>
      <c r="DX133" s="226"/>
      <c r="DY133" s="226"/>
      <c r="DZ133" s="226"/>
      <c r="EA133" s="226"/>
      <c r="EB133" s="226"/>
      <c r="EC133" s="226"/>
      <c r="ED133" s="226"/>
      <c r="EE133" s="226"/>
      <c r="EF133" s="226"/>
      <c r="EG133" s="226"/>
      <c r="EH133" s="226"/>
      <c r="EI133" s="226"/>
      <c r="EJ133" s="226"/>
      <c r="EK133" s="226"/>
      <c r="EL133" s="226"/>
      <c r="EM133" s="226"/>
      <c r="EN133" s="226"/>
      <c r="EO133" s="226"/>
      <c r="EP133" s="226"/>
      <c r="EQ133" s="226"/>
      <c r="ER133" s="226"/>
      <c r="ES133" s="226"/>
      <c r="ET133" s="226"/>
      <c r="EU133" s="226"/>
      <c r="EV133" s="226"/>
      <c r="EW133" s="226"/>
      <c r="EX133" s="226"/>
      <c r="EY133" s="226"/>
      <c r="EZ133" s="226"/>
      <c r="FA133" s="226"/>
      <c r="FB133" s="226"/>
      <c r="FC133" s="226"/>
      <c r="FD133" s="226"/>
      <c r="FE133" s="226"/>
      <c r="FF133" s="226"/>
      <c r="FG133" s="226"/>
      <c r="FH133" s="226"/>
      <c r="FI133" s="226"/>
      <c r="FJ133" s="226"/>
      <c r="FK133" s="226"/>
      <c r="FL133" s="226"/>
      <c r="FM133" s="226"/>
      <c r="FN133" s="226"/>
      <c r="FO133" s="226"/>
      <c r="FP133" s="226"/>
      <c r="FQ133" s="226"/>
      <c r="FR133" s="226"/>
      <c r="FS133" s="226"/>
      <c r="FT133" s="226"/>
      <c r="FU133" s="226"/>
      <c r="FV133" s="226"/>
      <c r="FW133" s="226"/>
      <c r="FX133" s="226"/>
      <c r="FY133" s="226"/>
      <c r="FZ133" s="226"/>
      <c r="GA133" s="226"/>
      <c r="GB133" s="226"/>
      <c r="GC133" s="226"/>
      <c r="GD133" s="226"/>
      <c r="GE133" s="226"/>
      <c r="GF133" s="226"/>
      <c r="GG133" s="226"/>
    </row>
    <row r="134" spans="1:189" ht="18.75">
      <c r="A134" s="762"/>
      <c r="B134" s="239"/>
      <c r="C134" s="686"/>
      <c r="D134" s="635"/>
      <c r="E134" s="636" t="s">
        <v>113</v>
      </c>
      <c r="F134" s="1443" t="e">
        <f>SUM(F103:F133)</f>
        <v>#REF!</v>
      </c>
    </row>
    <row r="135" spans="1:189" s="129" customFormat="1" ht="15.95" customHeight="1">
      <c r="A135" s="10"/>
      <c r="B135" s="12"/>
      <c r="C135" s="13"/>
      <c r="D135" s="76"/>
      <c r="E135" s="5"/>
      <c r="F135" s="66"/>
      <c r="G135" s="142"/>
      <c r="H135" s="255"/>
      <c r="I135" s="262"/>
      <c r="J135" s="255"/>
      <c r="L135" s="129">
        <f>17500/22</f>
        <v>795.4545454545455</v>
      </c>
    </row>
    <row r="136" spans="1:189" s="129" customFormat="1" ht="24.95" customHeight="1">
      <c r="A136" s="1972" t="e">
        <f>#REF!</f>
        <v>#REF!</v>
      </c>
      <c r="B136" s="1973"/>
      <c r="C136" s="1973"/>
      <c r="D136" s="1973"/>
      <c r="E136" s="1973"/>
      <c r="F136" s="1974"/>
      <c r="G136" s="142"/>
      <c r="H136" s="255"/>
      <c r="I136" s="262"/>
      <c r="J136" s="255"/>
    </row>
    <row r="137" spans="1:189" s="129" customFormat="1">
      <c r="A137" s="689" t="e">
        <f>#REF!</f>
        <v>#REF!</v>
      </c>
      <c r="B137" s="711" t="e">
        <f>#REF!</f>
        <v>#REF!</v>
      </c>
      <c r="C137" s="1478"/>
      <c r="D137" s="543"/>
      <c r="E137" s="665"/>
      <c r="F137" s="641"/>
      <c r="G137" s="142"/>
      <c r="H137" s="255"/>
      <c r="I137" s="262"/>
      <c r="J137" s="255"/>
    </row>
    <row r="138" spans="1:189" s="129" customFormat="1">
      <c r="A138" s="750" t="e">
        <f>#REF!</f>
        <v>#REF!</v>
      </c>
      <c r="B138" s="677" t="e">
        <f>#REF!</f>
        <v>#REF!</v>
      </c>
      <c r="C138" s="1525" t="e">
        <f>#REF!</f>
        <v>#REF!</v>
      </c>
      <c r="D138" s="1525">
        <f>J138</f>
        <v>61</v>
      </c>
      <c r="E138" s="526" t="e">
        <f>#REF!</f>
        <v>#REF!</v>
      </c>
      <c r="F138" s="633" t="e">
        <f>+D138*E138</f>
        <v>#REF!</v>
      </c>
      <c r="G138" s="142"/>
      <c r="H138" s="255">
        <f>2*I5/25</f>
        <v>55.2</v>
      </c>
      <c r="I138" s="262">
        <v>1.1000000000000001</v>
      </c>
      <c r="J138" s="255">
        <f>ROUND(H138*I138,0)</f>
        <v>61</v>
      </c>
    </row>
    <row r="139" spans="1:189" s="129" customFormat="1">
      <c r="A139" s="751" t="e">
        <f>#REF!</f>
        <v>#REF!</v>
      </c>
      <c r="B139" s="753" t="e">
        <f>#REF!</f>
        <v>#REF!</v>
      </c>
      <c r="C139" s="643" t="e">
        <f>#REF!</f>
        <v>#REF!</v>
      </c>
      <c r="D139" s="527"/>
      <c r="E139" s="744" t="e">
        <f>#REF!</f>
        <v>#REF!</v>
      </c>
      <c r="F139" s="527" t="e">
        <f>+D139*E139</f>
        <v>#REF!</v>
      </c>
      <c r="G139" s="142"/>
      <c r="H139" s="255"/>
      <c r="I139" s="262"/>
      <c r="J139" s="255"/>
    </row>
    <row r="140" spans="1:189" s="129" customFormat="1">
      <c r="A140" s="678" t="e">
        <f>+#REF!</f>
        <v>#REF!</v>
      </c>
      <c r="B140" s="678" t="e">
        <f>+#REF!</f>
        <v>#REF!</v>
      </c>
      <c r="C140" s="1684"/>
      <c r="D140" s="633"/>
      <c r="E140" s="526"/>
      <c r="F140" s="633"/>
      <c r="G140" s="142"/>
      <c r="H140" s="255"/>
      <c r="I140" s="262"/>
      <c r="J140" s="255"/>
    </row>
    <row r="141" spans="1:189" s="129" customFormat="1">
      <c r="A141" s="677" t="e">
        <f>+#REF!</f>
        <v>#REF!</v>
      </c>
      <c r="B141" s="677" t="e">
        <f>+#REF!</f>
        <v>#REF!</v>
      </c>
      <c r="C141" s="1684" t="s">
        <v>27</v>
      </c>
      <c r="D141" s="633">
        <v>13</v>
      </c>
      <c r="E141" s="526" t="e">
        <f>+#REF!</f>
        <v>#REF!</v>
      </c>
      <c r="F141" s="633" t="e">
        <f>+E141*D141</f>
        <v>#REF!</v>
      </c>
      <c r="G141" s="142"/>
      <c r="H141" s="255"/>
      <c r="I141" s="262"/>
      <c r="J141" s="255"/>
    </row>
    <row r="142" spans="1:189" s="129" customFormat="1">
      <c r="A142" s="677" t="e">
        <f>+#REF!</f>
        <v>#REF!</v>
      </c>
      <c r="B142" s="677" t="e">
        <f>+#REF!</f>
        <v>#REF!</v>
      </c>
      <c r="C142" s="1684" t="s">
        <v>27</v>
      </c>
      <c r="D142" s="633">
        <v>4</v>
      </c>
      <c r="E142" s="526" t="e">
        <f>+#REF!</f>
        <v>#REF!</v>
      </c>
      <c r="F142" s="633" t="e">
        <f>+E142*D142</f>
        <v>#REF!</v>
      </c>
      <c r="G142" s="142"/>
      <c r="H142" s="255"/>
      <c r="I142" s="262"/>
      <c r="J142" s="255"/>
    </row>
    <row r="143" spans="1:189" s="129" customFormat="1">
      <c r="A143" s="689" t="e">
        <f>#REF!</f>
        <v>#REF!</v>
      </c>
      <c r="B143" s="711" t="e">
        <f>#REF!</f>
        <v>#REF!</v>
      </c>
      <c r="C143" s="641"/>
      <c r="D143" s="641"/>
      <c r="E143" s="665"/>
      <c r="F143" s="641"/>
      <c r="G143" s="142"/>
      <c r="H143" s="255"/>
      <c r="I143" s="262"/>
      <c r="J143" s="255"/>
    </row>
    <row r="144" spans="1:189" s="129" customFormat="1">
      <c r="A144" s="751"/>
      <c r="B144" s="753"/>
      <c r="C144" s="1523" t="e">
        <f>#REF!</f>
        <v>#REF!</v>
      </c>
      <c r="D144" s="527">
        <f>J144</f>
        <v>168</v>
      </c>
      <c r="E144" s="744" t="e">
        <f>#REF!</f>
        <v>#REF!</v>
      </c>
      <c r="F144" s="527" t="e">
        <f>+D144*E144</f>
        <v>#REF!</v>
      </c>
      <c r="G144" s="142"/>
      <c r="H144" s="255">
        <f>20*2*4</f>
        <v>160</v>
      </c>
      <c r="I144" s="262">
        <v>1.05</v>
      </c>
      <c r="J144" s="255">
        <f>ROUND(H144*I144,0)</f>
        <v>168</v>
      </c>
    </row>
    <row r="145" spans="1:10">
      <c r="A145" s="689" t="e">
        <f>#REF!</f>
        <v>#REF!</v>
      </c>
      <c r="B145" s="711" t="e">
        <f>#REF!</f>
        <v>#REF!</v>
      </c>
      <c r="C145" s="641"/>
      <c r="D145" s="641"/>
      <c r="E145" s="665"/>
      <c r="F145" s="641"/>
    </row>
    <row r="146" spans="1:10">
      <c r="A146" s="751"/>
      <c r="B146" s="753"/>
      <c r="C146" s="643" t="e">
        <f>#REF!</f>
        <v>#REF!</v>
      </c>
      <c r="D146" s="527">
        <f>J146</f>
        <v>0</v>
      </c>
      <c r="E146" s="744" t="e">
        <f>#REF!</f>
        <v>#REF!</v>
      </c>
      <c r="F146" s="527" t="e">
        <f>+D146*E146</f>
        <v>#REF!</v>
      </c>
      <c r="I146" s="262">
        <v>1.05</v>
      </c>
      <c r="J146" s="255">
        <f>ROUND(H146*I146,0)</f>
        <v>0</v>
      </c>
    </row>
    <row r="147" spans="1:10">
      <c r="A147" s="711" t="e">
        <f>+#REF!</f>
        <v>#REF!</v>
      </c>
      <c r="B147" s="711" t="e">
        <f>+#REF!</f>
        <v>#REF!</v>
      </c>
      <c r="C147" s="641"/>
      <c r="D147" s="807"/>
      <c r="E147" s="641"/>
      <c r="F147" s="740"/>
    </row>
    <row r="148" spans="1:10">
      <c r="A148" s="753" t="e">
        <f>+#REF!</f>
        <v>#REF!</v>
      </c>
      <c r="B148" s="753" t="e">
        <f>+#REF!</f>
        <v>#REF!</v>
      </c>
      <c r="C148" s="652" t="s">
        <v>27</v>
      </c>
      <c r="D148" s="808">
        <f>+J148</f>
        <v>48.426000000000002</v>
      </c>
      <c r="E148" s="527" t="e">
        <f>+#REF!</f>
        <v>#REF!</v>
      </c>
      <c r="F148" s="741" t="e">
        <f>+D148*E148</f>
        <v>#REF!</v>
      </c>
      <c r="H148" s="255">
        <f>+F12/25</f>
        <v>46.12</v>
      </c>
      <c r="I148" s="262">
        <v>1.05</v>
      </c>
      <c r="J148" s="255">
        <f>+H148*I148</f>
        <v>48.426000000000002</v>
      </c>
    </row>
    <row r="149" spans="1:10" s="129" customFormat="1" ht="18.75">
      <c r="A149" s="500"/>
      <c r="B149" s="500"/>
      <c r="C149" s="686"/>
      <c r="D149" s="635"/>
      <c r="E149" s="636" t="s">
        <v>112</v>
      </c>
      <c r="F149" s="1122" t="e">
        <f>SUM(F137:F148)</f>
        <v>#REF!</v>
      </c>
      <c r="G149" s="142"/>
      <c r="H149" s="142"/>
      <c r="I149" s="262"/>
      <c r="J149" s="255"/>
    </row>
    <row r="150" spans="1:10" s="129" customFormat="1">
      <c r="A150" s="500"/>
      <c r="B150" s="500"/>
      <c r="C150" s="500"/>
      <c r="D150" s="737"/>
      <c r="E150" s="500"/>
      <c r="F150" s="1491"/>
      <c r="G150" s="142"/>
      <c r="H150" s="255"/>
      <c r="I150" s="262"/>
      <c r="J150" s="255"/>
    </row>
    <row r="151" spans="1:10" s="129" customFormat="1" ht="24.95" customHeight="1">
      <c r="A151" s="500"/>
      <c r="B151" s="500"/>
      <c r="C151" s="686"/>
      <c r="D151" s="635"/>
      <c r="E151" s="636" t="s">
        <v>527</v>
      </c>
      <c r="F151" s="1122" t="e">
        <f>+F55+F64+F100+F134+F149</f>
        <v>#REF!</v>
      </c>
      <c r="G151" s="142"/>
      <c r="H151" s="255"/>
      <c r="I151" s="142"/>
      <c r="J151" s="255"/>
    </row>
    <row r="152" spans="1:10">
      <c r="A152" s="500"/>
      <c r="B152" s="500"/>
      <c r="C152" s="500"/>
      <c r="D152" s="500"/>
      <c r="E152" s="500"/>
      <c r="F152" s="1491"/>
    </row>
    <row r="153" spans="1:10" ht="24.95" customHeight="1">
      <c r="A153" s="500"/>
      <c r="B153" s="500"/>
      <c r="C153" s="686"/>
      <c r="D153" s="635"/>
      <c r="E153" s="636" t="s">
        <v>528</v>
      </c>
      <c r="F153" s="1122" t="e">
        <f>F151+F37</f>
        <v>#REF!</v>
      </c>
    </row>
    <row r="158" spans="1:10">
      <c r="F158" s="1431">
        <v>2643531324.5017595</v>
      </c>
    </row>
    <row r="164" spans="1:6" ht="19.5">
      <c r="A164" s="90"/>
      <c r="D164" s="62"/>
      <c r="E164" s="62"/>
      <c r="F164" s="99"/>
    </row>
    <row r="165" spans="1:6" ht="26.25">
      <c r="B165" s="1859"/>
      <c r="C165" s="1859"/>
      <c r="D165" s="1859"/>
      <c r="E165" s="1859"/>
      <c r="F165" s="1859"/>
    </row>
  </sheetData>
  <mergeCells count="10">
    <mergeCell ref="A2:F2"/>
    <mergeCell ref="B165:F165"/>
    <mergeCell ref="A1:F1"/>
    <mergeCell ref="A15:F15"/>
    <mergeCell ref="A22:F22"/>
    <mergeCell ref="A39:F39"/>
    <mergeCell ref="A57:F57"/>
    <mergeCell ref="A66:F66"/>
    <mergeCell ref="A102:F102"/>
    <mergeCell ref="A136:F136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  <rowBreaks count="4" manualBreakCount="4">
    <brk id="37" min="5" max="5" man="1"/>
    <brk id="64" max="6" man="1"/>
    <brk id="100" max="5" man="1"/>
    <brk id="134" max="5" man="1"/>
  </rowBreaks>
  <colBreaks count="1" manualBreakCount="1">
    <brk id="6" max="1048575" man="1"/>
  </colBreaks>
  <legacy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tabColor theme="5" tint="-0.249977111117893"/>
  </sheetPr>
  <dimension ref="A1:GG180"/>
  <sheetViews>
    <sheetView view="pageBreakPreview" topLeftCell="A21" zoomScale="75" zoomScaleNormal="80" zoomScaleSheetLayoutView="75" workbookViewId="0">
      <selection activeCell="C21" sqref="C21"/>
    </sheetView>
  </sheetViews>
  <sheetFormatPr baseColWidth="10" defaultColWidth="9.140625" defaultRowHeight="15"/>
  <cols>
    <col min="1" max="1" width="14.7109375" style="421" customWidth="1"/>
    <col min="2" max="2" width="90.28515625" style="142" customWidth="1"/>
    <col min="3" max="3" width="11" style="142" customWidth="1"/>
    <col min="4" max="4" width="14.85546875" style="142" customWidth="1"/>
    <col min="5" max="5" width="20" style="142" customWidth="1"/>
    <col min="6" max="6" width="25.140625" style="142" customWidth="1"/>
    <col min="7" max="7" width="15" style="142" bestFit="1" customWidth="1"/>
    <col min="8" max="8" width="21.28515625" style="255" customWidth="1"/>
    <col min="9" max="9" width="23.140625" style="262" bestFit="1" customWidth="1"/>
    <col min="10" max="10" width="16" style="255" bestFit="1" customWidth="1"/>
    <col min="11" max="11" width="9.140625" style="129"/>
    <col min="12" max="12" width="9.28515625" style="129" bestFit="1" customWidth="1"/>
    <col min="13" max="14" width="9.140625" style="129"/>
    <col min="15" max="15" width="16.28515625" style="129" bestFit="1" customWidth="1"/>
    <col min="16" max="189" width="9.140625" style="129"/>
    <col min="190" max="16384" width="9.140625" style="142"/>
  </cols>
  <sheetData>
    <row r="1" spans="1:15" ht="20.25" thickBot="1">
      <c r="A1" s="1971" t="e">
        <f>+#REF!</f>
        <v>#REF!</v>
      </c>
      <c r="B1" s="1971"/>
      <c r="C1" s="1971"/>
      <c r="D1" s="1971"/>
      <c r="E1" s="1971"/>
      <c r="F1" s="1971"/>
    </row>
    <row r="2" spans="1:15" ht="25.5" thickBot="1">
      <c r="A2" s="1856" t="s">
        <v>441</v>
      </c>
      <c r="B2" s="1857"/>
      <c r="C2" s="1857"/>
      <c r="D2" s="1857"/>
      <c r="E2" s="1857"/>
      <c r="F2" s="1858"/>
      <c r="G2" s="119"/>
      <c r="L2" s="262"/>
      <c r="M2" s="255"/>
    </row>
    <row r="3" spans="1:15" ht="19.5">
      <c r="A3" s="434"/>
      <c r="D3" s="62"/>
      <c r="E3" s="99" t="s">
        <v>746</v>
      </c>
      <c r="F3" s="62">
        <v>650</v>
      </c>
      <c r="H3" s="255" t="s">
        <v>442</v>
      </c>
      <c r="I3" s="255" t="s">
        <v>443</v>
      </c>
      <c r="J3" s="255" t="s">
        <v>393</v>
      </c>
      <c r="K3" s="372">
        <v>10</v>
      </c>
      <c r="L3" s="262"/>
      <c r="M3" s="255"/>
      <c r="O3" s="371" t="s">
        <v>439</v>
      </c>
    </row>
    <row r="4" spans="1:15" s="129" customFormat="1" ht="19.5">
      <c r="A4" s="434"/>
      <c r="B4" s="142"/>
      <c r="C4" s="142"/>
      <c r="D4" s="62"/>
      <c r="E4" s="99" t="s">
        <v>747</v>
      </c>
      <c r="F4" s="62">
        <f>1000-650</f>
        <v>350</v>
      </c>
      <c r="G4" s="142"/>
      <c r="H4" s="255" t="s">
        <v>444</v>
      </c>
      <c r="I4" s="255" t="s">
        <v>445</v>
      </c>
      <c r="J4" s="255" t="s">
        <v>393</v>
      </c>
      <c r="K4" s="372">
        <v>15</v>
      </c>
      <c r="L4" s="262" t="s">
        <v>446</v>
      </c>
      <c r="M4" s="255"/>
      <c r="O4" s="371" t="s">
        <v>440</v>
      </c>
    </row>
    <row r="5" spans="1:15" s="129" customFormat="1" ht="19.5">
      <c r="A5" s="434"/>
      <c r="B5" s="142"/>
      <c r="C5" s="142"/>
      <c r="D5" s="62"/>
      <c r="E5" s="99" t="s">
        <v>748</v>
      </c>
      <c r="F5" s="62">
        <f>1525-1000</f>
        <v>525</v>
      </c>
      <c r="G5" s="142"/>
      <c r="H5" s="255" t="s">
        <v>445</v>
      </c>
      <c r="I5" s="255" t="s">
        <v>447</v>
      </c>
      <c r="J5" s="255" t="s">
        <v>393</v>
      </c>
      <c r="K5" s="372">
        <v>20</v>
      </c>
      <c r="L5" s="262"/>
      <c r="M5" s="255"/>
      <c r="O5" s="371"/>
    </row>
    <row r="6" spans="1:15" s="129" customFormat="1" ht="19.5">
      <c r="A6" s="434"/>
      <c r="B6" s="142"/>
      <c r="C6" s="142"/>
      <c r="D6" s="62"/>
      <c r="E6" s="99" t="s">
        <v>749</v>
      </c>
      <c r="F6" s="62">
        <f>2536-1525</f>
        <v>1011</v>
      </c>
      <c r="G6" s="142"/>
      <c r="H6" s="255" t="s">
        <v>447</v>
      </c>
      <c r="I6" s="255" t="s">
        <v>448</v>
      </c>
      <c r="J6" s="255" t="s">
        <v>393</v>
      </c>
      <c r="K6" s="372">
        <v>20</v>
      </c>
      <c r="L6" s="262" t="s">
        <v>450</v>
      </c>
      <c r="M6" s="255"/>
      <c r="O6" s="371">
        <v>12</v>
      </c>
    </row>
    <row r="7" spans="1:15" s="129" customFormat="1" ht="19.5">
      <c r="A7" s="434"/>
      <c r="B7" s="142"/>
      <c r="C7" s="142"/>
      <c r="D7" s="62"/>
      <c r="E7" s="99" t="s">
        <v>750</v>
      </c>
      <c r="F7" s="62">
        <v>300</v>
      </c>
      <c r="G7" s="142"/>
      <c r="H7" s="255" t="s">
        <v>442</v>
      </c>
      <c r="I7" s="255" t="s">
        <v>449</v>
      </c>
      <c r="J7" s="255" t="s">
        <v>393</v>
      </c>
      <c r="K7" s="372">
        <f>6+2+1+0.42+0.25+3.2+0.25</f>
        <v>13.120000000000001</v>
      </c>
    </row>
    <row r="8" spans="1:15" s="129" customFormat="1" ht="19.5">
      <c r="A8" s="434"/>
      <c r="B8" s="142"/>
      <c r="C8" s="142"/>
      <c r="D8" s="62"/>
      <c r="E8" s="99" t="s">
        <v>455</v>
      </c>
      <c r="F8" s="62">
        <f>2*(F5+F6)</f>
        <v>3072</v>
      </c>
      <c r="G8" s="142"/>
      <c r="H8" s="255" t="s">
        <v>456</v>
      </c>
      <c r="I8" s="255"/>
      <c r="J8" s="255"/>
      <c r="K8" s="372"/>
    </row>
    <row r="9" spans="1:15" s="129" customFormat="1" ht="19.5">
      <c r="A9" s="434"/>
      <c r="B9" s="142"/>
      <c r="C9" s="142"/>
      <c r="D9" s="62"/>
      <c r="E9" s="99" t="s">
        <v>454</v>
      </c>
      <c r="F9" s="62">
        <f>54*20*2</f>
        <v>2160</v>
      </c>
      <c r="G9" s="142"/>
      <c r="H9" s="129" t="s">
        <v>457</v>
      </c>
      <c r="I9" s="255"/>
      <c r="J9" s="255"/>
      <c r="K9" s="372"/>
    </row>
    <row r="10" spans="1:15" s="129" customFormat="1" ht="19.5">
      <c r="A10" s="434"/>
      <c r="B10" s="142"/>
      <c r="C10" s="142"/>
      <c r="D10" s="62"/>
      <c r="E10" s="99" t="s">
        <v>452</v>
      </c>
      <c r="F10" s="62">
        <f>54*10*2</f>
        <v>1080</v>
      </c>
      <c r="G10" s="142"/>
      <c r="H10" s="255" t="s">
        <v>453</v>
      </c>
      <c r="I10" s="255"/>
      <c r="J10" s="255"/>
      <c r="K10" s="372"/>
    </row>
    <row r="11" spans="1:15" s="129" customFormat="1" ht="19.5">
      <c r="A11" s="434"/>
      <c r="B11" s="142"/>
      <c r="C11" s="142"/>
      <c r="D11" s="62"/>
      <c r="E11" s="99" t="s">
        <v>451</v>
      </c>
      <c r="F11" s="62">
        <f>F3</f>
        <v>650</v>
      </c>
      <c r="G11" s="142"/>
      <c r="H11" s="255">
        <f>+F4+F5+F6+F7</f>
        <v>2186</v>
      </c>
      <c r="I11" s="255"/>
      <c r="J11" s="255"/>
      <c r="K11" s="372"/>
    </row>
    <row r="12" spans="1:15" s="129" customFormat="1" ht="19.5">
      <c r="A12" s="434"/>
      <c r="B12" s="142"/>
      <c r="C12" s="142"/>
      <c r="D12" s="62"/>
      <c r="E12" s="99" t="s">
        <v>752</v>
      </c>
      <c r="F12" s="62">
        <f>650+523</f>
        <v>1173</v>
      </c>
      <c r="G12" s="142"/>
      <c r="H12" s="255"/>
      <c r="I12" s="255"/>
      <c r="J12" s="255" t="s">
        <v>393</v>
      </c>
      <c r="K12" s="372">
        <v>6</v>
      </c>
    </row>
    <row r="13" spans="1:15" s="129" customFormat="1" ht="19.5">
      <c r="A13" s="434"/>
      <c r="B13" s="142"/>
      <c r="C13" s="142"/>
      <c r="D13" s="62"/>
      <c r="E13" s="99"/>
      <c r="F13" s="62"/>
      <c r="G13" s="142"/>
      <c r="H13" s="255"/>
      <c r="I13" s="255"/>
      <c r="J13" s="255"/>
      <c r="K13" s="372"/>
    </row>
    <row r="14" spans="1:15" s="129" customFormat="1" ht="15" customHeight="1">
      <c r="A14" s="106"/>
      <c r="B14" s="142"/>
      <c r="C14" s="142"/>
      <c r="D14" s="62"/>
      <c r="E14" s="99" t="s">
        <v>296</v>
      </c>
      <c r="F14" s="144">
        <f>F12+SUM(F3:F7)</f>
        <v>4009</v>
      </c>
      <c r="G14" s="89"/>
    </row>
    <row r="15" spans="1:15" s="129" customFormat="1" ht="15" customHeight="1">
      <c r="A15" s="106"/>
      <c r="B15" s="142"/>
      <c r="C15" s="142"/>
      <c r="D15" s="62"/>
      <c r="E15" s="525"/>
      <c r="F15" s="1469"/>
      <c r="G15" s="89"/>
    </row>
    <row r="16" spans="1:15" s="129" customFormat="1" ht="24.95" customHeight="1">
      <c r="A16" s="1410" t="s">
        <v>661</v>
      </c>
      <c r="B16" s="1411" t="s">
        <v>584</v>
      </c>
      <c r="C16" s="1409" t="s">
        <v>98</v>
      </c>
      <c r="D16" s="1402" t="s">
        <v>99</v>
      </c>
      <c r="E16" s="1403" t="s">
        <v>100</v>
      </c>
      <c r="F16" s="1403" t="s">
        <v>114</v>
      </c>
      <c r="G16" s="89"/>
      <c r="H16" s="255"/>
      <c r="I16" s="262"/>
      <c r="J16" s="255"/>
    </row>
    <row r="17" spans="1:189" s="129" customFormat="1" ht="24.95" customHeight="1">
      <c r="A17" s="1863" t="e">
        <f>#REF!</f>
        <v>#REF!</v>
      </c>
      <c r="B17" s="1864"/>
      <c r="C17" s="1864"/>
      <c r="D17" s="1864"/>
      <c r="E17" s="1864"/>
      <c r="F17" s="1865"/>
      <c r="G17" s="142"/>
      <c r="H17" s="255" t="s">
        <v>186</v>
      </c>
      <c r="I17" s="262" t="s">
        <v>187</v>
      </c>
      <c r="J17" s="255" t="s">
        <v>188</v>
      </c>
    </row>
    <row r="18" spans="1:189" s="495" customFormat="1" ht="38.25" customHeight="1">
      <c r="A18" s="678" t="e">
        <f>#REF!</f>
        <v>#REF!</v>
      </c>
      <c r="B18" s="748" t="e">
        <f>#REF!</f>
        <v>#REF!</v>
      </c>
      <c r="C18" s="1478"/>
      <c r="D18" s="543"/>
      <c r="E18" s="1492"/>
      <c r="F18" s="544"/>
      <c r="G18" s="456"/>
      <c r="H18" s="493"/>
      <c r="I18" s="494"/>
      <c r="J18" s="493"/>
    </row>
    <row r="19" spans="1:189" s="495" customFormat="1">
      <c r="A19" s="691"/>
      <c r="B19" s="691"/>
      <c r="C19" s="1493" t="e">
        <f>#REF!</f>
        <v>#REF!</v>
      </c>
      <c r="D19" s="546">
        <v>1</v>
      </c>
      <c r="E19" s="547" t="e">
        <f>J19</f>
        <v>#REF!</v>
      </c>
      <c r="F19" s="547" t="e">
        <f>+D19*E19</f>
        <v>#REF!</v>
      </c>
      <c r="G19" s="456"/>
      <c r="H19" s="700" t="e">
        <f>10%*F166</f>
        <v>#REF!</v>
      </c>
      <c r="I19" s="494">
        <v>1</v>
      </c>
      <c r="J19" s="493" t="e">
        <f>H19*I19</f>
        <v>#REF!</v>
      </c>
    </row>
    <row r="20" spans="1:189" s="495" customFormat="1">
      <c r="A20" s="683" t="e">
        <f>#REF!</f>
        <v>#REF!</v>
      </c>
      <c r="B20" s="683" t="e">
        <f>#REF!</f>
        <v>#REF!</v>
      </c>
      <c r="C20" s="1494"/>
      <c r="D20" s="660"/>
      <c r="E20" s="633"/>
      <c r="F20" s="633"/>
      <c r="G20" s="456"/>
      <c r="H20" s="493"/>
      <c r="I20" s="494"/>
      <c r="J20" s="493"/>
    </row>
    <row r="21" spans="1:189" s="495" customFormat="1">
      <c r="A21" s="691"/>
      <c r="B21" s="691"/>
      <c r="C21" s="1493" t="e">
        <f>#REF!</f>
        <v>#REF!</v>
      </c>
      <c r="D21" s="546">
        <v>1</v>
      </c>
      <c r="E21" s="527" t="e">
        <f>+G21</f>
        <v>#REF!</v>
      </c>
      <c r="F21" s="527" t="e">
        <f>+D21*E21</f>
        <v>#REF!</v>
      </c>
      <c r="G21" s="456" t="e">
        <f>+H19*0.06</f>
        <v>#REF!</v>
      </c>
      <c r="H21" s="493">
        <f>SUM(F3:F7)+F12</f>
        <v>4009</v>
      </c>
      <c r="I21" s="494">
        <v>1.1000000000000001</v>
      </c>
      <c r="J21" s="493">
        <f>H21*I21</f>
        <v>4409.9000000000005</v>
      </c>
    </row>
    <row r="22" spans="1:189" s="495" customFormat="1" ht="18.75">
      <c r="A22" s="685"/>
      <c r="B22" s="458"/>
      <c r="C22" s="1495"/>
      <c r="D22" s="635"/>
      <c r="E22" s="636" t="s">
        <v>108</v>
      </c>
      <c r="F22" s="637" t="e">
        <f>SUM(F18:F21)</f>
        <v>#REF!</v>
      </c>
      <c r="G22" s="456"/>
      <c r="H22" s="493"/>
      <c r="I22" s="494"/>
      <c r="J22" s="493"/>
    </row>
    <row r="23" spans="1:189" s="129" customFormat="1" ht="15" customHeight="1">
      <c r="A23" s="421"/>
      <c r="B23" s="142"/>
      <c r="C23" s="142"/>
      <c r="D23" s="75"/>
      <c r="E23" s="62"/>
      <c r="F23" s="62"/>
      <c r="G23" s="142"/>
      <c r="H23" s="255"/>
      <c r="I23" s="262"/>
      <c r="J23" s="255"/>
    </row>
    <row r="24" spans="1:189" s="129" customFormat="1" ht="24.95" customHeight="1">
      <c r="A24" s="1972" t="e">
        <f>#REF!</f>
        <v>#REF!</v>
      </c>
      <c r="B24" s="1973"/>
      <c r="C24" s="1973"/>
      <c r="D24" s="1973"/>
      <c r="E24" s="1973"/>
      <c r="F24" s="1974"/>
      <c r="G24" s="142"/>
      <c r="H24" s="255"/>
      <c r="I24" s="262"/>
      <c r="J24" s="255"/>
    </row>
    <row r="25" spans="1:189">
      <c r="A25" s="689" t="e">
        <f>#REF!</f>
        <v>#REF!</v>
      </c>
      <c r="B25" s="711" t="e">
        <f>#REF!</f>
        <v>#REF!</v>
      </c>
      <c r="C25" s="1478"/>
      <c r="D25" s="641"/>
      <c r="E25" s="641"/>
      <c r="F25" s="740"/>
    </row>
    <row r="26" spans="1:189">
      <c r="A26" s="1425"/>
      <c r="B26" s="691"/>
      <c r="C26" s="1480" t="e">
        <f>#REF!</f>
        <v>#REF!</v>
      </c>
      <c r="D26" s="527">
        <v>1</v>
      </c>
      <c r="E26" s="527" t="e">
        <f>+#REF!</f>
        <v>#REF!</v>
      </c>
      <c r="F26" s="741" t="e">
        <f>+D26*E26</f>
        <v>#REF!</v>
      </c>
    </row>
    <row r="27" spans="1:189" s="205" customFormat="1">
      <c r="A27" s="745" t="e">
        <f>#REF!</f>
        <v>#REF!</v>
      </c>
      <c r="B27" s="830" t="e">
        <f>#REF!</f>
        <v>#REF!</v>
      </c>
      <c r="C27" s="1478"/>
      <c r="D27" s="543"/>
      <c r="E27" s="544"/>
      <c r="F27" s="1136"/>
      <c r="H27" s="258"/>
      <c r="I27" s="264"/>
      <c r="J27" s="258"/>
    </row>
    <row r="28" spans="1:189" s="205" customFormat="1">
      <c r="A28" s="1432"/>
      <c r="B28" s="680"/>
      <c r="C28" s="1480" t="e">
        <f>#REF!</f>
        <v>#REF!</v>
      </c>
      <c r="D28" s="714">
        <v>1</v>
      </c>
      <c r="E28" s="547" t="e">
        <f>+H28</f>
        <v>#REF!</v>
      </c>
      <c r="F28" s="963" t="e">
        <f>+D28*E28</f>
        <v>#REF!</v>
      </c>
      <c r="H28" s="258" t="e">
        <f>+ROUND(F166*0.02,0)</f>
        <v>#REF!</v>
      </c>
      <c r="I28" s="258" t="e">
        <f>E28*1.1</f>
        <v>#REF!</v>
      </c>
      <c r="J28" s="264">
        <v>1.05</v>
      </c>
      <c r="K28" s="258" t="e">
        <f>I28*J28</f>
        <v>#REF!</v>
      </c>
    </row>
    <row r="29" spans="1:189" s="225" customFormat="1">
      <c r="A29" s="689" t="e">
        <f>#REF!</f>
        <v>#REF!</v>
      </c>
      <c r="B29" s="711" t="e">
        <f>#REF!</f>
        <v>#REF!</v>
      </c>
      <c r="C29" s="1524"/>
      <c r="D29" s="543"/>
      <c r="E29" s="641"/>
      <c r="F29" s="740"/>
      <c r="H29" s="259"/>
      <c r="I29" s="259"/>
      <c r="J29" s="265"/>
      <c r="K29" s="259"/>
      <c r="L29" s="226"/>
      <c r="M29" s="226"/>
      <c r="N29" s="226"/>
      <c r="O29" s="226"/>
      <c r="P29" s="226"/>
      <c r="Q29" s="226"/>
      <c r="R29" s="226"/>
      <c r="S29" s="226"/>
      <c r="T29" s="226"/>
      <c r="U29" s="226"/>
      <c r="V29" s="226"/>
      <c r="W29" s="226"/>
      <c r="X29" s="226"/>
      <c r="Y29" s="226"/>
      <c r="Z29" s="226"/>
      <c r="AA29" s="226"/>
      <c r="AB29" s="226"/>
      <c r="AC29" s="226"/>
      <c r="AD29" s="226"/>
      <c r="AE29" s="226"/>
      <c r="AF29" s="226"/>
      <c r="AG29" s="226"/>
      <c r="AH29" s="226"/>
      <c r="AI29" s="226"/>
      <c r="AJ29" s="226"/>
      <c r="AK29" s="226"/>
      <c r="AL29" s="226"/>
      <c r="AM29" s="226"/>
      <c r="AN29" s="226"/>
      <c r="AO29" s="226"/>
      <c r="AP29" s="226"/>
      <c r="AQ29" s="226"/>
      <c r="AR29" s="226"/>
      <c r="AS29" s="226"/>
      <c r="AT29" s="226"/>
      <c r="AU29" s="226"/>
      <c r="AV29" s="226"/>
      <c r="AW29" s="226"/>
      <c r="AX29" s="226"/>
      <c r="AY29" s="226"/>
      <c r="AZ29" s="226"/>
      <c r="BA29" s="226"/>
      <c r="BB29" s="226"/>
      <c r="BC29" s="226"/>
      <c r="BD29" s="226"/>
      <c r="BE29" s="226"/>
      <c r="BF29" s="226"/>
      <c r="BG29" s="226"/>
      <c r="BH29" s="226"/>
      <c r="BI29" s="226"/>
      <c r="BJ29" s="226"/>
      <c r="BK29" s="226"/>
      <c r="BL29" s="226"/>
      <c r="BM29" s="226"/>
      <c r="BN29" s="226"/>
      <c r="BO29" s="226"/>
      <c r="BP29" s="226"/>
      <c r="BQ29" s="226"/>
      <c r="BR29" s="226"/>
      <c r="BS29" s="226"/>
      <c r="BT29" s="226"/>
      <c r="BU29" s="226"/>
      <c r="BV29" s="226"/>
      <c r="BW29" s="226"/>
      <c r="BX29" s="226"/>
      <c r="BY29" s="226"/>
      <c r="BZ29" s="226"/>
      <c r="CA29" s="226"/>
      <c r="CB29" s="226"/>
      <c r="CC29" s="226"/>
      <c r="CD29" s="226"/>
      <c r="CE29" s="226"/>
      <c r="CF29" s="226"/>
      <c r="CG29" s="226"/>
      <c r="CH29" s="226"/>
      <c r="CI29" s="226"/>
      <c r="CJ29" s="226"/>
      <c r="CK29" s="226"/>
      <c r="CL29" s="226"/>
      <c r="CM29" s="226"/>
      <c r="CN29" s="226"/>
      <c r="CO29" s="226"/>
      <c r="CP29" s="226"/>
      <c r="CQ29" s="226"/>
      <c r="CR29" s="226"/>
      <c r="CS29" s="226"/>
      <c r="CT29" s="226"/>
      <c r="CU29" s="226"/>
      <c r="CV29" s="226"/>
      <c r="CW29" s="226"/>
      <c r="CX29" s="226"/>
      <c r="CY29" s="226"/>
      <c r="CZ29" s="226"/>
      <c r="DA29" s="226"/>
      <c r="DB29" s="226"/>
      <c r="DC29" s="226"/>
      <c r="DD29" s="226"/>
      <c r="DE29" s="226"/>
      <c r="DF29" s="226"/>
      <c r="DG29" s="226"/>
      <c r="DH29" s="226"/>
      <c r="DI29" s="226"/>
      <c r="DJ29" s="226"/>
      <c r="DK29" s="226"/>
      <c r="DL29" s="226"/>
      <c r="DM29" s="226"/>
      <c r="DN29" s="226"/>
      <c r="DO29" s="226"/>
      <c r="DP29" s="226"/>
      <c r="DQ29" s="226"/>
      <c r="DR29" s="226"/>
      <c r="DS29" s="226"/>
      <c r="DT29" s="226"/>
      <c r="DU29" s="226"/>
      <c r="DV29" s="226"/>
      <c r="DW29" s="226"/>
      <c r="DX29" s="226"/>
      <c r="DY29" s="226"/>
      <c r="DZ29" s="226"/>
      <c r="EA29" s="226"/>
      <c r="EB29" s="226"/>
      <c r="EC29" s="226"/>
      <c r="ED29" s="226"/>
      <c r="EE29" s="226"/>
      <c r="EF29" s="226"/>
      <c r="EG29" s="226"/>
      <c r="EH29" s="226"/>
      <c r="EI29" s="226"/>
      <c r="EJ29" s="226"/>
      <c r="EK29" s="226"/>
      <c r="EL29" s="226"/>
      <c r="EM29" s="226"/>
      <c r="EN29" s="226"/>
      <c r="EO29" s="226"/>
      <c r="EP29" s="226"/>
      <c r="EQ29" s="226"/>
      <c r="ER29" s="226"/>
      <c r="ES29" s="226"/>
      <c r="ET29" s="226"/>
      <c r="EU29" s="226"/>
      <c r="EV29" s="226"/>
      <c r="EW29" s="226"/>
      <c r="EX29" s="226"/>
      <c r="EY29" s="226"/>
      <c r="EZ29" s="226"/>
      <c r="FA29" s="226"/>
      <c r="FB29" s="226"/>
      <c r="FC29" s="226"/>
      <c r="FD29" s="226"/>
      <c r="FE29" s="226"/>
      <c r="FF29" s="226"/>
      <c r="FG29" s="226"/>
      <c r="FH29" s="226"/>
      <c r="FI29" s="226"/>
      <c r="FJ29" s="226"/>
      <c r="FK29" s="226"/>
      <c r="FL29" s="226"/>
      <c r="FM29" s="226"/>
      <c r="FN29" s="226"/>
      <c r="FO29" s="226"/>
      <c r="FP29" s="226"/>
      <c r="FQ29" s="226"/>
      <c r="FR29" s="226"/>
      <c r="FS29" s="226"/>
      <c r="FT29" s="226"/>
      <c r="FU29" s="226"/>
      <c r="FV29" s="226"/>
      <c r="FW29" s="226"/>
      <c r="FX29" s="226"/>
      <c r="FY29" s="226"/>
      <c r="FZ29" s="226"/>
      <c r="GA29" s="226"/>
      <c r="GB29" s="226"/>
      <c r="GC29" s="226"/>
      <c r="GD29" s="226"/>
      <c r="GE29" s="226"/>
      <c r="GF29" s="226"/>
      <c r="GG29" s="226"/>
    </row>
    <row r="30" spans="1:189" s="225" customFormat="1">
      <c r="A30" s="1425"/>
      <c r="B30" s="691"/>
      <c r="C30" s="1526" t="e">
        <f>#REF!</f>
        <v>#REF!</v>
      </c>
      <c r="D30" s="714">
        <v>1</v>
      </c>
      <c r="E30" s="527" t="e">
        <f>+H30</f>
        <v>#REF!</v>
      </c>
      <c r="F30" s="741" t="e">
        <f>+D30*E30</f>
        <v>#REF!</v>
      </c>
      <c r="H30" s="259" t="e">
        <f>ROUND(F166*0.01,0)</f>
        <v>#REF!</v>
      </c>
      <c r="I30" s="259"/>
      <c r="J30" s="265"/>
      <c r="K30" s="259"/>
      <c r="L30" s="226"/>
      <c r="M30" s="226"/>
      <c r="N30" s="226"/>
      <c r="O30" s="226"/>
      <c r="P30" s="226"/>
      <c r="Q30" s="226"/>
      <c r="R30" s="226"/>
      <c r="S30" s="226"/>
      <c r="T30" s="226"/>
      <c r="U30" s="226"/>
      <c r="V30" s="226"/>
      <c r="W30" s="226"/>
      <c r="X30" s="226"/>
      <c r="Y30" s="226"/>
      <c r="Z30" s="226"/>
      <c r="AA30" s="226"/>
      <c r="AB30" s="226"/>
      <c r="AC30" s="226"/>
      <c r="AD30" s="226"/>
      <c r="AE30" s="226"/>
      <c r="AF30" s="226"/>
      <c r="AG30" s="226"/>
      <c r="AH30" s="226"/>
      <c r="AI30" s="226"/>
      <c r="AJ30" s="226"/>
      <c r="AK30" s="226"/>
      <c r="AL30" s="226"/>
      <c r="AM30" s="226"/>
      <c r="AN30" s="226"/>
      <c r="AO30" s="226"/>
      <c r="AP30" s="226"/>
      <c r="AQ30" s="226"/>
      <c r="AR30" s="226"/>
      <c r="AS30" s="226"/>
      <c r="AT30" s="226"/>
      <c r="AU30" s="226"/>
      <c r="AV30" s="226"/>
      <c r="AW30" s="226"/>
      <c r="AX30" s="226"/>
      <c r="AY30" s="226"/>
      <c r="AZ30" s="226"/>
      <c r="BA30" s="226"/>
      <c r="BB30" s="226"/>
      <c r="BC30" s="226"/>
      <c r="BD30" s="226"/>
      <c r="BE30" s="226"/>
      <c r="BF30" s="226"/>
      <c r="BG30" s="226"/>
      <c r="BH30" s="226"/>
      <c r="BI30" s="226"/>
      <c r="BJ30" s="226"/>
      <c r="BK30" s="226"/>
      <c r="BL30" s="226"/>
      <c r="BM30" s="226"/>
      <c r="BN30" s="226"/>
      <c r="BO30" s="226"/>
      <c r="BP30" s="226"/>
      <c r="BQ30" s="226"/>
      <c r="BR30" s="226"/>
      <c r="BS30" s="226"/>
      <c r="BT30" s="226"/>
      <c r="BU30" s="226"/>
      <c r="BV30" s="226"/>
      <c r="BW30" s="226"/>
      <c r="BX30" s="226"/>
      <c r="BY30" s="226"/>
      <c r="BZ30" s="226"/>
      <c r="CA30" s="226"/>
      <c r="CB30" s="226"/>
      <c r="CC30" s="226"/>
      <c r="CD30" s="226"/>
      <c r="CE30" s="226"/>
      <c r="CF30" s="226"/>
      <c r="CG30" s="226"/>
      <c r="CH30" s="226"/>
      <c r="CI30" s="226"/>
      <c r="CJ30" s="226"/>
      <c r="CK30" s="226"/>
      <c r="CL30" s="226"/>
      <c r="CM30" s="226"/>
      <c r="CN30" s="226"/>
      <c r="CO30" s="226"/>
      <c r="CP30" s="226"/>
      <c r="CQ30" s="226"/>
      <c r="CR30" s="226"/>
      <c r="CS30" s="226"/>
      <c r="CT30" s="226"/>
      <c r="CU30" s="226"/>
      <c r="CV30" s="226"/>
      <c r="CW30" s="226"/>
      <c r="CX30" s="226"/>
      <c r="CY30" s="226"/>
      <c r="CZ30" s="226"/>
      <c r="DA30" s="226"/>
      <c r="DB30" s="226"/>
      <c r="DC30" s="226"/>
      <c r="DD30" s="226"/>
      <c r="DE30" s="226"/>
      <c r="DF30" s="226"/>
      <c r="DG30" s="226"/>
      <c r="DH30" s="226"/>
      <c r="DI30" s="226"/>
      <c r="DJ30" s="226"/>
      <c r="DK30" s="226"/>
      <c r="DL30" s="226"/>
      <c r="DM30" s="226"/>
      <c r="DN30" s="226"/>
      <c r="DO30" s="226"/>
      <c r="DP30" s="226"/>
      <c r="DQ30" s="226"/>
      <c r="DR30" s="226"/>
      <c r="DS30" s="226"/>
      <c r="DT30" s="226"/>
      <c r="DU30" s="226"/>
      <c r="DV30" s="226"/>
      <c r="DW30" s="226"/>
      <c r="DX30" s="226"/>
      <c r="DY30" s="226"/>
      <c r="DZ30" s="226"/>
      <c r="EA30" s="226"/>
      <c r="EB30" s="226"/>
      <c r="EC30" s="226"/>
      <c r="ED30" s="226"/>
      <c r="EE30" s="226"/>
      <c r="EF30" s="226"/>
      <c r="EG30" s="226"/>
      <c r="EH30" s="226"/>
      <c r="EI30" s="226"/>
      <c r="EJ30" s="226"/>
      <c r="EK30" s="226"/>
      <c r="EL30" s="226"/>
      <c r="EM30" s="226"/>
      <c r="EN30" s="226"/>
      <c r="EO30" s="226"/>
      <c r="EP30" s="226"/>
      <c r="EQ30" s="226"/>
      <c r="ER30" s="226"/>
      <c r="ES30" s="226"/>
      <c r="ET30" s="226"/>
      <c r="EU30" s="226"/>
      <c r="EV30" s="226"/>
      <c r="EW30" s="226"/>
      <c r="EX30" s="226"/>
      <c r="EY30" s="226"/>
      <c r="EZ30" s="226"/>
      <c r="FA30" s="226"/>
      <c r="FB30" s="226"/>
      <c r="FC30" s="226"/>
      <c r="FD30" s="226"/>
      <c r="FE30" s="226"/>
      <c r="FF30" s="226"/>
      <c r="FG30" s="226"/>
      <c r="FH30" s="226"/>
      <c r="FI30" s="226"/>
      <c r="FJ30" s="226"/>
      <c r="FK30" s="226"/>
      <c r="FL30" s="226"/>
      <c r="FM30" s="226"/>
      <c r="FN30" s="226"/>
      <c r="FO30" s="226"/>
      <c r="FP30" s="226"/>
      <c r="FQ30" s="226"/>
      <c r="FR30" s="226"/>
      <c r="FS30" s="226"/>
      <c r="FT30" s="226"/>
      <c r="FU30" s="226"/>
      <c r="FV30" s="226"/>
      <c r="FW30" s="226"/>
      <c r="FX30" s="226"/>
      <c r="FY30" s="226"/>
      <c r="FZ30" s="226"/>
      <c r="GA30" s="226"/>
      <c r="GB30" s="226"/>
      <c r="GC30" s="226"/>
      <c r="GD30" s="226"/>
      <c r="GE30" s="226"/>
      <c r="GF30" s="226"/>
      <c r="GG30" s="226"/>
    </row>
    <row r="31" spans="1:189">
      <c r="A31" s="689" t="e">
        <f>#REF!</f>
        <v>#REF!</v>
      </c>
      <c r="B31" s="711" t="e">
        <f>#REF!</f>
        <v>#REF!</v>
      </c>
      <c r="C31" s="641"/>
      <c r="D31" s="544"/>
      <c r="E31" s="641"/>
      <c r="F31" s="740"/>
      <c r="I31" s="255"/>
      <c r="J31" s="262"/>
      <c r="K31" s="258">
        <f t="shared" ref="K31:K32" si="0">ROUND(I31*J31,0)</f>
        <v>0</v>
      </c>
    </row>
    <row r="32" spans="1:189">
      <c r="A32" s="1425"/>
      <c r="B32" s="691"/>
      <c r="C32" s="643" t="e">
        <f>#REF!</f>
        <v>#REF!</v>
      </c>
      <c r="D32" s="527">
        <v>0</v>
      </c>
      <c r="E32" s="527">
        <v>15000000</v>
      </c>
      <c r="F32" s="741">
        <f>+D32*E32</f>
        <v>0</v>
      </c>
      <c r="I32" s="255">
        <f>15%*F14</f>
        <v>601.35</v>
      </c>
      <c r="J32" s="262">
        <f>1.05</f>
        <v>1.05</v>
      </c>
      <c r="K32" s="258">
        <f t="shared" si="0"/>
        <v>631</v>
      </c>
    </row>
    <row r="33" spans="1:189">
      <c r="A33" s="689" t="e">
        <f>#REF!</f>
        <v>#REF!</v>
      </c>
      <c r="B33" s="711" t="e">
        <f>#REF!</f>
        <v>#REF!</v>
      </c>
      <c r="C33" s="640"/>
      <c r="D33" s="641"/>
      <c r="E33" s="641"/>
      <c r="F33" s="740"/>
    </row>
    <row r="34" spans="1:189">
      <c r="A34" s="1425"/>
      <c r="B34" s="691"/>
      <c r="C34" s="643" t="e">
        <f>#REF!</f>
        <v>#REF!</v>
      </c>
      <c r="D34" s="1682">
        <v>0.2</v>
      </c>
      <c r="E34" s="527" t="e">
        <f>SUM(E26:E32)</f>
        <v>#REF!</v>
      </c>
      <c r="F34" s="741" t="e">
        <f>+D34*E34</f>
        <v>#REF!</v>
      </c>
    </row>
    <row r="35" spans="1:189">
      <c r="A35" s="689" t="e">
        <f>#REF!</f>
        <v>#REF!</v>
      </c>
      <c r="B35" s="711" t="e">
        <f>#REF!</f>
        <v>#REF!</v>
      </c>
      <c r="C35" s="640"/>
      <c r="D35" s="641"/>
      <c r="E35" s="641"/>
      <c r="F35" s="740"/>
    </row>
    <row r="36" spans="1:189">
      <c r="A36" s="1425"/>
      <c r="B36" s="691"/>
      <c r="C36" s="643" t="e">
        <f>#REF!</f>
        <v>#REF!</v>
      </c>
      <c r="D36" s="527">
        <v>50</v>
      </c>
      <c r="E36" s="527" t="e">
        <f>+#REF!</f>
        <v>#REF!</v>
      </c>
      <c r="F36" s="741" t="e">
        <f>+D36*E36</f>
        <v>#REF!</v>
      </c>
    </row>
    <row r="37" spans="1:189" ht="18.75">
      <c r="A37" s="1426"/>
      <c r="B37" s="500"/>
      <c r="C37" s="686"/>
      <c r="D37" s="635"/>
      <c r="E37" s="636" t="s">
        <v>106</v>
      </c>
      <c r="F37" s="1122" t="e">
        <f>SUM(F31:F36)+F30+F28+F26</f>
        <v>#REF!</v>
      </c>
    </row>
    <row r="38" spans="1:189">
      <c r="A38" s="1426"/>
      <c r="B38" s="500"/>
      <c r="C38" s="500"/>
      <c r="D38" s="500"/>
      <c r="E38" s="500"/>
      <c r="F38" s="500"/>
    </row>
    <row r="39" spans="1:189" ht="24.95" customHeight="1">
      <c r="A39" s="1426"/>
      <c r="B39" s="500"/>
      <c r="C39" s="686"/>
      <c r="D39" s="635"/>
      <c r="E39" s="636" t="s">
        <v>107</v>
      </c>
      <c r="F39" s="637" t="e">
        <f>+F22+F37</f>
        <v>#REF!</v>
      </c>
    </row>
    <row r="40" spans="1:189" s="114" customFormat="1" ht="15" customHeight="1">
      <c r="A40" s="438"/>
      <c r="C40" s="115"/>
      <c r="D40" s="116"/>
      <c r="E40" s="117"/>
      <c r="F40" s="118"/>
      <c r="H40" s="257"/>
      <c r="I40" s="263"/>
      <c r="J40" s="257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29"/>
      <c r="W40" s="129"/>
      <c r="X40" s="129"/>
      <c r="Y40" s="129"/>
      <c r="Z40" s="129"/>
      <c r="AA40" s="129"/>
      <c r="AB40" s="129"/>
      <c r="AC40" s="129"/>
      <c r="AD40" s="129"/>
      <c r="AE40" s="129"/>
      <c r="AF40" s="129"/>
      <c r="AG40" s="129"/>
      <c r="AH40" s="129"/>
      <c r="AI40" s="129"/>
      <c r="AJ40" s="129"/>
      <c r="AK40" s="129"/>
      <c r="AL40" s="129"/>
      <c r="AM40" s="129"/>
      <c r="AN40" s="129"/>
      <c r="AO40" s="129"/>
      <c r="AP40" s="129"/>
      <c r="AQ40" s="129"/>
      <c r="AR40" s="129"/>
      <c r="AS40" s="129"/>
      <c r="AT40" s="129"/>
      <c r="AU40" s="129"/>
      <c r="AV40" s="129"/>
      <c r="AW40" s="129"/>
      <c r="AX40" s="129"/>
      <c r="AY40" s="129"/>
      <c r="AZ40" s="129"/>
      <c r="BA40" s="129"/>
      <c r="BB40" s="129"/>
      <c r="BC40" s="129"/>
      <c r="BD40" s="129"/>
      <c r="BE40" s="129"/>
      <c r="BF40" s="129"/>
      <c r="BG40" s="129"/>
      <c r="BH40" s="129"/>
      <c r="BI40" s="129"/>
      <c r="BJ40" s="129"/>
      <c r="BK40" s="129"/>
      <c r="BL40" s="129"/>
      <c r="BM40" s="129"/>
      <c r="BN40" s="129"/>
      <c r="BO40" s="129"/>
      <c r="BP40" s="129"/>
      <c r="BQ40" s="129"/>
      <c r="BR40" s="129"/>
      <c r="BS40" s="129"/>
      <c r="BT40" s="129"/>
      <c r="BU40" s="129"/>
      <c r="BV40" s="129"/>
      <c r="BW40" s="129"/>
      <c r="BX40" s="129"/>
      <c r="BY40" s="129"/>
      <c r="BZ40" s="129"/>
      <c r="CA40" s="129"/>
      <c r="CB40" s="129"/>
      <c r="CC40" s="129"/>
      <c r="CD40" s="129"/>
      <c r="CE40" s="129"/>
      <c r="CF40" s="129"/>
      <c r="CG40" s="129"/>
      <c r="CH40" s="129"/>
      <c r="CI40" s="129"/>
      <c r="CJ40" s="129"/>
      <c r="CK40" s="129"/>
      <c r="CL40" s="129"/>
      <c r="CM40" s="129"/>
      <c r="CN40" s="129"/>
      <c r="CO40" s="129"/>
      <c r="CP40" s="129"/>
      <c r="CQ40" s="129"/>
      <c r="CR40" s="129"/>
      <c r="CS40" s="129"/>
      <c r="CT40" s="129"/>
      <c r="CU40" s="129"/>
      <c r="CV40" s="129"/>
      <c r="CW40" s="129"/>
      <c r="CX40" s="129"/>
      <c r="CY40" s="129"/>
      <c r="CZ40" s="129"/>
      <c r="DA40" s="129"/>
      <c r="DB40" s="129"/>
      <c r="DC40" s="129"/>
      <c r="DD40" s="129"/>
      <c r="DE40" s="129"/>
      <c r="DF40" s="129"/>
      <c r="DG40" s="129"/>
      <c r="DH40" s="129"/>
      <c r="DI40" s="129"/>
      <c r="DJ40" s="129"/>
      <c r="DK40" s="129"/>
      <c r="DL40" s="129"/>
      <c r="DM40" s="129"/>
      <c r="DN40" s="129"/>
      <c r="DO40" s="129"/>
      <c r="DP40" s="129"/>
      <c r="DQ40" s="129"/>
      <c r="DR40" s="129"/>
      <c r="DS40" s="129"/>
      <c r="DT40" s="129"/>
      <c r="DU40" s="129"/>
      <c r="DV40" s="129"/>
      <c r="DW40" s="129"/>
      <c r="DX40" s="129"/>
      <c r="DY40" s="129"/>
      <c r="DZ40" s="129"/>
      <c r="EA40" s="129"/>
      <c r="EB40" s="129"/>
      <c r="EC40" s="129"/>
      <c r="ED40" s="129"/>
      <c r="EE40" s="129"/>
      <c r="EF40" s="129"/>
      <c r="EG40" s="129"/>
      <c r="EH40" s="129"/>
      <c r="EI40" s="129"/>
      <c r="EJ40" s="129"/>
      <c r="EK40" s="129"/>
      <c r="EL40" s="129"/>
      <c r="EM40" s="129"/>
      <c r="EN40" s="129"/>
      <c r="EO40" s="129"/>
      <c r="EP40" s="129"/>
      <c r="EQ40" s="129"/>
      <c r="ER40" s="129"/>
      <c r="ES40" s="129"/>
      <c r="ET40" s="129"/>
      <c r="EU40" s="129"/>
      <c r="EV40" s="129"/>
      <c r="EW40" s="129"/>
      <c r="EX40" s="129"/>
      <c r="EY40" s="129"/>
      <c r="EZ40" s="129"/>
      <c r="FA40" s="129"/>
      <c r="FB40" s="129"/>
      <c r="FC40" s="129"/>
      <c r="FD40" s="129"/>
      <c r="FE40" s="129"/>
      <c r="FF40" s="129"/>
      <c r="FG40" s="129"/>
      <c r="FH40" s="129"/>
      <c r="FI40" s="129"/>
      <c r="FJ40" s="129"/>
      <c r="FK40" s="129"/>
      <c r="FL40" s="129"/>
      <c r="FM40" s="129"/>
      <c r="FN40" s="129"/>
      <c r="FO40" s="129"/>
      <c r="FP40" s="129"/>
      <c r="FQ40" s="129"/>
      <c r="FR40" s="129"/>
      <c r="FS40" s="129"/>
      <c r="FT40" s="129"/>
      <c r="FU40" s="129"/>
      <c r="FV40" s="129"/>
      <c r="FW40" s="129"/>
      <c r="FX40" s="129"/>
      <c r="FY40" s="129"/>
      <c r="FZ40" s="129"/>
      <c r="GA40" s="129"/>
      <c r="GB40" s="129"/>
      <c r="GC40" s="129"/>
      <c r="GD40" s="129"/>
      <c r="GE40" s="129"/>
      <c r="GF40" s="129"/>
      <c r="GG40" s="129"/>
    </row>
    <row r="41" spans="1:189" ht="24.95" customHeight="1">
      <c r="A41" s="1972" t="e">
        <f>#REF!</f>
        <v>#REF!</v>
      </c>
      <c r="B41" s="1973"/>
      <c r="C41" s="1973"/>
      <c r="D41" s="1973"/>
      <c r="E41" s="1973"/>
      <c r="F41" s="1974"/>
    </row>
    <row r="42" spans="1:189">
      <c r="A42" s="689" t="e">
        <f>#REF!</f>
        <v>#REF!</v>
      </c>
      <c r="B42" s="711" t="e">
        <f>#REF!</f>
        <v>#REF!</v>
      </c>
      <c r="C42" s="1407"/>
      <c r="D42" s="1416"/>
      <c r="E42" s="641"/>
      <c r="F42" s="740"/>
    </row>
    <row r="43" spans="1:189">
      <c r="A43" s="751"/>
      <c r="B43" s="753"/>
      <c r="C43" s="1408" t="e">
        <f>#REF!</f>
        <v>#REF!</v>
      </c>
      <c r="D43" s="1414">
        <v>1</v>
      </c>
      <c r="E43" s="527">
        <v>15672373</v>
      </c>
      <c r="F43" s="741">
        <f>+D43*E43</f>
        <v>15672373</v>
      </c>
    </row>
    <row r="44" spans="1:189">
      <c r="A44" s="689" t="e">
        <f>#REF!</f>
        <v>#REF!</v>
      </c>
      <c r="B44" s="711" t="e">
        <f>#REF!</f>
        <v>#REF!</v>
      </c>
      <c r="C44" s="1407"/>
      <c r="D44" s="1416"/>
      <c r="E44" s="641"/>
      <c r="F44" s="740"/>
    </row>
    <row r="45" spans="1:189">
      <c r="A45" s="639" t="e">
        <f>#REF!</f>
        <v>#REF!</v>
      </c>
      <c r="B45" s="681" t="e">
        <f>#REF!</f>
        <v>#REF!</v>
      </c>
      <c r="C45" s="1408" t="e">
        <f>#REF!</f>
        <v>#REF!</v>
      </c>
      <c r="D45" s="1414">
        <f>J45</f>
        <v>28058</v>
      </c>
      <c r="E45" s="527" t="e">
        <f>#REF!</f>
        <v>#REF!</v>
      </c>
      <c r="F45" s="741" t="e">
        <f>+D45*E45</f>
        <v>#REF!</v>
      </c>
      <c r="H45" s="255">
        <f>(F3*K3+F4*K4+F5*K5+F6*K6+F7*K7+F12*K12)*50%</f>
        <v>26722</v>
      </c>
      <c r="I45" s="262">
        <v>1.05</v>
      </c>
      <c r="J45" s="258">
        <f>ROUND(H45*I45,0)</f>
        <v>28058</v>
      </c>
    </row>
    <row r="46" spans="1:189">
      <c r="A46" s="689" t="e">
        <f>#REF!</f>
        <v>#REF!</v>
      </c>
      <c r="B46" s="711" t="e">
        <f>#REF!</f>
        <v>#REF!</v>
      </c>
      <c r="C46" s="1407"/>
      <c r="D46" s="1416"/>
      <c r="E46" s="641"/>
      <c r="F46" s="740"/>
    </row>
    <row r="47" spans="1:189">
      <c r="A47" s="751"/>
      <c r="B47" s="753"/>
      <c r="C47" s="1408" t="e">
        <f>#REF!</f>
        <v>#REF!</v>
      </c>
      <c r="D47" s="733">
        <f>J47</f>
        <v>84</v>
      </c>
      <c r="E47" s="527" t="e">
        <f>#REF!</f>
        <v>#REF!</v>
      </c>
      <c r="F47" s="741" t="e">
        <f>+D47*E47</f>
        <v>#REF!</v>
      </c>
      <c r="H47" s="255">
        <f>50%*F14/25</f>
        <v>80.180000000000007</v>
      </c>
      <c r="I47" s="262">
        <f>1.05</f>
        <v>1.05</v>
      </c>
      <c r="J47" s="258">
        <f>ROUND(H47*I47,0)</f>
        <v>84</v>
      </c>
    </row>
    <row r="48" spans="1:189">
      <c r="A48" s="689" t="e">
        <f>#REF!</f>
        <v>#REF!</v>
      </c>
      <c r="B48" s="711" t="e">
        <f>#REF!</f>
        <v>#REF!</v>
      </c>
      <c r="C48" s="1490"/>
      <c r="D48" s="739"/>
      <c r="E48" s="1287"/>
      <c r="F48" s="740"/>
    </row>
    <row r="49" spans="1:12">
      <c r="A49" s="750" t="e">
        <f>#REF!</f>
        <v>#REF!</v>
      </c>
      <c r="B49" s="677" t="e">
        <f>#REF!</f>
        <v>#REF!</v>
      </c>
      <c r="C49" s="1522" t="e">
        <f>#REF!</f>
        <v>#REF!</v>
      </c>
      <c r="D49" s="1457">
        <v>1</v>
      </c>
      <c r="E49" s="1289">
        <v>31570875.000000004</v>
      </c>
      <c r="F49" s="655">
        <f>+D49*E49</f>
        <v>31570875.000000004</v>
      </c>
      <c r="H49" s="262">
        <f>F14/1000</f>
        <v>4.0090000000000003</v>
      </c>
      <c r="I49" s="262">
        <v>1.05</v>
      </c>
      <c r="J49" s="277">
        <f>H49*I49</f>
        <v>4.2094500000000004</v>
      </c>
    </row>
    <row r="50" spans="1:12" s="129" customFormat="1">
      <c r="A50" s="750" t="e">
        <f>#REF!</f>
        <v>#REF!</v>
      </c>
      <c r="B50" s="677" t="e">
        <f>#REF!</f>
        <v>#REF!</v>
      </c>
      <c r="C50" s="1522" t="e">
        <f>#REF!</f>
        <v>#REF!</v>
      </c>
      <c r="D50" s="1457">
        <v>1</v>
      </c>
      <c r="E50" s="1289">
        <v>25256700.000000004</v>
      </c>
      <c r="F50" s="655">
        <f>+D50*E50</f>
        <v>25256700.000000004</v>
      </c>
      <c r="G50" s="142"/>
      <c r="H50" s="262">
        <f>H49</f>
        <v>4.0090000000000003</v>
      </c>
      <c r="I50" s="262">
        <v>1.05</v>
      </c>
      <c r="J50" s="277">
        <f>H50*I50</f>
        <v>4.2094500000000004</v>
      </c>
    </row>
    <row r="51" spans="1:12" s="129" customFormat="1">
      <c r="A51" s="750" t="e">
        <f>#REF!</f>
        <v>#REF!</v>
      </c>
      <c r="B51" s="677" t="e">
        <f>#REF!</f>
        <v>#REF!</v>
      </c>
      <c r="C51" s="1522" t="e">
        <f>#REF!</f>
        <v>#REF!</v>
      </c>
      <c r="D51" s="730">
        <f>J51</f>
        <v>2365</v>
      </c>
      <c r="E51" s="1289" t="e">
        <f>#REF!</f>
        <v>#REF!</v>
      </c>
      <c r="F51" s="655" t="e">
        <f>+D51*E51</f>
        <v>#REF!</v>
      </c>
      <c r="G51" s="142"/>
      <c r="H51" s="262">
        <f>+F3+F4*2+F7+500</f>
        <v>2150</v>
      </c>
      <c r="I51" s="262">
        <v>1.1000000000000001</v>
      </c>
      <c r="J51" s="277">
        <f>H51*I51</f>
        <v>2365</v>
      </c>
    </row>
    <row r="52" spans="1:12" s="129" customFormat="1">
      <c r="A52" s="751" t="e">
        <f>#REF!</f>
        <v>#REF!</v>
      </c>
      <c r="B52" s="753" t="e">
        <f>#REF!</f>
        <v>#REF!</v>
      </c>
      <c r="C52" s="1523" t="e">
        <f>#REF!</f>
        <v>#REF!</v>
      </c>
      <c r="D52" s="1459">
        <v>1</v>
      </c>
      <c r="E52" s="1288">
        <v>5181849.7878</v>
      </c>
      <c r="F52" s="655">
        <f>+D52*E52</f>
        <v>5181849.7878</v>
      </c>
      <c r="G52" s="142"/>
      <c r="H52" s="262">
        <f>H50</f>
        <v>4.0090000000000003</v>
      </c>
      <c r="I52" s="262">
        <v>1.05</v>
      </c>
      <c r="J52" s="277">
        <f>H52*I52</f>
        <v>4.2094500000000004</v>
      </c>
    </row>
    <row r="53" spans="1:12" s="129" customFormat="1">
      <c r="A53" s="689" t="e">
        <f>#REF!</f>
        <v>#REF!</v>
      </c>
      <c r="B53" s="711" t="e">
        <f>#REF!</f>
        <v>#REF!</v>
      </c>
      <c r="C53" s="1490"/>
      <c r="D53" s="739"/>
      <c r="E53" s="641"/>
      <c r="F53" s="740"/>
      <c r="G53" s="142"/>
      <c r="H53" s="255"/>
      <c r="I53" s="262"/>
      <c r="J53" s="255"/>
    </row>
    <row r="54" spans="1:12" s="129" customFormat="1">
      <c r="A54" s="751"/>
      <c r="B54" s="753"/>
      <c r="C54" s="1408" t="e">
        <f>#REF!</f>
        <v>#REF!</v>
      </c>
      <c r="D54" s="1414">
        <f>J54</f>
        <v>4312</v>
      </c>
      <c r="E54" s="527" t="e">
        <f>#REF!</f>
        <v>#REF!</v>
      </c>
      <c r="F54" s="741" t="e">
        <f>+D54*E54</f>
        <v>#REF!</v>
      </c>
      <c r="G54" s="142"/>
      <c r="H54" s="373">
        <f>F4*(4.5*2+2.2)</f>
        <v>3919.9999999999995</v>
      </c>
      <c r="I54" s="262">
        <v>1.1000000000000001</v>
      </c>
      <c r="J54" s="255">
        <f>H54*I54</f>
        <v>4312</v>
      </c>
    </row>
    <row r="55" spans="1:12" s="129" customFormat="1">
      <c r="A55" s="689" t="e">
        <f>#REF!</f>
        <v>#REF!</v>
      </c>
      <c r="B55" s="711" t="e">
        <f>#REF!</f>
        <v>#REF!</v>
      </c>
      <c r="C55" s="1490"/>
      <c r="D55" s="739"/>
      <c r="E55" s="641"/>
      <c r="F55" s="740"/>
      <c r="G55" s="142"/>
      <c r="H55" s="255"/>
      <c r="I55" s="262"/>
      <c r="J55" s="255"/>
    </row>
    <row r="56" spans="1:12" s="129" customFormat="1">
      <c r="A56" s="750" t="e">
        <f>#REF!</f>
        <v>#REF!</v>
      </c>
      <c r="B56" s="677" t="e">
        <f>#REF!</f>
        <v>#REF!</v>
      </c>
      <c r="C56" s="1486" t="e">
        <f>#REF!</f>
        <v>#REF!</v>
      </c>
      <c r="D56" s="738">
        <f>J56</f>
        <v>5731</v>
      </c>
      <c r="E56" s="633" t="e">
        <f>#REF!</f>
        <v>#REF!</v>
      </c>
      <c r="F56" s="655" t="e">
        <f>+D56*E56</f>
        <v>#REF!</v>
      </c>
      <c r="G56" s="142"/>
      <c r="H56" s="255">
        <f>F14+300+300*2+65*2+300*2+92</f>
        <v>5731</v>
      </c>
      <c r="I56" s="262">
        <v>1</v>
      </c>
      <c r="J56" s="255">
        <f>H56*I56</f>
        <v>5731</v>
      </c>
    </row>
    <row r="57" spans="1:12" s="129" customFormat="1">
      <c r="A57" s="751" t="e">
        <f>#REF!</f>
        <v>#REF!</v>
      </c>
      <c r="B57" s="753" t="e">
        <f>#REF!</f>
        <v>#REF!</v>
      </c>
      <c r="C57" s="1482" t="e">
        <f>#REF!</f>
        <v>#REF!</v>
      </c>
      <c r="D57" s="1415">
        <f>J57</f>
        <v>0</v>
      </c>
      <c r="E57" s="527" t="e">
        <f>#REF!</f>
        <v>#REF!</v>
      </c>
      <c r="F57" s="741" t="e">
        <f>+D57*E57</f>
        <v>#REF!</v>
      </c>
      <c r="G57" s="142"/>
      <c r="H57" s="255">
        <f>F7*0</f>
        <v>0</v>
      </c>
      <c r="I57" s="262">
        <v>1</v>
      </c>
      <c r="J57" s="255">
        <f>H57*I57</f>
        <v>0</v>
      </c>
    </row>
    <row r="58" spans="1:12" s="129" customFormat="1" ht="18.75">
      <c r="A58" s="709"/>
      <c r="B58" s="464"/>
      <c r="C58" s="686"/>
      <c r="D58" s="635"/>
      <c r="E58" s="636" t="s">
        <v>111</v>
      </c>
      <c r="F58" s="1122" t="e">
        <f>SUM(F42:F57)</f>
        <v>#REF!</v>
      </c>
      <c r="G58" s="142"/>
      <c r="H58" s="255"/>
      <c r="I58" s="262"/>
      <c r="J58" s="255"/>
    </row>
    <row r="59" spans="1:12" s="129" customFormat="1" ht="15.95" customHeight="1">
      <c r="A59" s="406"/>
      <c r="B59" s="40"/>
      <c r="C59" s="51"/>
      <c r="D59" s="76"/>
      <c r="E59" s="66"/>
      <c r="F59" s="66"/>
      <c r="G59" s="142"/>
      <c r="H59" s="255"/>
      <c r="I59" s="262"/>
      <c r="J59" s="255"/>
    </row>
    <row r="60" spans="1:12" s="129" customFormat="1" ht="24.95" customHeight="1">
      <c r="A60" s="1972" t="e">
        <f>#REF!</f>
        <v>#REF!</v>
      </c>
      <c r="B60" s="1973"/>
      <c r="C60" s="1973"/>
      <c r="D60" s="1973"/>
      <c r="E60" s="1973"/>
      <c r="F60" s="1974"/>
      <c r="G60" s="142"/>
      <c r="H60" s="255"/>
      <c r="I60" s="262"/>
      <c r="J60" s="255"/>
    </row>
    <row r="61" spans="1:12" s="129" customFormat="1">
      <c r="A61" s="689" t="e">
        <f>#REF!</f>
        <v>#REF!</v>
      </c>
      <c r="B61" s="711" t="e">
        <f>#REF!</f>
        <v>#REF!</v>
      </c>
      <c r="C61" s="1490"/>
      <c r="D61" s="807"/>
      <c r="E61" s="641"/>
      <c r="F61" s="740"/>
      <c r="G61" s="142"/>
      <c r="H61" s="255"/>
      <c r="I61" s="262"/>
      <c r="J61" s="255"/>
    </row>
    <row r="62" spans="1:12" s="129" customFormat="1">
      <c r="A62" s="751" t="e">
        <f>#REF!</f>
        <v>#REF!</v>
      </c>
      <c r="B62" s="753" t="e">
        <f>#REF!</f>
        <v>#REF!</v>
      </c>
      <c r="C62" s="1408" t="e">
        <f>#REF!</f>
        <v>#REF!</v>
      </c>
      <c r="D62" s="1483">
        <f>J62</f>
        <v>40615.685000000005</v>
      </c>
      <c r="E62" s="527" t="e">
        <f>#REF!</f>
        <v>#REF!</v>
      </c>
      <c r="F62" s="741" t="e">
        <f>+D62*E62</f>
        <v>#REF!</v>
      </c>
      <c r="G62" s="142"/>
      <c r="H62" s="268">
        <f>(F3*K3+50%*F4*K4+F5*K5+F6*K6+F7*K7)*0.35+54*20*20</f>
        <v>36923.35</v>
      </c>
      <c r="I62" s="262">
        <v>1.1000000000000001</v>
      </c>
      <c r="J62" s="255">
        <f>H62*I62</f>
        <v>40615.685000000005</v>
      </c>
    </row>
    <row r="63" spans="1:12" s="129" customFormat="1">
      <c r="A63" s="689" t="e">
        <f>#REF!</f>
        <v>#REF!</v>
      </c>
      <c r="B63" s="711" t="e">
        <f>#REF!</f>
        <v>#REF!</v>
      </c>
      <c r="C63" s="1490"/>
      <c r="D63" s="1496"/>
      <c r="E63" s="641"/>
      <c r="F63" s="740"/>
      <c r="G63" s="142"/>
      <c r="H63" s="255"/>
      <c r="I63" s="262"/>
      <c r="J63" s="255"/>
      <c r="L63" s="270"/>
    </row>
    <row r="64" spans="1:12" s="129" customFormat="1">
      <c r="A64" s="751"/>
      <c r="B64" s="753"/>
      <c r="C64" s="1408" t="e">
        <f>#REF!</f>
        <v>#REF!</v>
      </c>
      <c r="D64" s="1414">
        <f>J64</f>
        <v>24369.411</v>
      </c>
      <c r="E64" s="527" t="e">
        <f>#REF!</f>
        <v>#REF!</v>
      </c>
      <c r="F64" s="741" t="e">
        <f>+D64*E64</f>
        <v>#REF!</v>
      </c>
      <c r="G64" s="142"/>
      <c r="H64" s="255">
        <f>60%*H62</f>
        <v>22154.01</v>
      </c>
      <c r="I64" s="262">
        <v>1.1000000000000001</v>
      </c>
      <c r="J64" s="255">
        <f>H64*I64</f>
        <v>24369.411</v>
      </c>
      <c r="K64" s="270"/>
    </row>
    <row r="65" spans="1:11" s="205" customFormat="1">
      <c r="A65" s="745" t="e">
        <f>#REF!</f>
        <v>#REF!</v>
      </c>
      <c r="B65" s="830" t="e">
        <f>#REF!</f>
        <v>#REF!</v>
      </c>
      <c r="C65" s="1497"/>
      <c r="D65" s="1484"/>
      <c r="E65" s="544"/>
      <c r="F65" s="1136"/>
      <c r="H65" s="258"/>
      <c r="I65" s="264"/>
      <c r="J65" s="258"/>
    </row>
    <row r="66" spans="1:11" s="205" customFormat="1">
      <c r="A66" s="639"/>
      <c r="B66" s="681"/>
      <c r="C66" s="1523" t="e">
        <f>#REF!</f>
        <v>#REF!</v>
      </c>
      <c r="D66" s="1414">
        <f>J66</f>
        <v>12566.4</v>
      </c>
      <c r="E66" s="547" t="e">
        <f>#REF!</f>
        <v>#REF!</v>
      </c>
      <c r="F66" s="963" t="e">
        <f>+D66*E66</f>
        <v>#REF!</v>
      </c>
      <c r="H66" s="1699">
        <f>2*F7*K7+F3*4*1</f>
        <v>10472</v>
      </c>
      <c r="I66" s="264">
        <v>1.2</v>
      </c>
      <c r="J66" s="258">
        <f>H66*I66</f>
        <v>12566.4</v>
      </c>
      <c r="K66" s="320" t="s">
        <v>312</v>
      </c>
    </row>
    <row r="67" spans="1:11" s="205" customFormat="1">
      <c r="A67" s="745" t="e">
        <f>#REF!</f>
        <v>#REF!</v>
      </c>
      <c r="B67" s="830" t="e">
        <f>#REF!</f>
        <v>#REF!</v>
      </c>
      <c r="C67" s="1497"/>
      <c r="D67" s="1484"/>
      <c r="E67" s="544"/>
      <c r="F67" s="1136"/>
      <c r="H67" s="258"/>
      <c r="I67" s="264"/>
      <c r="J67" s="258"/>
    </row>
    <row r="68" spans="1:11" s="205" customFormat="1">
      <c r="A68" s="639"/>
      <c r="B68" s="681"/>
      <c r="C68" s="1523" t="e">
        <f>#REF!</f>
        <v>#REF!</v>
      </c>
      <c r="D68" s="1414">
        <f>J68</f>
        <v>48726.3</v>
      </c>
      <c r="E68" s="547" t="e">
        <f>#REF!</f>
        <v>#REF!</v>
      </c>
      <c r="F68" s="963" t="e">
        <f>D68*E68</f>
        <v>#REF!</v>
      </c>
      <c r="H68" s="278">
        <f>F3*K3+F4*K4+F5*K5+F6*K6+F7*K7</f>
        <v>46406</v>
      </c>
      <c r="I68" s="264">
        <v>1.05</v>
      </c>
      <c r="J68" s="258">
        <f>H68*I68</f>
        <v>48726.3</v>
      </c>
    </row>
    <row r="69" spans="1:11" s="129" customFormat="1" ht="18.75">
      <c r="A69" s="1426"/>
      <c r="B69" s="500"/>
      <c r="C69" s="686"/>
      <c r="D69" s="635"/>
      <c r="E69" s="636" t="s">
        <v>110</v>
      </c>
      <c r="F69" s="1122" t="e">
        <f>SUM(F61:F68)</f>
        <v>#REF!</v>
      </c>
      <c r="G69" s="142"/>
      <c r="H69" s="259"/>
      <c r="I69" s="265"/>
      <c r="J69" s="259"/>
    </row>
    <row r="70" spans="1:11" s="129" customFormat="1" ht="15.95" customHeight="1">
      <c r="A70" s="421"/>
      <c r="B70" s="18"/>
      <c r="C70" s="48"/>
      <c r="D70" s="111"/>
      <c r="E70" s="142"/>
      <c r="F70" s="112"/>
      <c r="G70" s="142"/>
      <c r="H70" s="259">
        <f>(50%*F4*9.84+F5*9.84+F6*9.84+F7*6.42+54*9.84*20)*0.15</f>
        <v>4408.4159999999993</v>
      </c>
      <c r="I70" s="265" t="s">
        <v>243</v>
      </c>
      <c r="J70" s="259"/>
    </row>
    <row r="71" spans="1:11" s="129" customFormat="1" ht="24.95" customHeight="1">
      <c r="A71" s="1972" t="e">
        <f>#REF!</f>
        <v>#REF!</v>
      </c>
      <c r="B71" s="1973"/>
      <c r="C71" s="1973"/>
      <c r="D71" s="1973"/>
      <c r="E71" s="1973"/>
      <c r="F71" s="1974"/>
      <c r="G71" s="142"/>
      <c r="H71" s="259">
        <f>(+F4*9.84+F5*9.84+F6*9.84+F7*6.42+54*9.84*20)*0.2</f>
        <v>6222.2880000000005</v>
      </c>
      <c r="I71" s="265" t="s">
        <v>244</v>
      </c>
      <c r="J71" s="259"/>
    </row>
    <row r="72" spans="1:11" s="129" customFormat="1">
      <c r="A72" s="689" t="e">
        <f>#REF!</f>
        <v>#REF!</v>
      </c>
      <c r="B72" s="711" t="e">
        <f>#REF!</f>
        <v>#REF!</v>
      </c>
      <c r="C72" s="1478"/>
      <c r="D72" s="742"/>
      <c r="E72" s="544"/>
      <c r="F72" s="544"/>
      <c r="G72" s="142"/>
      <c r="H72" s="145">
        <f>0.2*F3*K3+(K4-9-0.9-1.1)*F4*0.2+(K5-9.84-0.6*2)*F5*0.2+(K6-9.84-0.6*2)*F6*0.2+F7*5*0.2+54*20*(20-9.84)*0.2+F12*(K12-0.8)*0.8</f>
        <v>11706.752</v>
      </c>
      <c r="I72" s="265" t="s">
        <v>245</v>
      </c>
      <c r="J72" s="259"/>
    </row>
    <row r="73" spans="1:11" s="129" customFormat="1">
      <c r="A73" s="751" t="e">
        <f>#REF!</f>
        <v>#REF!</v>
      </c>
      <c r="B73" s="753" t="e">
        <f>#REF!</f>
        <v>#REF!</v>
      </c>
      <c r="C73" s="1523" t="e">
        <f>#REF!</f>
        <v>#REF!</v>
      </c>
      <c r="D73" s="1414">
        <f>J73</f>
        <v>24571.2016</v>
      </c>
      <c r="E73" s="547" t="e">
        <f>#REF!</f>
        <v>#REF!</v>
      </c>
      <c r="F73" s="547" t="e">
        <f>+D73*E73</f>
        <v>#REF!</v>
      </c>
      <c r="G73" s="142"/>
      <c r="H73" s="145">
        <f>SUM(H70:H72)</f>
        <v>22337.455999999998</v>
      </c>
      <c r="I73" s="265">
        <f>1.1</f>
        <v>1.1000000000000001</v>
      </c>
      <c r="J73" s="259">
        <f>H73*I73</f>
        <v>24571.2016</v>
      </c>
    </row>
    <row r="74" spans="1:11" s="129" customFormat="1">
      <c r="A74" s="689" t="e">
        <f>#REF!</f>
        <v>#REF!</v>
      </c>
      <c r="B74" s="711" t="e">
        <f>#REF!</f>
        <v>#REF!</v>
      </c>
      <c r="C74" s="640"/>
      <c r="D74" s="807"/>
      <c r="E74" s="641"/>
      <c r="F74" s="641"/>
      <c r="G74" s="142"/>
      <c r="H74" s="259"/>
      <c r="I74" s="265"/>
      <c r="J74" s="259"/>
    </row>
    <row r="75" spans="1:11" s="129" customFormat="1">
      <c r="A75" s="751"/>
      <c r="B75" s="753"/>
      <c r="C75" s="1523" t="e">
        <f>#REF!</f>
        <v>#REF!</v>
      </c>
      <c r="D75" s="808">
        <f>J75</f>
        <v>67488.623999999996</v>
      </c>
      <c r="E75" s="527" t="e">
        <f>#REF!</f>
        <v>#REF!</v>
      </c>
      <c r="F75" s="527" t="e">
        <f>+D75*E75</f>
        <v>#REF!</v>
      </c>
      <c r="G75" s="142"/>
      <c r="H75" s="259">
        <f>(F4*9.84+F5*9.84+F6*9.84+F7*9.84+54*20*9.84)*2</f>
        <v>64274.879999999997</v>
      </c>
      <c r="I75" s="265">
        <f>1.05</f>
        <v>1.05</v>
      </c>
      <c r="J75" s="259">
        <f>H75*I75</f>
        <v>67488.623999999996</v>
      </c>
      <c r="K75" s="129" t="s">
        <v>261</v>
      </c>
    </row>
    <row r="76" spans="1:11" s="129" customFormat="1">
      <c r="A76" s="689" t="e">
        <f>#REF!</f>
        <v>#REF!</v>
      </c>
      <c r="B76" s="711" t="e">
        <f>#REF!</f>
        <v>#REF!</v>
      </c>
      <c r="C76" s="640"/>
      <c r="D76" s="807"/>
      <c r="E76" s="641"/>
      <c r="F76" s="641"/>
      <c r="G76" s="142"/>
      <c r="H76" s="255"/>
      <c r="I76" s="262"/>
      <c r="J76" s="255"/>
    </row>
    <row r="77" spans="1:11" s="129" customFormat="1">
      <c r="A77" s="751"/>
      <c r="B77" s="753"/>
      <c r="C77" s="1523" t="e">
        <f>#REF!</f>
        <v>#REF!</v>
      </c>
      <c r="D77" s="808">
        <f>+D75</f>
        <v>67488.623999999996</v>
      </c>
      <c r="E77" s="527" t="e">
        <f>#REF!</f>
        <v>#REF!</v>
      </c>
      <c r="F77" s="527" t="e">
        <f>+D77*E77</f>
        <v>#REF!</v>
      </c>
      <c r="G77" s="142"/>
      <c r="H77" s="255"/>
      <c r="I77" s="262"/>
      <c r="J77" s="255"/>
    </row>
    <row r="78" spans="1:11" s="129" customFormat="1">
      <c r="A78" s="689" t="e">
        <f>#REF!</f>
        <v>#REF!</v>
      </c>
      <c r="B78" s="711" t="e">
        <f>#REF!</f>
        <v>#REF!</v>
      </c>
      <c r="C78" s="640"/>
      <c r="D78" s="807"/>
      <c r="E78" s="641"/>
      <c r="F78" s="641"/>
      <c r="G78" s="142"/>
      <c r="H78" s="255"/>
      <c r="I78" s="262"/>
      <c r="J78" s="255"/>
    </row>
    <row r="79" spans="1:11" s="129" customFormat="1">
      <c r="A79" s="751"/>
      <c r="B79" s="753"/>
      <c r="C79" s="1523" t="e">
        <f>#REF!</f>
        <v>#REF!</v>
      </c>
      <c r="D79" s="1420">
        <f>J79</f>
        <v>451311.58799999999</v>
      </c>
      <c r="E79" s="527" t="e">
        <f>#REF!</f>
        <v>#REF!</v>
      </c>
      <c r="F79" s="527" t="e">
        <f>+D79*E79</f>
        <v>#REF!</v>
      </c>
      <c r="G79" s="142"/>
      <c r="H79" s="255">
        <f>1950*H70*5%</f>
        <v>429820.56</v>
      </c>
      <c r="I79" s="262">
        <f>1.05</f>
        <v>1.05</v>
      </c>
      <c r="J79" s="255">
        <f>H79*I79</f>
        <v>451311.58799999999</v>
      </c>
    </row>
    <row r="80" spans="1:11" s="129" customFormat="1">
      <c r="A80" s="689" t="e">
        <f>#REF!</f>
        <v>#REF!</v>
      </c>
      <c r="B80" s="711" t="e">
        <f>#REF!</f>
        <v>#REF!</v>
      </c>
      <c r="C80" s="1407"/>
      <c r="D80" s="1416"/>
      <c r="E80" s="641"/>
      <c r="F80" s="641"/>
      <c r="G80" s="142"/>
      <c r="H80" s="255"/>
      <c r="I80" s="262"/>
      <c r="J80" s="255"/>
    </row>
    <row r="81" spans="1:11" s="129" customFormat="1">
      <c r="A81" s="755" t="e">
        <f>#REF!</f>
        <v>#REF!</v>
      </c>
      <c r="B81" s="678" t="e">
        <f>#REF!</f>
        <v>#REF!</v>
      </c>
      <c r="C81" s="1485"/>
      <c r="D81" s="730"/>
      <c r="E81" s="633"/>
      <c r="F81" s="633"/>
      <c r="G81" s="142"/>
      <c r="H81" s="255"/>
      <c r="I81" s="262"/>
      <c r="J81" s="255"/>
    </row>
    <row r="82" spans="1:11" s="129" customFormat="1">
      <c r="A82" s="750" t="e">
        <f>#REF!</f>
        <v>#REF!</v>
      </c>
      <c r="B82" s="677" t="e">
        <f>#REF!</f>
        <v>#REF!</v>
      </c>
      <c r="C82" s="1485" t="e">
        <f>#REF!</f>
        <v>#REF!</v>
      </c>
      <c r="D82" s="633"/>
      <c r="E82" s="633" t="e">
        <f>#REF!</f>
        <v>#REF!</v>
      </c>
      <c r="F82" s="633" t="e">
        <f>+D82*E82</f>
        <v>#REF!</v>
      </c>
      <c r="G82" s="142"/>
    </row>
    <row r="83" spans="1:11" s="129" customFormat="1">
      <c r="A83" s="750" t="e">
        <f>#REF!</f>
        <v>#REF!</v>
      </c>
      <c r="B83" s="677" t="e">
        <f>#REF!</f>
        <v>#REF!</v>
      </c>
      <c r="C83" s="1485" t="e">
        <f>#REF!</f>
        <v>#REF!</v>
      </c>
      <c r="D83" s="633">
        <f>+J83*0.9</f>
        <v>21169.512000000002</v>
      </c>
      <c r="E83" s="633" t="e">
        <f>#REF!</f>
        <v>#REF!</v>
      </c>
      <c r="F83" s="633" t="e">
        <f>+D83*E83</f>
        <v>#REF!</v>
      </c>
      <c r="G83" s="142"/>
      <c r="H83" s="255">
        <f>40%*F4*9.84+F5*9+F6*9+6*F7+30*9*20</f>
        <v>22401.599999999999</v>
      </c>
      <c r="I83" s="262">
        <v>1.05</v>
      </c>
      <c r="J83" s="255">
        <f>H83*I83</f>
        <v>23521.68</v>
      </c>
    </row>
    <row r="84" spans="1:11" s="129" customFormat="1">
      <c r="A84" s="750" t="e">
        <f>#REF!</f>
        <v>#REF!</v>
      </c>
      <c r="B84" s="677" t="e">
        <f>#REF!</f>
        <v>#REF!</v>
      </c>
      <c r="C84" s="1485" t="e">
        <f>#REF!</f>
        <v>#REF!</v>
      </c>
      <c r="D84" s="730">
        <f>+J84*0.83</f>
        <v>29874.287940000002</v>
      </c>
      <c r="E84" s="633" t="e">
        <f>#REF!</f>
        <v>#REF!</v>
      </c>
      <c r="F84" s="633" t="e">
        <f>+D84*E84</f>
        <v>#REF!</v>
      </c>
      <c r="G84" s="142"/>
      <c r="H84" s="268">
        <f>(K3-1.2)*F3+30%*(K4-9.84)*F4+(K5-9.84)*F5+(K6-9.84)*F6+(K7-4-6)*F7+F12*(K12-0.8)+30*20*(20-9.84-0.6*2)</f>
        <v>34279.160000000003</v>
      </c>
      <c r="I84" s="262">
        <v>1.05</v>
      </c>
      <c r="J84" s="255">
        <f>H84*I84</f>
        <v>35993.118000000002</v>
      </c>
    </row>
    <row r="85" spans="1:11" s="129" customFormat="1">
      <c r="A85" s="755" t="e">
        <f>#REF!</f>
        <v>#REF!</v>
      </c>
      <c r="B85" s="678" t="e">
        <f>#REF!</f>
        <v>#REF!</v>
      </c>
      <c r="C85" s="1485"/>
      <c r="D85" s="730"/>
      <c r="E85" s="633"/>
      <c r="F85" s="633">
        <f t="shared" ref="F85:F86" si="1">+D85*E85</f>
        <v>0</v>
      </c>
      <c r="G85" s="142"/>
      <c r="H85" s="255"/>
      <c r="I85" s="262"/>
      <c r="J85" s="255"/>
    </row>
    <row r="86" spans="1:11" s="129" customFormat="1">
      <c r="A86" s="750" t="e">
        <f>#REF!</f>
        <v>#REF!</v>
      </c>
      <c r="B86" s="677" t="e">
        <f>#REF!</f>
        <v>#REF!</v>
      </c>
      <c r="C86" s="1485" t="e">
        <f>#REF!</f>
        <v>#REF!</v>
      </c>
      <c r="D86" s="730"/>
      <c r="E86" s="633" t="e">
        <f>#REF!</f>
        <v>#REF!</v>
      </c>
      <c r="F86" s="633" t="e">
        <f t="shared" si="1"/>
        <v>#REF!</v>
      </c>
      <c r="G86" s="142"/>
      <c r="H86" s="255"/>
      <c r="I86" s="262"/>
      <c r="J86" s="255"/>
    </row>
    <row r="87" spans="1:11" s="129" customFormat="1">
      <c r="A87" s="750" t="e">
        <f>#REF!</f>
        <v>#REF!</v>
      </c>
      <c r="B87" s="677" t="e">
        <f>#REF!</f>
        <v>#REF!</v>
      </c>
      <c r="C87" s="1485" t="e">
        <f>#REF!</f>
        <v>#REF!</v>
      </c>
      <c r="D87" s="730">
        <f>+D83</f>
        <v>21169.512000000002</v>
      </c>
      <c r="E87" s="633" t="e">
        <f>#REF!</f>
        <v>#REF!</v>
      </c>
      <c r="F87" s="633" t="e">
        <f>+D87*E87</f>
        <v>#REF!</v>
      </c>
      <c r="G87" s="142"/>
    </row>
    <row r="88" spans="1:11" s="129" customFormat="1">
      <c r="A88" s="751" t="e">
        <f>#REF!</f>
        <v>#REF!</v>
      </c>
      <c r="B88" s="753" t="e">
        <f>#REF!</f>
        <v>#REF!</v>
      </c>
      <c r="C88" s="1408" t="e">
        <f>#REF!</f>
        <v>#REF!</v>
      </c>
      <c r="D88" s="730">
        <f>+D84</f>
        <v>29874.287940000002</v>
      </c>
      <c r="E88" s="527" t="e">
        <f>#REF!</f>
        <v>#REF!</v>
      </c>
      <c r="F88" s="527" t="e">
        <f>+D88*E88</f>
        <v>#REF!</v>
      </c>
      <c r="G88" s="142"/>
    </row>
    <row r="89" spans="1:11" s="129" customFormat="1">
      <c r="A89" s="689" t="e">
        <f>#REF!</f>
        <v>#REF!</v>
      </c>
      <c r="B89" s="711" t="e">
        <f>#REF!</f>
        <v>#REF!</v>
      </c>
      <c r="C89" s="1487"/>
      <c r="D89" s="739"/>
      <c r="E89" s="641"/>
      <c r="F89" s="641"/>
      <c r="G89" s="142"/>
      <c r="H89" s="255"/>
      <c r="I89" s="262"/>
      <c r="J89" s="255"/>
    </row>
    <row r="90" spans="1:11" s="129" customFormat="1">
      <c r="A90" s="755" t="e">
        <f>#REF!</f>
        <v>#REF!</v>
      </c>
      <c r="B90" s="678" t="e">
        <f>#REF!</f>
        <v>#REF!</v>
      </c>
      <c r="C90" s="1486"/>
      <c r="D90" s="738"/>
      <c r="E90" s="633"/>
      <c r="F90" s="633"/>
      <c r="G90" s="142"/>
      <c r="H90" s="255"/>
      <c r="I90" s="262"/>
      <c r="J90" s="255"/>
    </row>
    <row r="91" spans="1:11" s="129" customFormat="1">
      <c r="A91" s="750" t="e">
        <f>#REF!</f>
        <v>#REF!</v>
      </c>
      <c r="B91" s="677" t="e">
        <f>#REF!</f>
        <v>#REF!</v>
      </c>
      <c r="C91" s="1486" t="e">
        <f>#REF!</f>
        <v>#REF!</v>
      </c>
      <c r="D91" s="738">
        <f>+J91</f>
        <v>630</v>
      </c>
      <c r="E91" s="633" t="e">
        <f>#REF!</f>
        <v>#REF!</v>
      </c>
      <c r="F91" s="633" t="e">
        <f t="shared" ref="F91:F93" si="2">+D91*E91</f>
        <v>#REF!</v>
      </c>
      <c r="G91" s="142"/>
      <c r="H91" s="255">
        <f>30*20</f>
        <v>600</v>
      </c>
      <c r="I91" s="262">
        <v>1.05</v>
      </c>
      <c r="J91" s="255">
        <f>+H91*I91</f>
        <v>630</v>
      </c>
    </row>
    <row r="92" spans="1:11" s="129" customFormat="1">
      <c r="A92" s="750" t="e">
        <f>#REF!</f>
        <v>#REF!</v>
      </c>
      <c r="B92" s="677" t="e">
        <f>#REF!</f>
        <v>#REF!</v>
      </c>
      <c r="C92" s="1486" t="e">
        <f>#REF!</f>
        <v>#REF!</v>
      </c>
      <c r="D92" s="738">
        <f t="shared" ref="D92:D93" si="3">+J92</f>
        <v>6189.75</v>
      </c>
      <c r="E92" s="633" t="e">
        <f>#REF!</f>
        <v>#REF!</v>
      </c>
      <c r="F92" s="633" t="e">
        <f t="shared" si="2"/>
        <v>#REF!</v>
      </c>
      <c r="G92" s="142"/>
      <c r="H92" s="255">
        <f>+F12+F3+F7+(F4+F5+F6)*2</f>
        <v>5895</v>
      </c>
      <c r="I92" s="262">
        <v>1.05</v>
      </c>
      <c r="J92" s="255">
        <f t="shared" ref="J92:J93" si="4">+H92*I92</f>
        <v>6189.75</v>
      </c>
    </row>
    <row r="93" spans="1:11" s="129" customFormat="1">
      <c r="A93" s="750" t="e">
        <f>#REF!</f>
        <v>#REF!</v>
      </c>
      <c r="B93" s="677" t="e">
        <f>#REF!</f>
        <v>#REF!</v>
      </c>
      <c r="C93" s="1486" t="e">
        <f>#REF!</f>
        <v>#REF!</v>
      </c>
      <c r="D93" s="738">
        <f t="shared" si="3"/>
        <v>7421.4000000000005</v>
      </c>
      <c r="E93" s="633" t="e">
        <f>#REF!</f>
        <v>#REF!</v>
      </c>
      <c r="F93" s="633" t="e">
        <f t="shared" si="2"/>
        <v>#REF!</v>
      </c>
      <c r="G93" s="142"/>
      <c r="H93" s="255">
        <f>+F3+F7+F12*2+(F4+F5+F6)*2</f>
        <v>7068</v>
      </c>
      <c r="I93" s="262">
        <v>1.05</v>
      </c>
      <c r="J93" s="255">
        <f t="shared" si="4"/>
        <v>7421.4000000000005</v>
      </c>
    </row>
    <row r="94" spans="1:11" s="129" customFormat="1">
      <c r="A94" s="755" t="e">
        <f>#REF!</f>
        <v>#REF!</v>
      </c>
      <c r="B94" s="678" t="e">
        <f>#REF!</f>
        <v>#REF!</v>
      </c>
      <c r="C94" s="1486"/>
      <c r="D94" s="738"/>
      <c r="E94" s="633"/>
      <c r="F94" s="633"/>
      <c r="G94" s="142"/>
      <c r="H94" s="255"/>
      <c r="I94" s="262">
        <v>1.05</v>
      </c>
      <c r="J94" s="255"/>
    </row>
    <row r="95" spans="1:11" s="129" customFormat="1">
      <c r="A95" s="750" t="e">
        <f>#REF!</f>
        <v>#REF!</v>
      </c>
      <c r="B95" s="677" t="e">
        <f>#REF!</f>
        <v>#REF!</v>
      </c>
      <c r="C95" s="1486" t="e">
        <f>#REF!</f>
        <v>#REF!</v>
      </c>
      <c r="D95" s="738">
        <f>+D91</f>
        <v>630</v>
      </c>
      <c r="E95" s="633" t="e">
        <f>#REF!</f>
        <v>#REF!</v>
      </c>
      <c r="F95" s="633" t="e">
        <f>+D95*E95</f>
        <v>#REF!</v>
      </c>
      <c r="G95" s="142"/>
      <c r="H95" s="256">
        <f>F4*2+2*F5+F6*2+F7*2+54*20*2+150*2+54*9.84</f>
        <v>7363.36</v>
      </c>
      <c r="I95" s="262">
        <v>1.05</v>
      </c>
      <c r="J95" s="255">
        <f>H95*I95</f>
        <v>7731.5280000000002</v>
      </c>
      <c r="K95" s="129" t="s">
        <v>523</v>
      </c>
    </row>
    <row r="96" spans="1:11" s="129" customFormat="1">
      <c r="A96" s="750" t="e">
        <f>#REF!</f>
        <v>#REF!</v>
      </c>
      <c r="B96" s="677" t="e">
        <f>#REF!</f>
        <v>#REF!</v>
      </c>
      <c r="C96" s="1486" t="e">
        <f>#REF!</f>
        <v>#REF!</v>
      </c>
      <c r="D96" s="738">
        <f t="shared" ref="D96:D97" si="5">+D92</f>
        <v>6189.75</v>
      </c>
      <c r="E96" s="633" t="e">
        <f>#REF!</f>
        <v>#REF!</v>
      </c>
      <c r="F96" s="633" t="e">
        <f>+D96*E96</f>
        <v>#REF!</v>
      </c>
      <c r="G96" s="142"/>
      <c r="H96" s="255">
        <f>15%*F14+54*20*2</f>
        <v>2761.35</v>
      </c>
      <c r="I96" s="262">
        <v>1.05</v>
      </c>
      <c r="J96" s="255">
        <f>H96*I96</f>
        <v>2899.4175</v>
      </c>
    </row>
    <row r="97" spans="1:10" s="129" customFormat="1">
      <c r="A97" s="751" t="e">
        <f>#REF!</f>
        <v>#REF!</v>
      </c>
      <c r="B97" s="753" t="e">
        <f>#REF!</f>
        <v>#REF!</v>
      </c>
      <c r="C97" s="1482" t="e">
        <f>#REF!</f>
        <v>#REF!</v>
      </c>
      <c r="D97" s="738">
        <f t="shared" si="5"/>
        <v>7421.4000000000005</v>
      </c>
      <c r="E97" s="527" t="e">
        <f>#REF!</f>
        <v>#REF!</v>
      </c>
      <c r="F97" s="527" t="e">
        <f>+D97*E97</f>
        <v>#REF!</v>
      </c>
      <c r="G97" s="142"/>
      <c r="H97" s="255">
        <f>80%*H95</f>
        <v>5890.6880000000001</v>
      </c>
      <c r="I97" s="262">
        <v>1.05</v>
      </c>
      <c r="J97" s="255">
        <f>H97*I97</f>
        <v>6185.2224000000006</v>
      </c>
    </row>
    <row r="98" spans="1:10" s="129" customFormat="1" ht="30" customHeight="1">
      <c r="A98" s="689" t="e">
        <f>#REF!</f>
        <v>#REF!</v>
      </c>
      <c r="B98" s="1270" t="e">
        <f>#REF!</f>
        <v>#REF!</v>
      </c>
      <c r="C98" s="1487"/>
      <c r="D98" s="739"/>
      <c r="E98" s="641"/>
      <c r="F98" s="641"/>
      <c r="G98" s="142"/>
      <c r="H98" s="255"/>
      <c r="I98" s="262"/>
      <c r="J98" s="255"/>
    </row>
    <row r="99" spans="1:10" s="129" customFormat="1">
      <c r="A99" s="755" t="e">
        <f>#REF!</f>
        <v>#REF!</v>
      </c>
      <c r="B99" s="678" t="e">
        <f>#REF!</f>
        <v>#REF!</v>
      </c>
      <c r="C99" s="1486"/>
      <c r="D99" s="738"/>
      <c r="E99" s="633"/>
      <c r="F99" s="633"/>
      <c r="G99" s="142"/>
      <c r="H99" s="255"/>
      <c r="I99" s="262"/>
      <c r="J99" s="255"/>
    </row>
    <row r="100" spans="1:10" s="129" customFormat="1">
      <c r="A100" s="750" t="e">
        <f>#REF!</f>
        <v>#REF!</v>
      </c>
      <c r="B100" s="677" t="e">
        <f>#REF!</f>
        <v>#REF!</v>
      </c>
      <c r="C100" s="1486" t="e">
        <f>#REF!</f>
        <v>#REF!</v>
      </c>
      <c r="D100" s="738">
        <f>+D83*0.1</f>
        <v>2116.9512000000004</v>
      </c>
      <c r="E100" s="633" t="e">
        <f>#REF!</f>
        <v>#REF!</v>
      </c>
      <c r="F100" s="633" t="e">
        <f>+D100*E100</f>
        <v>#REF!</v>
      </c>
      <c r="G100" s="142"/>
      <c r="H100" s="255"/>
      <c r="I100" s="262"/>
      <c r="J100" s="255"/>
    </row>
    <row r="101" spans="1:10" s="129" customFormat="1">
      <c r="A101" s="750" t="e">
        <f>#REF!</f>
        <v>#REF!</v>
      </c>
      <c r="B101" s="677" t="e">
        <f>#REF!</f>
        <v>#REF!</v>
      </c>
      <c r="C101" s="1486" t="e">
        <f>#REF!</f>
        <v>#REF!</v>
      </c>
      <c r="D101" s="738">
        <f>+D84*0.2</f>
        <v>5974.8575880000008</v>
      </c>
      <c r="E101" s="633" t="e">
        <f>#REF!</f>
        <v>#REF!</v>
      </c>
      <c r="F101" s="633" t="e">
        <f>+D101*E101</f>
        <v>#REF!</v>
      </c>
      <c r="G101" s="142"/>
      <c r="H101" s="255"/>
      <c r="I101" s="262"/>
      <c r="J101" s="255"/>
    </row>
    <row r="102" spans="1:10" s="129" customFormat="1">
      <c r="A102" s="755" t="e">
        <f>#REF!</f>
        <v>#REF!</v>
      </c>
      <c r="B102" s="678" t="e">
        <f>#REF!</f>
        <v>#REF!</v>
      </c>
      <c r="C102" s="1486"/>
      <c r="D102" s="738"/>
      <c r="E102" s="633"/>
      <c r="F102" s="633"/>
      <c r="G102" s="142"/>
      <c r="H102" s="255"/>
      <c r="I102" s="262"/>
      <c r="J102" s="255"/>
    </row>
    <row r="103" spans="1:10" s="129" customFormat="1">
      <c r="A103" s="750" t="e">
        <f>#REF!</f>
        <v>#REF!</v>
      </c>
      <c r="B103" s="677" t="e">
        <f>#REF!</f>
        <v>#REF!</v>
      </c>
      <c r="C103" s="1486" t="e">
        <f>#REF!</f>
        <v>#REF!</v>
      </c>
      <c r="D103" s="738">
        <f>+D100</f>
        <v>2116.9512000000004</v>
      </c>
      <c r="E103" s="633" t="e">
        <f>#REF!</f>
        <v>#REF!</v>
      </c>
      <c r="F103" s="633" t="e">
        <f t="shared" ref="F103:F104" si="6">+D103*E103</f>
        <v>#REF!</v>
      </c>
      <c r="G103" s="142"/>
      <c r="H103" s="255"/>
      <c r="I103" s="262"/>
      <c r="J103" s="255"/>
    </row>
    <row r="104" spans="1:10" s="129" customFormat="1">
      <c r="A104" s="751" t="e">
        <f>#REF!</f>
        <v>#REF!</v>
      </c>
      <c r="B104" s="753" t="e">
        <f>#REF!</f>
        <v>#REF!</v>
      </c>
      <c r="C104" s="1482" t="e">
        <f>#REF!</f>
        <v>#REF!</v>
      </c>
      <c r="D104" s="738">
        <f>+D101</f>
        <v>5974.8575880000008</v>
      </c>
      <c r="E104" s="527" t="e">
        <f>#REF!</f>
        <v>#REF!</v>
      </c>
      <c r="F104" s="633" t="e">
        <f t="shared" si="6"/>
        <v>#REF!</v>
      </c>
      <c r="G104" s="142"/>
      <c r="H104" s="255"/>
      <c r="I104" s="262"/>
      <c r="J104" s="255"/>
    </row>
    <row r="105" spans="1:10" s="129" customFormat="1" ht="18.75">
      <c r="A105" s="709"/>
      <c r="B105" s="460"/>
      <c r="C105" s="686"/>
      <c r="D105" s="635"/>
      <c r="E105" s="636" t="s">
        <v>109</v>
      </c>
      <c r="F105" s="637" t="e">
        <f>SUM(F72:F104)</f>
        <v>#REF!</v>
      </c>
      <c r="G105" s="142"/>
      <c r="H105" s="255"/>
      <c r="I105" s="262"/>
      <c r="J105" s="255"/>
    </row>
    <row r="106" spans="1:10" s="129" customFormat="1" ht="15.95" customHeight="1">
      <c r="A106" s="406"/>
      <c r="B106" s="12"/>
      <c r="C106" s="51"/>
      <c r="D106" s="76"/>
      <c r="E106" s="91"/>
      <c r="F106" s="91"/>
      <c r="G106" s="142"/>
      <c r="H106" s="255"/>
      <c r="I106" s="262"/>
      <c r="J106" s="262">
        <f>4.82*2.4*1.46</f>
        <v>16.889279999999999</v>
      </c>
    </row>
    <row r="107" spans="1:10" s="129" customFormat="1" ht="24.95" customHeight="1">
      <c r="A107" s="1972" t="e">
        <f>#REF!</f>
        <v>#REF!</v>
      </c>
      <c r="B107" s="1973"/>
      <c r="C107" s="1973"/>
      <c r="D107" s="1973"/>
      <c r="E107" s="1973"/>
      <c r="F107" s="1974"/>
      <c r="G107" s="142"/>
      <c r="H107" s="255"/>
      <c r="I107" s="262"/>
      <c r="J107" s="255"/>
    </row>
    <row r="108" spans="1:10" s="129" customFormat="1">
      <c r="A108" s="745" t="e">
        <f>#REF!</f>
        <v>#REF!</v>
      </c>
      <c r="B108" s="830" t="e">
        <f>#REF!</f>
        <v>#REF!</v>
      </c>
      <c r="C108" s="1478"/>
      <c r="D108" s="742"/>
      <c r="E108" s="641"/>
      <c r="F108" s="740"/>
      <c r="G108" s="142"/>
      <c r="H108" s="255"/>
      <c r="I108" s="262"/>
      <c r="J108" s="255"/>
    </row>
    <row r="109" spans="1:10" s="129" customFormat="1">
      <c r="A109" s="639"/>
      <c r="B109" s="681"/>
      <c r="C109" s="1523" t="e">
        <f>#REF!</f>
        <v>#REF!</v>
      </c>
      <c r="D109" s="1414">
        <f>J109</f>
        <v>45981.573000000011</v>
      </c>
      <c r="E109" s="527" t="e">
        <f>#REF!</f>
        <v>#REF!</v>
      </c>
      <c r="F109" s="741" t="e">
        <f>+D109*E109</f>
        <v>#REF!</v>
      </c>
      <c r="G109" s="142"/>
      <c r="H109" s="268">
        <f>(1.2+0.25*2+0.1*2+0.6*2)*(1.5+0.25*2+0.1)*(F3)+(2*1+0.25*3+0.6*2+0.1*2)*(1.5+0.6)*(F4+F5)+(2*1.7+0.25*3+0.6*2+0.1*2)*(1.5+0.6)*F6+F7*(3+0.25*2+0.6*2+0.1*2)*(1.5+0.25+0.1)+(1+0.2*2+0.6*2+0.1*2)*(1+0.1+0.2)*F10+(0.6+0.2*2+0.4*2+0.1*2)*(0.6+0.2+0.2+0.1)*(F8+F9)</f>
        <v>41801.430000000008</v>
      </c>
      <c r="I109" s="262">
        <v>1.1000000000000001</v>
      </c>
      <c r="J109" s="255">
        <f>H109*I109</f>
        <v>45981.573000000011</v>
      </c>
    </row>
    <row r="110" spans="1:10" s="129" customFormat="1">
      <c r="A110" s="745" t="e">
        <f>#REF!</f>
        <v>#REF!</v>
      </c>
      <c r="B110" s="830" t="e">
        <f>#REF!</f>
        <v>#REF!</v>
      </c>
      <c r="C110" s="1396"/>
      <c r="D110" s="1488"/>
      <c r="E110" s="641"/>
      <c r="F110" s="1489"/>
      <c r="G110" s="142"/>
      <c r="H110" s="255"/>
      <c r="I110" s="262"/>
      <c r="J110" s="255"/>
    </row>
    <row r="111" spans="1:10" s="129" customFormat="1">
      <c r="A111" s="1432"/>
      <c r="B111" s="680"/>
      <c r="C111" s="1523" t="e">
        <f>#REF!</f>
        <v>#REF!</v>
      </c>
      <c r="D111" s="1414">
        <f>J111</f>
        <v>33335.951000000008</v>
      </c>
      <c r="E111" s="527" t="e">
        <f>#REF!</f>
        <v>#REF!</v>
      </c>
      <c r="F111" s="741" t="e">
        <f>+D111*E111</f>
        <v>#REF!</v>
      </c>
      <c r="G111" s="142">
        <f>+H109-(F3+120*0.9+F4*2*1*1.5+F5*2*1*1.5+F6*2*1.5*1.5+F7*2*1*1+F8*0.6*0.6+F9*0.6*0.6+F10*1*1)</f>
        <v>30305.410000000007</v>
      </c>
      <c r="H111" s="255">
        <f>F3*0.7*2*(1.5+0.25*2+0.15)+(F4+F5+F6+F7)*(0.7*2)*(1.5+0.25*2+0.1)+0.7*2*(0.6+0.2*2+0.1)*(F8+F9)+0.7*2*(1+0.2*2+0.1)*F10</f>
        <v>18708.62</v>
      </c>
      <c r="I111" s="262">
        <v>1.1000000000000001</v>
      </c>
      <c r="J111" s="255">
        <f>+G111*I111</f>
        <v>33335.951000000008</v>
      </c>
    </row>
    <row r="112" spans="1:10" s="129" customFormat="1">
      <c r="A112" s="689" t="e">
        <f>#REF!</f>
        <v>#REF!</v>
      </c>
      <c r="B112" s="711" t="e">
        <f>#REF!</f>
        <v>#REF!</v>
      </c>
      <c r="C112" s="1478"/>
      <c r="D112" s="742"/>
      <c r="E112" s="641"/>
      <c r="F112" s="740"/>
      <c r="G112" s="142"/>
      <c r="H112" s="255"/>
      <c r="I112" s="262"/>
      <c r="J112" s="255"/>
    </row>
    <row r="113" spans="1:189" s="129" customFormat="1">
      <c r="A113" s="751"/>
      <c r="B113" s="753"/>
      <c r="C113" s="1523" t="e">
        <f>#REF!</f>
        <v>#REF!</v>
      </c>
      <c r="D113" s="1414">
        <v>100</v>
      </c>
      <c r="E113" s="527" t="e">
        <f>#REF!</f>
        <v>#REF!</v>
      </c>
      <c r="F113" s="741" t="e">
        <f>+D113*E113</f>
        <v>#REF!</v>
      </c>
      <c r="G113" s="142"/>
      <c r="H113" s="255"/>
      <c r="I113" s="262"/>
      <c r="J113" s="255"/>
    </row>
    <row r="114" spans="1:189" s="129" customFormat="1">
      <c r="A114" s="689" t="e">
        <f>#REF!</f>
        <v>#REF!</v>
      </c>
      <c r="B114" s="711" t="e">
        <f>#REF!</f>
        <v>#REF!</v>
      </c>
      <c r="C114" s="1490"/>
      <c r="D114" s="739"/>
      <c r="E114" s="641"/>
      <c r="F114" s="740"/>
      <c r="G114" s="142"/>
      <c r="H114" s="255"/>
      <c r="I114" s="262"/>
      <c r="J114" s="255"/>
    </row>
    <row r="115" spans="1:189" s="129" customFormat="1">
      <c r="A115" s="751"/>
      <c r="B115" s="753"/>
      <c r="C115" s="1408" t="e">
        <f>#REF!</f>
        <v>#REF!</v>
      </c>
      <c r="D115" s="733">
        <v>1400</v>
      </c>
      <c r="E115" s="527" t="e">
        <f>#REF!</f>
        <v>#REF!</v>
      </c>
      <c r="F115" s="741" t="e">
        <f>+D115*E115</f>
        <v>#REF!</v>
      </c>
      <c r="G115" s="142"/>
      <c r="H115" s="255"/>
      <c r="I115" s="262"/>
      <c r="J115" s="255">
        <f>6.2+2</f>
        <v>8.1999999999999993</v>
      </c>
      <c r="K115" s="129">
        <f>2</f>
        <v>2</v>
      </c>
    </row>
    <row r="116" spans="1:189" s="129" customFormat="1">
      <c r="A116" s="689" t="e">
        <f>#REF!</f>
        <v>#REF!</v>
      </c>
      <c r="B116" s="711" t="e">
        <f>#REF!</f>
        <v>#REF!</v>
      </c>
      <c r="C116" s="1490"/>
      <c r="D116" s="739"/>
      <c r="E116" s="641"/>
      <c r="F116" s="740"/>
      <c r="G116" s="142"/>
      <c r="H116" s="255"/>
      <c r="I116" s="262"/>
      <c r="J116" s="255"/>
      <c r="K116" s="129">
        <f>J115*K115/2</f>
        <v>8.1999999999999993</v>
      </c>
    </row>
    <row r="117" spans="1:189" s="129" customFormat="1">
      <c r="A117" s="751" t="e">
        <f>#REF!</f>
        <v>#REF!</v>
      </c>
      <c r="B117" s="753" t="e">
        <f>#REF!</f>
        <v>#REF!</v>
      </c>
      <c r="C117" s="1482" t="e">
        <f>#REF!</f>
        <v>#REF!</v>
      </c>
      <c r="D117" s="1415">
        <f>D121*110</f>
        <v>38500</v>
      </c>
      <c r="E117" s="527" t="e">
        <f>#REF!</f>
        <v>#REF!</v>
      </c>
      <c r="F117" s="741" t="e">
        <f>+D117*E117</f>
        <v>#REF!</v>
      </c>
      <c r="G117" s="142"/>
      <c r="H117" s="255"/>
      <c r="I117" s="262"/>
      <c r="J117" s="255"/>
    </row>
    <row r="118" spans="1:189" s="129" customFormat="1">
      <c r="A118" s="689" t="e">
        <f>#REF!</f>
        <v>#REF!</v>
      </c>
      <c r="B118" s="711" t="e">
        <f>#REF!</f>
        <v>#REF!</v>
      </c>
      <c r="C118" s="1490"/>
      <c r="D118" s="739"/>
      <c r="E118" s="641"/>
      <c r="F118" s="740"/>
      <c r="G118" s="142"/>
      <c r="H118" s="255"/>
      <c r="I118" s="262"/>
      <c r="J118" s="255"/>
    </row>
    <row r="119" spans="1:189" s="129" customFormat="1">
      <c r="A119" s="751"/>
      <c r="B119" s="753"/>
      <c r="C119" s="1408" t="e">
        <f>#REF!</f>
        <v>#REF!</v>
      </c>
      <c r="D119" s="733">
        <v>150</v>
      </c>
      <c r="E119" s="527" t="e">
        <f>#REF!</f>
        <v>#REF!</v>
      </c>
      <c r="F119" s="741" t="e">
        <f>+D119*E119</f>
        <v>#REF!</v>
      </c>
      <c r="G119" s="142"/>
      <c r="H119" s="255"/>
      <c r="I119" s="262">
        <f>15*19</f>
        <v>285</v>
      </c>
      <c r="J119" s="255"/>
    </row>
    <row r="120" spans="1:189" s="129" customFormat="1">
      <c r="A120" s="689" t="e">
        <f>#REF!</f>
        <v>#REF!</v>
      </c>
      <c r="B120" s="711" t="e">
        <f>#REF!</f>
        <v>#REF!</v>
      </c>
      <c r="C120" s="1490"/>
      <c r="D120" s="739"/>
      <c r="E120" s="641"/>
      <c r="F120" s="740"/>
      <c r="G120" s="142"/>
      <c r="H120" s="255"/>
      <c r="I120" s="262"/>
      <c r="J120" s="255"/>
    </row>
    <row r="121" spans="1:189" s="129" customFormat="1">
      <c r="A121" s="751"/>
      <c r="B121" s="753"/>
      <c r="C121" s="1408" t="e">
        <f>#REF!</f>
        <v>#REF!</v>
      </c>
      <c r="D121" s="733">
        <v>350</v>
      </c>
      <c r="E121" s="527" t="e">
        <f>#REF!</f>
        <v>#REF!</v>
      </c>
      <c r="F121" s="741" t="e">
        <f>+D121*E121</f>
        <v>#REF!</v>
      </c>
      <c r="G121" s="142"/>
      <c r="H121" s="255"/>
      <c r="I121" s="262"/>
      <c r="J121" s="255"/>
    </row>
    <row r="122" spans="1:189" s="129" customFormat="1" ht="30" customHeight="1">
      <c r="A122" s="689" t="e">
        <f>#REF!</f>
        <v>#REF!</v>
      </c>
      <c r="B122" s="1270" t="e">
        <f>#REF!</f>
        <v>#REF!</v>
      </c>
      <c r="C122" s="1490"/>
      <c r="D122" s="739"/>
      <c r="E122" s="641"/>
      <c r="F122" s="740"/>
      <c r="G122" s="142"/>
      <c r="H122" s="255"/>
      <c r="I122" s="262"/>
      <c r="J122" s="255"/>
    </row>
    <row r="123" spans="1:189" s="129" customFormat="1">
      <c r="A123" s="750" t="e">
        <f>#REF!</f>
        <v>#REF!</v>
      </c>
      <c r="B123" s="677" t="e">
        <f>#REF!</f>
        <v>#REF!</v>
      </c>
      <c r="C123" s="1485" t="e">
        <f>#REF!</f>
        <v>#REF!</v>
      </c>
      <c r="D123" s="738">
        <f>J123</f>
        <v>1863.5650000000001</v>
      </c>
      <c r="E123" s="633" t="e">
        <f>#REF!</f>
        <v>#REF!</v>
      </c>
      <c r="F123" s="655" t="e">
        <f>+D123*E123</f>
        <v>#REF!</v>
      </c>
      <c r="G123" s="142"/>
      <c r="H123" s="255">
        <f>+F12*1.2+H56*5/100</f>
        <v>1694.1499999999999</v>
      </c>
      <c r="I123" s="262">
        <v>1.1000000000000001</v>
      </c>
      <c r="J123" s="255">
        <f>H123*I123</f>
        <v>1863.5650000000001</v>
      </c>
    </row>
    <row r="124" spans="1:189" s="129" customFormat="1">
      <c r="A124" s="750" t="e">
        <f>#REF!</f>
        <v>#REF!</v>
      </c>
      <c r="B124" s="677" t="e">
        <f>#REF!</f>
        <v>#REF!</v>
      </c>
      <c r="C124" s="1485" t="e">
        <f>#REF!</f>
        <v>#REF!</v>
      </c>
      <c r="D124" s="738">
        <f>J124</f>
        <v>138.69020000000003</v>
      </c>
      <c r="E124" s="633" t="e">
        <f>#REF!</f>
        <v>#REF!</v>
      </c>
      <c r="F124" s="655" t="e">
        <f>+D124*E124</f>
        <v>#REF!</v>
      </c>
      <c r="G124" s="142"/>
      <c r="H124" s="255">
        <f>2%*J56*1.1</f>
        <v>126.08200000000002</v>
      </c>
      <c r="I124" s="262">
        <v>1.1000000000000001</v>
      </c>
      <c r="J124" s="255">
        <f>H124*I124</f>
        <v>138.69020000000003</v>
      </c>
      <c r="L124" s="270"/>
    </row>
    <row r="125" spans="1:189" s="129" customFormat="1">
      <c r="A125" s="751" t="e">
        <f>#REF!</f>
        <v>#REF!</v>
      </c>
      <c r="B125" s="753" t="e">
        <f>#REF!</f>
        <v>#REF!</v>
      </c>
      <c r="C125" s="1408" t="e">
        <f>#REF!</f>
        <v>#REF!</v>
      </c>
      <c r="D125" s="1415">
        <f>H125</f>
        <v>0</v>
      </c>
      <c r="E125" s="527" t="e">
        <f>#REF!</f>
        <v>#REF!</v>
      </c>
      <c r="F125" s="741" t="e">
        <f>+D125*E125</f>
        <v>#REF!</v>
      </c>
      <c r="G125" s="142"/>
      <c r="H125" s="255">
        <f>10*0</f>
        <v>0</v>
      </c>
      <c r="I125" s="262"/>
      <c r="J125" s="255"/>
    </row>
    <row r="126" spans="1:189" s="225" customFormat="1">
      <c r="A126" s="689" t="e">
        <f>#REF!</f>
        <v>#REF!</v>
      </c>
      <c r="B126" s="711" t="e">
        <f>#REF!</f>
        <v>#REF!</v>
      </c>
      <c r="C126" s="1407"/>
      <c r="D126" s="1416"/>
      <c r="E126" s="641"/>
      <c r="F126" s="740"/>
      <c r="H126" s="259"/>
      <c r="I126" s="265"/>
      <c r="J126" s="259"/>
      <c r="K126" s="226"/>
      <c r="L126" s="226"/>
      <c r="M126" s="226"/>
      <c r="N126" s="226"/>
      <c r="O126" s="226"/>
      <c r="P126" s="226"/>
      <c r="Q126" s="226"/>
      <c r="R126" s="226"/>
      <c r="S126" s="226"/>
      <c r="T126" s="226"/>
      <c r="U126" s="226"/>
      <c r="V126" s="226"/>
      <c r="W126" s="226"/>
      <c r="X126" s="226"/>
      <c r="Y126" s="226"/>
      <c r="Z126" s="226"/>
      <c r="AA126" s="226"/>
      <c r="AB126" s="226"/>
      <c r="AC126" s="226"/>
      <c r="AD126" s="226"/>
      <c r="AE126" s="226"/>
      <c r="AF126" s="226"/>
      <c r="AG126" s="226"/>
      <c r="AH126" s="226"/>
      <c r="AI126" s="226"/>
      <c r="AJ126" s="226"/>
      <c r="AK126" s="226"/>
      <c r="AL126" s="226"/>
      <c r="AM126" s="226"/>
      <c r="AN126" s="226"/>
      <c r="AO126" s="226"/>
      <c r="AP126" s="226"/>
      <c r="AQ126" s="226"/>
      <c r="AR126" s="226"/>
      <c r="AS126" s="226"/>
      <c r="AT126" s="226"/>
      <c r="AU126" s="226"/>
      <c r="AV126" s="226"/>
      <c r="AW126" s="226"/>
      <c r="AX126" s="226"/>
      <c r="AY126" s="226"/>
      <c r="AZ126" s="226"/>
      <c r="BA126" s="226"/>
      <c r="BB126" s="226"/>
      <c r="BC126" s="226"/>
      <c r="BD126" s="226"/>
      <c r="BE126" s="226"/>
      <c r="BF126" s="226"/>
      <c r="BG126" s="226"/>
      <c r="BH126" s="226"/>
      <c r="BI126" s="226"/>
      <c r="BJ126" s="226"/>
      <c r="BK126" s="226"/>
      <c r="BL126" s="226"/>
      <c r="BM126" s="226"/>
      <c r="BN126" s="226"/>
      <c r="BO126" s="226"/>
      <c r="BP126" s="226"/>
      <c r="BQ126" s="226"/>
      <c r="BR126" s="226"/>
      <c r="BS126" s="226"/>
      <c r="BT126" s="226"/>
      <c r="BU126" s="226"/>
      <c r="BV126" s="226"/>
      <c r="BW126" s="226"/>
      <c r="BX126" s="226"/>
      <c r="BY126" s="226"/>
      <c r="BZ126" s="226"/>
      <c r="CA126" s="226"/>
      <c r="CB126" s="226"/>
      <c r="CC126" s="226"/>
      <c r="CD126" s="226"/>
      <c r="CE126" s="226"/>
      <c r="CF126" s="226"/>
      <c r="CG126" s="226"/>
      <c r="CH126" s="226"/>
      <c r="CI126" s="226"/>
      <c r="CJ126" s="226"/>
      <c r="CK126" s="226"/>
      <c r="CL126" s="226"/>
      <c r="CM126" s="226"/>
      <c r="CN126" s="226"/>
      <c r="CO126" s="226"/>
      <c r="CP126" s="226"/>
      <c r="CQ126" s="226"/>
      <c r="CR126" s="226"/>
      <c r="CS126" s="226"/>
      <c r="CT126" s="226"/>
      <c r="CU126" s="226"/>
      <c r="CV126" s="226"/>
      <c r="CW126" s="226"/>
      <c r="CX126" s="226"/>
      <c r="CY126" s="226"/>
      <c r="CZ126" s="226"/>
      <c r="DA126" s="226"/>
      <c r="DB126" s="226"/>
      <c r="DC126" s="226"/>
      <c r="DD126" s="226"/>
      <c r="DE126" s="226"/>
      <c r="DF126" s="226"/>
      <c r="DG126" s="226"/>
      <c r="DH126" s="226"/>
      <c r="DI126" s="226"/>
      <c r="DJ126" s="226"/>
      <c r="DK126" s="226"/>
      <c r="DL126" s="226"/>
      <c r="DM126" s="226"/>
      <c r="DN126" s="226"/>
      <c r="DO126" s="226"/>
      <c r="DP126" s="226"/>
      <c r="DQ126" s="226"/>
      <c r="DR126" s="226"/>
      <c r="DS126" s="226"/>
      <c r="DT126" s="226"/>
      <c r="DU126" s="226"/>
      <c r="DV126" s="226"/>
      <c r="DW126" s="226"/>
      <c r="DX126" s="226"/>
      <c r="DY126" s="226"/>
      <c r="DZ126" s="226"/>
      <c r="EA126" s="226"/>
      <c r="EB126" s="226"/>
      <c r="EC126" s="226"/>
      <c r="ED126" s="226"/>
      <c r="EE126" s="226"/>
      <c r="EF126" s="226"/>
      <c r="EG126" s="226"/>
      <c r="EH126" s="226"/>
      <c r="EI126" s="226"/>
      <c r="EJ126" s="226"/>
      <c r="EK126" s="226"/>
      <c r="EL126" s="226"/>
      <c r="EM126" s="226"/>
      <c r="EN126" s="226"/>
      <c r="EO126" s="226"/>
      <c r="EP126" s="226"/>
      <c r="EQ126" s="226"/>
      <c r="ER126" s="226"/>
      <c r="ES126" s="226"/>
      <c r="ET126" s="226"/>
      <c r="EU126" s="226"/>
      <c r="EV126" s="226"/>
      <c r="EW126" s="226"/>
      <c r="EX126" s="226"/>
      <c r="EY126" s="226"/>
      <c r="EZ126" s="226"/>
      <c r="FA126" s="226"/>
      <c r="FB126" s="226"/>
      <c r="FC126" s="226"/>
      <c r="FD126" s="226"/>
      <c r="FE126" s="226"/>
      <c r="FF126" s="226"/>
      <c r="FG126" s="226"/>
      <c r="FH126" s="226"/>
      <c r="FI126" s="226"/>
      <c r="FJ126" s="226"/>
      <c r="FK126" s="226"/>
      <c r="FL126" s="226"/>
      <c r="FM126" s="226"/>
      <c r="FN126" s="226"/>
      <c r="FO126" s="226"/>
      <c r="FP126" s="226"/>
      <c r="FQ126" s="226"/>
      <c r="FR126" s="226"/>
      <c r="FS126" s="226"/>
      <c r="FT126" s="226"/>
      <c r="FU126" s="226"/>
      <c r="FV126" s="226"/>
      <c r="FW126" s="226"/>
      <c r="FX126" s="226"/>
      <c r="FY126" s="226"/>
      <c r="FZ126" s="226"/>
      <c r="GA126" s="226"/>
      <c r="GB126" s="226"/>
      <c r="GC126" s="226"/>
      <c r="GD126" s="226"/>
      <c r="GE126" s="226"/>
      <c r="GF126" s="226"/>
      <c r="GG126" s="226"/>
    </row>
    <row r="127" spans="1:189" s="205" customFormat="1">
      <c r="A127" s="638" t="e">
        <f>#REF!</f>
        <v>#REF!</v>
      </c>
      <c r="B127" s="749" t="e">
        <f>#REF!</f>
        <v>#REF!</v>
      </c>
      <c r="C127" s="1522" t="e">
        <f>#REF!</f>
        <v>#REF!</v>
      </c>
      <c r="D127" s="1456">
        <f>J127</f>
        <v>5220.6000000000004</v>
      </c>
      <c r="E127" s="650" t="e">
        <f>#REF!</f>
        <v>#REF!</v>
      </c>
      <c r="F127" s="962" t="e">
        <f>+D127*E127</f>
        <v>#REF!</v>
      </c>
      <c r="H127" s="258">
        <f>(F8+F9)*0+2972+20*2*50</f>
        <v>4972</v>
      </c>
      <c r="I127" s="264">
        <v>1.05</v>
      </c>
      <c r="J127" s="258">
        <f>H127*I127</f>
        <v>5220.6000000000004</v>
      </c>
    </row>
    <row r="128" spans="1:189" s="205" customFormat="1">
      <c r="A128" s="638" t="e">
        <f>#REF!</f>
        <v>#REF!</v>
      </c>
      <c r="B128" s="749" t="e">
        <f>#REF!</f>
        <v>#REF!</v>
      </c>
      <c r="C128" s="1522" t="e">
        <f>#REF!</f>
        <v>#REF!</v>
      </c>
      <c r="D128" s="1456">
        <f>J128</f>
        <v>315</v>
      </c>
      <c r="E128" s="650" t="e">
        <f>#REF!</f>
        <v>#REF!</v>
      </c>
      <c r="F128" s="962" t="e">
        <f>+D128*E128</f>
        <v>#REF!</v>
      </c>
      <c r="H128" s="258">
        <f>+F10*0+20*15</f>
        <v>300</v>
      </c>
      <c r="I128" s="264">
        <v>1.05</v>
      </c>
      <c r="J128" s="258">
        <f>H128*I128</f>
        <v>315</v>
      </c>
    </row>
    <row r="129" spans="1:189" s="205" customFormat="1">
      <c r="A129" s="639" t="e">
        <f>#REF!</f>
        <v>#REF!</v>
      </c>
      <c r="B129" s="681" t="e">
        <f>#REF!</f>
        <v>#REF!</v>
      </c>
      <c r="C129" s="1523" t="e">
        <f>#REF!</f>
        <v>#REF!</v>
      </c>
      <c r="D129" s="1414">
        <f>J129</f>
        <v>682.5</v>
      </c>
      <c r="E129" s="547" t="e">
        <f>+#REF!</f>
        <v>#REF!</v>
      </c>
      <c r="F129" s="963" t="e">
        <f>+D129*E129</f>
        <v>#REF!</v>
      </c>
      <c r="G129" s="935" t="e">
        <f>SUM(F127:F129)</f>
        <v>#REF!</v>
      </c>
      <c r="H129" s="258">
        <f>F3</f>
        <v>650</v>
      </c>
      <c r="I129" s="264">
        <v>1.05</v>
      </c>
      <c r="J129" s="258">
        <f>H129*I129</f>
        <v>682.5</v>
      </c>
    </row>
    <row r="130" spans="1:189" s="205" customFormat="1">
      <c r="A130" s="745" t="e">
        <f>#REF!</f>
        <v>#REF!</v>
      </c>
      <c r="B130" s="830" t="e">
        <f>#REF!</f>
        <v>#REF!</v>
      </c>
      <c r="C130" s="1264"/>
      <c r="D130" s="1484"/>
      <c r="E130" s="544"/>
      <c r="F130" s="1136"/>
      <c r="H130" s="258"/>
      <c r="I130" s="264"/>
      <c r="J130" s="258"/>
    </row>
    <row r="131" spans="1:189" s="205" customFormat="1">
      <c r="A131" s="749" t="e">
        <f>+#REF!</f>
        <v>#REF!</v>
      </c>
      <c r="B131" s="749" t="e">
        <f>+#REF!</f>
        <v>#REF!</v>
      </c>
      <c r="C131" s="1729" t="s">
        <v>1</v>
      </c>
      <c r="D131" s="1456">
        <f>J131</f>
        <v>378</v>
      </c>
      <c r="E131" s="650" t="e">
        <f>+#REF!</f>
        <v>#REF!</v>
      </c>
      <c r="F131" s="962" t="e">
        <f>+D131*E131</f>
        <v>#REF!</v>
      </c>
      <c r="H131" s="258">
        <f>20*18</f>
        <v>360</v>
      </c>
      <c r="I131" s="264">
        <v>1.05</v>
      </c>
      <c r="J131" s="258">
        <f>H131*I131</f>
        <v>378</v>
      </c>
    </row>
    <row r="132" spans="1:189" s="205" customFormat="1">
      <c r="A132" s="638" t="e">
        <f>#REF!</f>
        <v>#REF!</v>
      </c>
      <c r="B132" s="749" t="e">
        <f>#REF!</f>
        <v>#REF!</v>
      </c>
      <c r="C132" s="1522" t="e">
        <f>#REF!</f>
        <v>#REF!</v>
      </c>
      <c r="D132" s="1456">
        <f>J132</f>
        <v>918.75</v>
      </c>
      <c r="E132" s="650" t="e">
        <f>+#REF!</f>
        <v>#REF!</v>
      </c>
      <c r="F132" s="962" t="e">
        <f>+D132*E132</f>
        <v>#REF!</v>
      </c>
      <c r="H132" s="258">
        <f>F4+F5</f>
        <v>875</v>
      </c>
      <c r="I132" s="264">
        <v>1.05</v>
      </c>
      <c r="J132" s="258">
        <f>H132*I132</f>
        <v>918.75</v>
      </c>
    </row>
    <row r="133" spans="1:189" s="205" customFormat="1">
      <c r="A133" s="681" t="e">
        <f>+#REF!</f>
        <v>#REF!</v>
      </c>
      <c r="B133" s="681" t="e">
        <f>+#REF!</f>
        <v>#REF!</v>
      </c>
      <c r="C133" s="1523" t="e">
        <f>#REF!</f>
        <v>#REF!</v>
      </c>
      <c r="D133" s="1414">
        <f>J133</f>
        <v>1061.55</v>
      </c>
      <c r="E133" s="547" t="e">
        <f>#REF!</f>
        <v>#REF!</v>
      </c>
      <c r="F133" s="963" t="e">
        <f>+D133*E133</f>
        <v>#REF!</v>
      </c>
      <c r="G133" s="935" t="e">
        <f>SUM(F132:F133)</f>
        <v>#REF!</v>
      </c>
      <c r="H133" s="258">
        <f>F6</f>
        <v>1011</v>
      </c>
      <c r="I133" s="264">
        <v>1.05</v>
      </c>
      <c r="J133" s="258">
        <f>H133*I133</f>
        <v>1061.55</v>
      </c>
    </row>
    <row r="134" spans="1:189" s="198" customFormat="1">
      <c r="A134" s="689" t="e">
        <f>#REF!</f>
        <v>#REF!</v>
      </c>
      <c r="B134" s="711" t="e">
        <f>#REF!</f>
        <v>#REF!</v>
      </c>
      <c r="C134" s="1407"/>
      <c r="D134" s="1416"/>
      <c r="E134" s="641"/>
      <c r="F134" s="740"/>
      <c r="G134" s="225"/>
      <c r="H134" s="259"/>
      <c r="I134" s="265"/>
      <c r="J134" s="259"/>
      <c r="K134" s="199"/>
      <c r="L134" s="199"/>
      <c r="M134" s="199"/>
      <c r="N134" s="199"/>
      <c r="O134" s="199"/>
      <c r="P134" s="199"/>
      <c r="Q134" s="199"/>
      <c r="R134" s="199"/>
      <c r="S134" s="199"/>
      <c r="T134" s="199"/>
      <c r="U134" s="199"/>
      <c r="V134" s="199"/>
      <c r="W134" s="199"/>
      <c r="X134" s="199"/>
      <c r="Y134" s="199"/>
      <c r="Z134" s="199"/>
      <c r="AA134" s="199"/>
      <c r="AB134" s="199"/>
      <c r="AC134" s="199"/>
      <c r="AD134" s="199"/>
      <c r="AE134" s="199"/>
      <c r="AF134" s="199"/>
      <c r="AG134" s="199"/>
      <c r="AH134" s="199"/>
      <c r="AI134" s="199"/>
      <c r="AJ134" s="199"/>
      <c r="AK134" s="199"/>
      <c r="AL134" s="199"/>
      <c r="AM134" s="199"/>
      <c r="AN134" s="199"/>
      <c r="AO134" s="199"/>
      <c r="AP134" s="199"/>
      <c r="AQ134" s="199"/>
      <c r="AR134" s="199"/>
      <c r="AS134" s="199"/>
      <c r="AT134" s="199"/>
      <c r="AU134" s="199"/>
      <c r="AV134" s="199"/>
      <c r="AW134" s="199"/>
      <c r="AX134" s="199"/>
      <c r="AY134" s="199"/>
      <c r="AZ134" s="199"/>
      <c r="BA134" s="199"/>
      <c r="BB134" s="199"/>
      <c r="BC134" s="199"/>
      <c r="BD134" s="199"/>
      <c r="BE134" s="199"/>
      <c r="BF134" s="199"/>
      <c r="BG134" s="199"/>
      <c r="BH134" s="199"/>
      <c r="BI134" s="199"/>
      <c r="BJ134" s="199"/>
      <c r="BK134" s="199"/>
      <c r="BL134" s="199"/>
      <c r="BM134" s="199"/>
      <c r="BN134" s="199"/>
      <c r="BO134" s="199"/>
      <c r="BP134" s="199"/>
      <c r="BQ134" s="199"/>
      <c r="BR134" s="199"/>
      <c r="BS134" s="199"/>
      <c r="BT134" s="199"/>
      <c r="BU134" s="199"/>
      <c r="BV134" s="199"/>
      <c r="BW134" s="199"/>
      <c r="BX134" s="199"/>
      <c r="BY134" s="199"/>
      <c r="BZ134" s="199"/>
      <c r="CA134" s="199"/>
      <c r="CB134" s="199"/>
      <c r="CC134" s="199"/>
      <c r="CD134" s="199"/>
      <c r="CE134" s="199"/>
      <c r="CF134" s="199"/>
      <c r="CG134" s="199"/>
      <c r="CH134" s="199"/>
      <c r="CI134" s="199"/>
      <c r="CJ134" s="199"/>
      <c r="CK134" s="199"/>
      <c r="CL134" s="199"/>
      <c r="CM134" s="199"/>
      <c r="CN134" s="199"/>
      <c r="CO134" s="199"/>
      <c r="CP134" s="199"/>
      <c r="CQ134" s="199"/>
      <c r="CR134" s="199"/>
      <c r="CS134" s="199"/>
      <c r="CT134" s="199"/>
      <c r="CU134" s="199"/>
      <c r="CV134" s="199"/>
      <c r="CW134" s="199"/>
      <c r="CX134" s="199"/>
      <c r="CY134" s="199"/>
      <c r="CZ134" s="199"/>
      <c r="DA134" s="199"/>
      <c r="DB134" s="199"/>
      <c r="DC134" s="199"/>
      <c r="DD134" s="199"/>
      <c r="DE134" s="199"/>
      <c r="DF134" s="199"/>
      <c r="DG134" s="199"/>
      <c r="DH134" s="199"/>
      <c r="DI134" s="199"/>
      <c r="DJ134" s="199"/>
      <c r="DK134" s="199"/>
      <c r="DL134" s="199"/>
      <c r="DM134" s="199"/>
      <c r="DN134" s="199"/>
      <c r="DO134" s="199"/>
      <c r="DP134" s="199"/>
      <c r="DQ134" s="199"/>
      <c r="DR134" s="199"/>
      <c r="DS134" s="199"/>
      <c r="DT134" s="199"/>
      <c r="DU134" s="199"/>
      <c r="DV134" s="199"/>
      <c r="DW134" s="199"/>
      <c r="DX134" s="199"/>
      <c r="DY134" s="199"/>
      <c r="DZ134" s="199"/>
      <c r="EA134" s="199"/>
      <c r="EB134" s="199"/>
      <c r="EC134" s="199"/>
      <c r="ED134" s="199"/>
      <c r="EE134" s="199"/>
      <c r="EF134" s="199"/>
      <c r="EG134" s="199"/>
      <c r="EH134" s="199"/>
      <c r="EI134" s="199"/>
      <c r="EJ134" s="199"/>
      <c r="EK134" s="199"/>
      <c r="EL134" s="199"/>
      <c r="EM134" s="199"/>
      <c r="EN134" s="199"/>
      <c r="EO134" s="199"/>
      <c r="EP134" s="199"/>
      <c r="EQ134" s="199"/>
      <c r="ER134" s="199"/>
      <c r="ES134" s="199"/>
      <c r="ET134" s="199"/>
      <c r="EU134" s="199"/>
      <c r="EV134" s="199"/>
      <c r="EW134" s="199"/>
      <c r="EX134" s="199"/>
      <c r="EY134" s="199"/>
      <c r="EZ134" s="199"/>
      <c r="FA134" s="199"/>
      <c r="FB134" s="199"/>
      <c r="FC134" s="199"/>
      <c r="FD134" s="199"/>
      <c r="FE134" s="199"/>
      <c r="FF134" s="199"/>
      <c r="FG134" s="199"/>
      <c r="FH134" s="199"/>
      <c r="FI134" s="199"/>
      <c r="FJ134" s="199"/>
      <c r="FK134" s="199"/>
      <c r="FL134" s="199"/>
      <c r="FM134" s="199"/>
      <c r="FN134" s="199"/>
      <c r="FO134" s="199"/>
      <c r="FP134" s="199"/>
      <c r="FQ134" s="199"/>
      <c r="FR134" s="199"/>
      <c r="FS134" s="199"/>
      <c r="FT134" s="199"/>
      <c r="FU134" s="199"/>
      <c r="FV134" s="199"/>
      <c r="FW134" s="199"/>
      <c r="FX134" s="199"/>
      <c r="FY134" s="199"/>
      <c r="FZ134" s="199"/>
      <c r="GA134" s="199"/>
      <c r="GB134" s="199"/>
      <c r="GC134" s="199"/>
      <c r="GD134" s="199"/>
      <c r="GE134" s="199"/>
      <c r="GF134" s="199"/>
      <c r="GG134" s="199"/>
    </row>
    <row r="135" spans="1:189" s="225" customFormat="1">
      <c r="A135" s="639"/>
      <c r="B135" s="681"/>
      <c r="C135" s="1408" t="e">
        <f>#REF!</f>
        <v>#REF!</v>
      </c>
      <c r="D135" s="733">
        <v>2</v>
      </c>
      <c r="E135" s="547" t="e">
        <f>#REF!</f>
        <v>#REF!</v>
      </c>
      <c r="F135" s="741" t="e">
        <f>+D135*E135</f>
        <v>#REF!</v>
      </c>
      <c r="G135" s="417" t="e">
        <f>SUM(F135)</f>
        <v>#REF!</v>
      </c>
      <c r="H135" s="259">
        <v>0</v>
      </c>
      <c r="I135" s="265">
        <v>1.05</v>
      </c>
      <c r="J135" s="259">
        <f>H135*I135</f>
        <v>0</v>
      </c>
      <c r="K135" s="226"/>
      <c r="L135" s="226"/>
      <c r="M135" s="226"/>
      <c r="N135" s="226"/>
      <c r="O135" s="226"/>
      <c r="P135" s="226"/>
      <c r="Q135" s="226"/>
      <c r="R135" s="226"/>
      <c r="S135" s="226"/>
      <c r="T135" s="226"/>
      <c r="U135" s="226"/>
      <c r="V135" s="226"/>
      <c r="W135" s="226"/>
      <c r="X135" s="226"/>
      <c r="Y135" s="226"/>
      <c r="Z135" s="226"/>
      <c r="AA135" s="226"/>
      <c r="AB135" s="226"/>
      <c r="AC135" s="226"/>
      <c r="AD135" s="226"/>
      <c r="AE135" s="226"/>
      <c r="AF135" s="226"/>
      <c r="AG135" s="226"/>
      <c r="AH135" s="226"/>
      <c r="AI135" s="226"/>
      <c r="AJ135" s="226"/>
      <c r="AK135" s="226"/>
      <c r="AL135" s="226"/>
      <c r="AM135" s="226"/>
      <c r="AN135" s="226"/>
      <c r="AO135" s="226"/>
      <c r="AP135" s="226"/>
      <c r="AQ135" s="226"/>
      <c r="AR135" s="226"/>
      <c r="AS135" s="226"/>
      <c r="AT135" s="226"/>
      <c r="AU135" s="226"/>
      <c r="AV135" s="226"/>
      <c r="AW135" s="226"/>
      <c r="AX135" s="226"/>
      <c r="AY135" s="226"/>
      <c r="AZ135" s="226"/>
      <c r="BA135" s="226"/>
      <c r="BB135" s="226"/>
      <c r="BC135" s="226"/>
      <c r="BD135" s="226"/>
      <c r="BE135" s="226"/>
      <c r="BF135" s="226"/>
      <c r="BG135" s="226"/>
      <c r="BH135" s="226"/>
      <c r="BI135" s="226"/>
      <c r="BJ135" s="226"/>
      <c r="BK135" s="226"/>
      <c r="BL135" s="226"/>
      <c r="BM135" s="226"/>
      <c r="BN135" s="226"/>
      <c r="BO135" s="226"/>
      <c r="BP135" s="226"/>
      <c r="BQ135" s="226"/>
      <c r="BR135" s="226"/>
      <c r="BS135" s="226"/>
      <c r="BT135" s="226"/>
      <c r="BU135" s="226"/>
      <c r="BV135" s="226"/>
      <c r="BW135" s="226"/>
      <c r="BX135" s="226"/>
      <c r="BY135" s="226"/>
      <c r="BZ135" s="226"/>
      <c r="CA135" s="226"/>
      <c r="CB135" s="226"/>
      <c r="CC135" s="226"/>
      <c r="CD135" s="226"/>
      <c r="CE135" s="226"/>
      <c r="CF135" s="226"/>
      <c r="CG135" s="226"/>
      <c r="CH135" s="226"/>
      <c r="CI135" s="226"/>
      <c r="CJ135" s="226"/>
      <c r="CK135" s="226"/>
      <c r="CL135" s="226"/>
      <c r="CM135" s="226"/>
      <c r="CN135" s="226"/>
      <c r="CO135" s="226"/>
      <c r="CP135" s="226"/>
      <c r="CQ135" s="226"/>
      <c r="CR135" s="226"/>
      <c r="CS135" s="226"/>
      <c r="CT135" s="226"/>
      <c r="CU135" s="226"/>
      <c r="CV135" s="226"/>
      <c r="CW135" s="226"/>
      <c r="CX135" s="226"/>
      <c r="CY135" s="226"/>
      <c r="CZ135" s="226"/>
      <c r="DA135" s="226"/>
      <c r="DB135" s="226"/>
      <c r="DC135" s="226"/>
      <c r="DD135" s="226"/>
      <c r="DE135" s="226"/>
      <c r="DF135" s="226"/>
      <c r="DG135" s="226"/>
      <c r="DH135" s="226"/>
      <c r="DI135" s="226"/>
      <c r="DJ135" s="226"/>
      <c r="DK135" s="226"/>
      <c r="DL135" s="226"/>
      <c r="DM135" s="226"/>
      <c r="DN135" s="226"/>
      <c r="DO135" s="226"/>
      <c r="DP135" s="226"/>
      <c r="DQ135" s="226"/>
      <c r="DR135" s="226"/>
      <c r="DS135" s="226"/>
      <c r="DT135" s="226"/>
      <c r="DU135" s="226"/>
      <c r="DV135" s="226"/>
      <c r="DW135" s="226"/>
      <c r="DX135" s="226"/>
      <c r="DY135" s="226"/>
      <c r="DZ135" s="226"/>
      <c r="EA135" s="226"/>
      <c r="EB135" s="226"/>
      <c r="EC135" s="226"/>
      <c r="ED135" s="226"/>
      <c r="EE135" s="226"/>
      <c r="EF135" s="226"/>
      <c r="EG135" s="226"/>
      <c r="EH135" s="226"/>
      <c r="EI135" s="226"/>
      <c r="EJ135" s="226"/>
      <c r="EK135" s="226"/>
      <c r="EL135" s="226"/>
      <c r="EM135" s="226"/>
      <c r="EN135" s="226"/>
      <c r="EO135" s="226"/>
      <c r="EP135" s="226"/>
      <c r="EQ135" s="226"/>
      <c r="ER135" s="226"/>
      <c r="ES135" s="226"/>
      <c r="ET135" s="226"/>
      <c r="EU135" s="226"/>
      <c r="EV135" s="226"/>
      <c r="EW135" s="226"/>
      <c r="EX135" s="226"/>
      <c r="EY135" s="226"/>
      <c r="EZ135" s="226"/>
      <c r="FA135" s="226"/>
      <c r="FB135" s="226"/>
      <c r="FC135" s="226"/>
      <c r="FD135" s="226"/>
      <c r="FE135" s="226"/>
      <c r="FF135" s="226"/>
      <c r="FG135" s="226"/>
      <c r="FH135" s="226"/>
      <c r="FI135" s="226"/>
      <c r="FJ135" s="226"/>
      <c r="FK135" s="226"/>
      <c r="FL135" s="226"/>
      <c r="FM135" s="226"/>
      <c r="FN135" s="226"/>
      <c r="FO135" s="226"/>
      <c r="FP135" s="226"/>
      <c r="FQ135" s="226"/>
      <c r="FR135" s="226"/>
      <c r="FS135" s="226"/>
      <c r="FT135" s="226"/>
      <c r="FU135" s="226"/>
      <c r="FV135" s="226"/>
      <c r="FW135" s="226"/>
      <c r="FX135" s="226"/>
      <c r="FY135" s="226"/>
      <c r="FZ135" s="226"/>
      <c r="GA135" s="226"/>
      <c r="GB135" s="226"/>
      <c r="GC135" s="226"/>
      <c r="GD135" s="226"/>
      <c r="GE135" s="226"/>
      <c r="GF135" s="226"/>
      <c r="GG135" s="226"/>
    </row>
    <row r="136" spans="1:189" s="225" customFormat="1">
      <c r="A136" s="689" t="e">
        <f>#REF!</f>
        <v>#REF!</v>
      </c>
      <c r="B136" s="711" t="e">
        <f>#REF!</f>
        <v>#REF!</v>
      </c>
      <c r="C136" s="1407"/>
      <c r="D136" s="1416"/>
      <c r="E136" s="641"/>
      <c r="F136" s="740"/>
      <c r="H136" s="259"/>
      <c r="I136" s="265"/>
      <c r="J136" s="259"/>
      <c r="K136" s="226"/>
      <c r="L136" s="226"/>
      <c r="M136" s="226"/>
      <c r="N136" s="226"/>
      <c r="O136" s="226"/>
      <c r="P136" s="226"/>
      <c r="Q136" s="226"/>
      <c r="R136" s="226"/>
      <c r="S136" s="226"/>
      <c r="T136" s="226"/>
      <c r="U136" s="226"/>
      <c r="V136" s="226"/>
      <c r="W136" s="226"/>
      <c r="X136" s="226"/>
      <c r="Y136" s="226"/>
      <c r="Z136" s="226"/>
      <c r="AA136" s="226"/>
      <c r="AB136" s="226"/>
      <c r="AC136" s="226"/>
      <c r="AD136" s="226"/>
      <c r="AE136" s="226"/>
      <c r="AF136" s="226"/>
      <c r="AG136" s="226"/>
      <c r="AH136" s="226"/>
      <c r="AI136" s="226"/>
      <c r="AJ136" s="226"/>
      <c r="AK136" s="226"/>
      <c r="AL136" s="226"/>
      <c r="AM136" s="226"/>
      <c r="AN136" s="226"/>
      <c r="AO136" s="226"/>
      <c r="AP136" s="226"/>
      <c r="AQ136" s="226"/>
      <c r="AR136" s="226"/>
      <c r="AS136" s="226"/>
      <c r="AT136" s="226"/>
      <c r="AU136" s="226"/>
      <c r="AV136" s="226"/>
      <c r="AW136" s="226"/>
      <c r="AX136" s="226"/>
      <c r="AY136" s="226"/>
      <c r="AZ136" s="226"/>
      <c r="BA136" s="226"/>
      <c r="BB136" s="226"/>
      <c r="BC136" s="226"/>
      <c r="BD136" s="226"/>
      <c r="BE136" s="226"/>
      <c r="BF136" s="226"/>
      <c r="BG136" s="226"/>
      <c r="BH136" s="226"/>
      <c r="BI136" s="226"/>
      <c r="BJ136" s="226"/>
      <c r="BK136" s="226"/>
      <c r="BL136" s="226"/>
      <c r="BM136" s="226"/>
      <c r="BN136" s="226"/>
      <c r="BO136" s="226"/>
      <c r="BP136" s="226"/>
      <c r="BQ136" s="226"/>
      <c r="BR136" s="226"/>
      <c r="BS136" s="226"/>
      <c r="BT136" s="226"/>
      <c r="BU136" s="226"/>
      <c r="BV136" s="226"/>
      <c r="BW136" s="226"/>
      <c r="BX136" s="226"/>
      <c r="BY136" s="226"/>
      <c r="BZ136" s="226"/>
      <c r="CA136" s="226"/>
      <c r="CB136" s="226"/>
      <c r="CC136" s="226"/>
      <c r="CD136" s="226"/>
      <c r="CE136" s="226"/>
      <c r="CF136" s="226"/>
      <c r="CG136" s="226"/>
      <c r="CH136" s="226"/>
      <c r="CI136" s="226"/>
      <c r="CJ136" s="226"/>
      <c r="CK136" s="226"/>
      <c r="CL136" s="226"/>
      <c r="CM136" s="226"/>
      <c r="CN136" s="226"/>
      <c r="CO136" s="226"/>
      <c r="CP136" s="226"/>
      <c r="CQ136" s="226"/>
      <c r="CR136" s="226"/>
      <c r="CS136" s="226"/>
      <c r="CT136" s="226"/>
      <c r="CU136" s="226"/>
      <c r="CV136" s="226"/>
      <c r="CW136" s="226"/>
      <c r="CX136" s="226"/>
      <c r="CY136" s="226"/>
      <c r="CZ136" s="226"/>
      <c r="DA136" s="226"/>
      <c r="DB136" s="226"/>
      <c r="DC136" s="226"/>
      <c r="DD136" s="226"/>
      <c r="DE136" s="226"/>
      <c r="DF136" s="226"/>
      <c r="DG136" s="226"/>
      <c r="DH136" s="226"/>
      <c r="DI136" s="226"/>
      <c r="DJ136" s="226"/>
      <c r="DK136" s="226"/>
      <c r="DL136" s="226"/>
      <c r="DM136" s="226"/>
      <c r="DN136" s="226"/>
      <c r="DO136" s="226"/>
      <c r="DP136" s="226"/>
      <c r="DQ136" s="226"/>
      <c r="DR136" s="226"/>
      <c r="DS136" s="226"/>
      <c r="DT136" s="226"/>
      <c r="DU136" s="226"/>
      <c r="DV136" s="226"/>
      <c r="DW136" s="226"/>
      <c r="DX136" s="226"/>
      <c r="DY136" s="226"/>
      <c r="DZ136" s="226"/>
      <c r="EA136" s="226"/>
      <c r="EB136" s="226"/>
      <c r="EC136" s="226"/>
      <c r="ED136" s="226"/>
      <c r="EE136" s="226"/>
      <c r="EF136" s="226"/>
      <c r="EG136" s="226"/>
      <c r="EH136" s="226"/>
      <c r="EI136" s="226"/>
      <c r="EJ136" s="226"/>
      <c r="EK136" s="226"/>
      <c r="EL136" s="226"/>
      <c r="EM136" s="226"/>
      <c r="EN136" s="226"/>
      <c r="EO136" s="226"/>
      <c r="EP136" s="226"/>
      <c r="EQ136" s="226"/>
      <c r="ER136" s="226"/>
      <c r="ES136" s="226"/>
      <c r="ET136" s="226"/>
      <c r="EU136" s="226"/>
      <c r="EV136" s="226"/>
      <c r="EW136" s="226"/>
      <c r="EX136" s="226"/>
      <c r="EY136" s="226"/>
      <c r="EZ136" s="226"/>
      <c r="FA136" s="226"/>
      <c r="FB136" s="226"/>
      <c r="FC136" s="226"/>
      <c r="FD136" s="226"/>
      <c r="FE136" s="226"/>
      <c r="FF136" s="226"/>
      <c r="FG136" s="226"/>
      <c r="FH136" s="226"/>
      <c r="FI136" s="226"/>
      <c r="FJ136" s="226"/>
      <c r="FK136" s="226"/>
      <c r="FL136" s="226"/>
      <c r="FM136" s="226"/>
      <c r="FN136" s="226"/>
      <c r="FO136" s="226"/>
      <c r="FP136" s="226"/>
      <c r="FQ136" s="226"/>
      <c r="FR136" s="226"/>
      <c r="FS136" s="226"/>
      <c r="FT136" s="226"/>
      <c r="FU136" s="226"/>
      <c r="FV136" s="226"/>
      <c r="FW136" s="226"/>
      <c r="FX136" s="226"/>
      <c r="FY136" s="226"/>
      <c r="FZ136" s="226"/>
      <c r="GA136" s="226"/>
      <c r="GB136" s="226"/>
      <c r="GC136" s="226"/>
      <c r="GD136" s="226"/>
      <c r="GE136" s="226"/>
      <c r="GF136" s="226"/>
      <c r="GG136" s="226"/>
    </row>
    <row r="137" spans="1:189" s="225" customFormat="1" ht="30" customHeight="1">
      <c r="A137" s="785" t="e">
        <f>#REF!</f>
        <v>#REF!</v>
      </c>
      <c r="B137" s="764" t="e">
        <f>#REF!</f>
        <v>#REF!</v>
      </c>
      <c r="C137" s="1485" t="e">
        <f>#REF!</f>
        <v>#REF!</v>
      </c>
      <c r="D137" s="730">
        <f>J137</f>
        <v>41.492000000000004</v>
      </c>
      <c r="E137" s="633" t="e">
        <f>#REF!</f>
        <v>#REF!</v>
      </c>
      <c r="F137" s="655" t="e">
        <f>+D137*E137</f>
        <v>#REF!</v>
      </c>
      <c r="H137" s="259">
        <f>(F4+F5+F6)/50</f>
        <v>37.72</v>
      </c>
      <c r="I137" s="265">
        <v>1.1000000000000001</v>
      </c>
      <c r="J137" s="259">
        <f>H137*I137</f>
        <v>41.492000000000004</v>
      </c>
      <c r="K137" s="226"/>
      <c r="L137" s="226"/>
      <c r="M137" s="226"/>
      <c r="N137" s="226"/>
      <c r="O137" s="226"/>
      <c r="P137" s="226"/>
      <c r="Q137" s="226"/>
      <c r="R137" s="226"/>
      <c r="S137" s="226"/>
      <c r="T137" s="226"/>
      <c r="U137" s="226"/>
      <c r="V137" s="226"/>
      <c r="W137" s="226"/>
      <c r="X137" s="226"/>
      <c r="Y137" s="226"/>
      <c r="Z137" s="226"/>
      <c r="AA137" s="226"/>
      <c r="AB137" s="226"/>
      <c r="AC137" s="226"/>
      <c r="AD137" s="226"/>
      <c r="AE137" s="226"/>
      <c r="AF137" s="226"/>
      <c r="AG137" s="226"/>
      <c r="AH137" s="226"/>
      <c r="AI137" s="226"/>
      <c r="AJ137" s="226"/>
      <c r="AK137" s="226"/>
      <c r="AL137" s="226"/>
      <c r="AM137" s="226"/>
      <c r="AN137" s="226"/>
      <c r="AO137" s="226"/>
      <c r="AP137" s="226"/>
      <c r="AQ137" s="226"/>
      <c r="AR137" s="226"/>
      <c r="AS137" s="226"/>
      <c r="AT137" s="226"/>
      <c r="AU137" s="226"/>
      <c r="AV137" s="226"/>
      <c r="AW137" s="226"/>
      <c r="AX137" s="226"/>
      <c r="AY137" s="226"/>
      <c r="AZ137" s="226"/>
      <c r="BA137" s="226"/>
      <c r="BB137" s="226"/>
      <c r="BC137" s="226"/>
      <c r="BD137" s="226"/>
      <c r="BE137" s="226"/>
      <c r="BF137" s="226"/>
      <c r="BG137" s="226"/>
      <c r="BH137" s="226"/>
      <c r="BI137" s="226"/>
      <c r="BJ137" s="226"/>
      <c r="BK137" s="226"/>
      <c r="BL137" s="226"/>
      <c r="BM137" s="226"/>
      <c r="BN137" s="226"/>
      <c r="BO137" s="226"/>
      <c r="BP137" s="226"/>
      <c r="BQ137" s="226"/>
      <c r="BR137" s="226"/>
      <c r="BS137" s="226"/>
      <c r="BT137" s="226"/>
      <c r="BU137" s="226"/>
      <c r="BV137" s="226"/>
      <c r="BW137" s="226"/>
      <c r="BX137" s="226"/>
      <c r="BY137" s="226"/>
      <c r="BZ137" s="226"/>
      <c r="CA137" s="226"/>
      <c r="CB137" s="226"/>
      <c r="CC137" s="226"/>
      <c r="CD137" s="226"/>
      <c r="CE137" s="226"/>
      <c r="CF137" s="226"/>
      <c r="CG137" s="226"/>
      <c r="CH137" s="226"/>
      <c r="CI137" s="226"/>
      <c r="CJ137" s="226"/>
      <c r="CK137" s="226"/>
      <c r="CL137" s="226"/>
      <c r="CM137" s="226"/>
      <c r="CN137" s="226"/>
      <c r="CO137" s="226"/>
      <c r="CP137" s="226"/>
      <c r="CQ137" s="226"/>
      <c r="CR137" s="226"/>
      <c r="CS137" s="226"/>
      <c r="CT137" s="226"/>
      <c r="CU137" s="226"/>
      <c r="CV137" s="226"/>
      <c r="CW137" s="226"/>
      <c r="CX137" s="226"/>
      <c r="CY137" s="226"/>
      <c r="CZ137" s="226"/>
      <c r="DA137" s="226"/>
      <c r="DB137" s="226"/>
      <c r="DC137" s="226"/>
      <c r="DD137" s="226"/>
      <c r="DE137" s="226"/>
      <c r="DF137" s="226"/>
      <c r="DG137" s="226"/>
      <c r="DH137" s="226"/>
      <c r="DI137" s="226"/>
      <c r="DJ137" s="226"/>
      <c r="DK137" s="226"/>
      <c r="DL137" s="226"/>
      <c r="DM137" s="226"/>
      <c r="DN137" s="226"/>
      <c r="DO137" s="226"/>
      <c r="DP137" s="226"/>
      <c r="DQ137" s="226"/>
      <c r="DR137" s="226"/>
      <c r="DS137" s="226"/>
      <c r="DT137" s="226"/>
      <c r="DU137" s="226"/>
      <c r="DV137" s="226"/>
      <c r="DW137" s="226"/>
      <c r="DX137" s="226"/>
      <c r="DY137" s="226"/>
      <c r="DZ137" s="226"/>
      <c r="EA137" s="226"/>
      <c r="EB137" s="226"/>
      <c r="EC137" s="226"/>
      <c r="ED137" s="226"/>
      <c r="EE137" s="226"/>
      <c r="EF137" s="226"/>
      <c r="EG137" s="226"/>
      <c r="EH137" s="226"/>
      <c r="EI137" s="226"/>
      <c r="EJ137" s="226"/>
      <c r="EK137" s="226"/>
      <c r="EL137" s="226"/>
      <c r="EM137" s="226"/>
      <c r="EN137" s="226"/>
      <c r="EO137" s="226"/>
      <c r="EP137" s="226"/>
      <c r="EQ137" s="226"/>
      <c r="ER137" s="226"/>
      <c r="ES137" s="226"/>
      <c r="ET137" s="226"/>
      <c r="EU137" s="226"/>
      <c r="EV137" s="226"/>
      <c r="EW137" s="226"/>
      <c r="EX137" s="226"/>
      <c r="EY137" s="226"/>
      <c r="EZ137" s="226"/>
      <c r="FA137" s="226"/>
      <c r="FB137" s="226"/>
      <c r="FC137" s="226"/>
      <c r="FD137" s="226"/>
      <c r="FE137" s="226"/>
      <c r="FF137" s="226"/>
      <c r="FG137" s="226"/>
      <c r="FH137" s="226"/>
      <c r="FI137" s="226"/>
      <c r="FJ137" s="226"/>
      <c r="FK137" s="226"/>
      <c r="FL137" s="226"/>
      <c r="FM137" s="226"/>
      <c r="FN137" s="226"/>
      <c r="FO137" s="226"/>
      <c r="FP137" s="226"/>
      <c r="FQ137" s="226"/>
      <c r="FR137" s="226"/>
      <c r="FS137" s="226"/>
      <c r="FT137" s="226"/>
      <c r="FU137" s="226"/>
      <c r="FV137" s="226"/>
      <c r="FW137" s="226"/>
      <c r="FX137" s="226"/>
      <c r="FY137" s="226"/>
      <c r="FZ137" s="226"/>
      <c r="GA137" s="226"/>
      <c r="GB137" s="226"/>
      <c r="GC137" s="226"/>
      <c r="GD137" s="226"/>
      <c r="GE137" s="226"/>
      <c r="GF137" s="226"/>
      <c r="GG137" s="226"/>
    </row>
    <row r="138" spans="1:189" s="225" customFormat="1">
      <c r="A138" s="765" t="e">
        <f>#REF!</f>
        <v>#REF!</v>
      </c>
      <c r="B138" s="1429" t="e">
        <f>#REF!</f>
        <v>#REF!</v>
      </c>
      <c r="C138" s="1408" t="e">
        <f>#REF!</f>
        <v>#REF!</v>
      </c>
      <c r="D138" s="733">
        <f>J138</f>
        <v>569.99250000000018</v>
      </c>
      <c r="E138" s="527" t="e">
        <f>#REF!</f>
        <v>#REF!</v>
      </c>
      <c r="F138" s="741" t="e">
        <f>+D138*E138</f>
        <v>#REF!</v>
      </c>
      <c r="G138" s="417" t="e">
        <f>SUM(F137:F138)</f>
        <v>#REF!</v>
      </c>
      <c r="H138" s="259">
        <f>SUM(D127:D129)/12</f>
        <v>518.17500000000007</v>
      </c>
      <c r="I138" s="265">
        <v>1.1000000000000001</v>
      </c>
      <c r="J138" s="259">
        <f>H138*I138</f>
        <v>569.99250000000018</v>
      </c>
      <c r="K138" s="226"/>
      <c r="L138" s="226"/>
      <c r="M138" s="226"/>
      <c r="N138" s="226"/>
      <c r="O138" s="226"/>
      <c r="P138" s="226"/>
      <c r="Q138" s="226"/>
      <c r="R138" s="226"/>
      <c r="S138" s="226"/>
      <c r="T138" s="226"/>
      <c r="U138" s="226"/>
      <c r="V138" s="226"/>
      <c r="W138" s="226"/>
      <c r="X138" s="226"/>
      <c r="Y138" s="226"/>
      <c r="Z138" s="226"/>
      <c r="AA138" s="226"/>
      <c r="AB138" s="226"/>
      <c r="AC138" s="226"/>
      <c r="AD138" s="226"/>
      <c r="AE138" s="226"/>
      <c r="AF138" s="226"/>
      <c r="AG138" s="226"/>
      <c r="AH138" s="226"/>
      <c r="AI138" s="226"/>
      <c r="AJ138" s="226"/>
      <c r="AK138" s="226"/>
      <c r="AL138" s="226"/>
      <c r="AM138" s="226"/>
      <c r="AN138" s="226"/>
      <c r="AO138" s="226"/>
      <c r="AP138" s="226"/>
      <c r="AQ138" s="226"/>
      <c r="AR138" s="226"/>
      <c r="AS138" s="226"/>
      <c r="AT138" s="226"/>
      <c r="AU138" s="226"/>
      <c r="AV138" s="226"/>
      <c r="AW138" s="226"/>
      <c r="AX138" s="226"/>
      <c r="AY138" s="226"/>
      <c r="AZ138" s="226"/>
      <c r="BA138" s="226"/>
      <c r="BB138" s="226"/>
      <c r="BC138" s="226"/>
      <c r="BD138" s="226"/>
      <c r="BE138" s="226"/>
      <c r="BF138" s="226"/>
      <c r="BG138" s="226"/>
      <c r="BH138" s="226"/>
      <c r="BI138" s="226"/>
      <c r="BJ138" s="226"/>
      <c r="BK138" s="226"/>
      <c r="BL138" s="226"/>
      <c r="BM138" s="226"/>
      <c r="BN138" s="226"/>
      <c r="BO138" s="226"/>
      <c r="BP138" s="226"/>
      <c r="BQ138" s="226"/>
      <c r="BR138" s="226"/>
      <c r="BS138" s="226"/>
      <c r="BT138" s="226"/>
      <c r="BU138" s="226"/>
      <c r="BV138" s="226"/>
      <c r="BW138" s="226"/>
      <c r="BX138" s="226"/>
      <c r="BY138" s="226"/>
      <c r="BZ138" s="226"/>
      <c r="CA138" s="226"/>
      <c r="CB138" s="226"/>
      <c r="CC138" s="226"/>
      <c r="CD138" s="226"/>
      <c r="CE138" s="226"/>
      <c r="CF138" s="226"/>
      <c r="CG138" s="226"/>
      <c r="CH138" s="226"/>
      <c r="CI138" s="226"/>
      <c r="CJ138" s="226"/>
      <c r="CK138" s="226"/>
      <c r="CL138" s="226"/>
      <c r="CM138" s="226"/>
      <c r="CN138" s="226"/>
      <c r="CO138" s="226"/>
      <c r="CP138" s="226"/>
      <c r="CQ138" s="226"/>
      <c r="CR138" s="226"/>
      <c r="CS138" s="226"/>
      <c r="CT138" s="226"/>
      <c r="CU138" s="226"/>
      <c r="CV138" s="226"/>
      <c r="CW138" s="226"/>
      <c r="CX138" s="226"/>
      <c r="CY138" s="226"/>
      <c r="CZ138" s="226"/>
      <c r="DA138" s="226"/>
      <c r="DB138" s="226"/>
      <c r="DC138" s="226"/>
      <c r="DD138" s="226"/>
      <c r="DE138" s="226"/>
      <c r="DF138" s="226"/>
      <c r="DG138" s="226"/>
      <c r="DH138" s="226"/>
      <c r="DI138" s="226"/>
      <c r="DJ138" s="226"/>
      <c r="DK138" s="226"/>
      <c r="DL138" s="226"/>
      <c r="DM138" s="226"/>
      <c r="DN138" s="226"/>
      <c r="DO138" s="226"/>
      <c r="DP138" s="226"/>
      <c r="DQ138" s="226"/>
      <c r="DR138" s="226"/>
      <c r="DS138" s="226"/>
      <c r="DT138" s="226"/>
      <c r="DU138" s="226"/>
      <c r="DV138" s="226"/>
      <c r="DW138" s="226"/>
      <c r="DX138" s="226"/>
      <c r="DY138" s="226"/>
      <c r="DZ138" s="226"/>
      <c r="EA138" s="226"/>
      <c r="EB138" s="226"/>
      <c r="EC138" s="226"/>
      <c r="ED138" s="226"/>
      <c r="EE138" s="226"/>
      <c r="EF138" s="226"/>
      <c r="EG138" s="226"/>
      <c r="EH138" s="226"/>
      <c r="EI138" s="226"/>
      <c r="EJ138" s="226"/>
      <c r="EK138" s="226"/>
      <c r="EL138" s="226"/>
      <c r="EM138" s="226"/>
      <c r="EN138" s="226"/>
      <c r="EO138" s="226"/>
      <c r="EP138" s="226"/>
      <c r="EQ138" s="226"/>
      <c r="ER138" s="226"/>
      <c r="ES138" s="226"/>
      <c r="ET138" s="226"/>
      <c r="EU138" s="226"/>
      <c r="EV138" s="226"/>
      <c r="EW138" s="226"/>
      <c r="EX138" s="226"/>
      <c r="EY138" s="226"/>
      <c r="EZ138" s="226"/>
      <c r="FA138" s="226"/>
      <c r="FB138" s="226"/>
      <c r="FC138" s="226"/>
      <c r="FD138" s="226"/>
      <c r="FE138" s="226"/>
      <c r="FF138" s="226"/>
      <c r="FG138" s="226"/>
      <c r="FH138" s="226"/>
      <c r="FI138" s="226"/>
      <c r="FJ138" s="226"/>
      <c r="FK138" s="226"/>
      <c r="FL138" s="226"/>
      <c r="FM138" s="226"/>
      <c r="FN138" s="226"/>
      <c r="FO138" s="226"/>
      <c r="FP138" s="226"/>
      <c r="FQ138" s="226"/>
      <c r="FR138" s="226"/>
      <c r="FS138" s="226"/>
      <c r="FT138" s="226"/>
      <c r="FU138" s="226"/>
      <c r="FV138" s="226"/>
      <c r="FW138" s="226"/>
      <c r="FX138" s="226"/>
      <c r="FY138" s="226"/>
      <c r="FZ138" s="226"/>
      <c r="GA138" s="226"/>
      <c r="GB138" s="226"/>
      <c r="GC138" s="226"/>
      <c r="GD138" s="226"/>
      <c r="GE138" s="226"/>
      <c r="GF138" s="226"/>
      <c r="GG138" s="226"/>
    </row>
    <row r="139" spans="1:189" s="205" customFormat="1">
      <c r="A139" s="745" t="e">
        <f>#REF!</f>
        <v>#REF!</v>
      </c>
      <c r="B139" s="830" t="e">
        <f>#REF!</f>
        <v>#REF!</v>
      </c>
      <c r="C139" s="1264"/>
      <c r="D139" s="1484"/>
      <c r="E139" s="544"/>
      <c r="F139" s="1136"/>
      <c r="H139" s="258"/>
      <c r="I139" s="264"/>
      <c r="J139" s="258"/>
    </row>
    <row r="140" spans="1:189" s="205" customFormat="1">
      <c r="A140" s="639" t="e">
        <f>#REF!</f>
        <v>#REF!</v>
      </c>
      <c r="B140" s="681" t="e">
        <f>#REF!</f>
        <v>#REF!</v>
      </c>
      <c r="C140" s="1523" t="e">
        <f>#REF!</f>
        <v>#REF!</v>
      </c>
      <c r="D140" s="1414">
        <f>J140</f>
        <v>2977.8</v>
      </c>
      <c r="E140" s="547" t="e">
        <f>+#REF!</f>
        <v>#REF!</v>
      </c>
      <c r="F140" s="963" t="e">
        <f>+D140*E140</f>
        <v>#REF!</v>
      </c>
      <c r="H140" s="258">
        <f>F4+F6+F3+F5+F7</f>
        <v>2836</v>
      </c>
      <c r="I140" s="264">
        <v>1.05</v>
      </c>
      <c r="J140" s="258">
        <f>H140*I140</f>
        <v>2977.8</v>
      </c>
    </row>
    <row r="141" spans="1:189" s="225" customFormat="1">
      <c r="A141" s="745" t="e">
        <f>#REF!</f>
        <v>#REF!</v>
      </c>
      <c r="B141" s="830" t="e">
        <f>#REF!</f>
        <v>#REF!</v>
      </c>
      <c r="C141" s="1407"/>
      <c r="D141" s="1416"/>
      <c r="E141" s="641" t="s">
        <v>537</v>
      </c>
      <c r="F141" s="740"/>
      <c r="H141" s="259"/>
      <c r="I141" s="265"/>
      <c r="J141" s="259"/>
      <c r="K141" s="226"/>
      <c r="L141" s="226"/>
      <c r="M141" s="226"/>
      <c r="N141" s="226"/>
      <c r="O141" s="226"/>
      <c r="P141" s="226"/>
      <c r="Q141" s="226"/>
      <c r="R141" s="226"/>
      <c r="S141" s="226"/>
      <c r="T141" s="226"/>
      <c r="U141" s="226"/>
      <c r="V141" s="226"/>
      <c r="W141" s="226"/>
      <c r="X141" s="226"/>
      <c r="Y141" s="226"/>
      <c r="Z141" s="226"/>
      <c r="AA141" s="226"/>
      <c r="AB141" s="226"/>
      <c r="AC141" s="226"/>
      <c r="AD141" s="226"/>
      <c r="AE141" s="226"/>
      <c r="AF141" s="226"/>
      <c r="AG141" s="226"/>
      <c r="AH141" s="226"/>
      <c r="AI141" s="226"/>
      <c r="AJ141" s="226"/>
      <c r="AK141" s="226"/>
      <c r="AL141" s="226"/>
      <c r="AM141" s="226"/>
      <c r="AN141" s="226"/>
      <c r="AO141" s="226"/>
      <c r="AP141" s="226"/>
      <c r="AQ141" s="226"/>
      <c r="AR141" s="226"/>
      <c r="AS141" s="226"/>
      <c r="AT141" s="226"/>
      <c r="AU141" s="226"/>
      <c r="AV141" s="226"/>
      <c r="AW141" s="226"/>
      <c r="AX141" s="226"/>
      <c r="AY141" s="226"/>
      <c r="AZ141" s="226"/>
      <c r="BA141" s="226"/>
      <c r="BB141" s="226"/>
      <c r="BC141" s="226"/>
      <c r="BD141" s="226"/>
      <c r="BE141" s="226"/>
      <c r="BF141" s="226"/>
      <c r="BG141" s="226"/>
      <c r="BH141" s="226"/>
      <c r="BI141" s="226"/>
      <c r="BJ141" s="226"/>
      <c r="BK141" s="226"/>
      <c r="BL141" s="226"/>
      <c r="BM141" s="226"/>
      <c r="BN141" s="226"/>
      <c r="BO141" s="226"/>
      <c r="BP141" s="226"/>
      <c r="BQ141" s="226"/>
      <c r="BR141" s="226"/>
      <c r="BS141" s="226"/>
      <c r="BT141" s="226"/>
      <c r="BU141" s="226"/>
      <c r="BV141" s="226"/>
      <c r="BW141" s="226"/>
      <c r="BX141" s="226"/>
      <c r="BY141" s="226"/>
      <c r="BZ141" s="226"/>
      <c r="CA141" s="226"/>
      <c r="CB141" s="226"/>
      <c r="CC141" s="226"/>
      <c r="CD141" s="226"/>
      <c r="CE141" s="226"/>
      <c r="CF141" s="226"/>
      <c r="CG141" s="226"/>
      <c r="CH141" s="226"/>
      <c r="CI141" s="226"/>
      <c r="CJ141" s="226"/>
      <c r="CK141" s="226"/>
      <c r="CL141" s="226"/>
      <c r="CM141" s="226"/>
      <c r="CN141" s="226"/>
      <c r="CO141" s="226"/>
      <c r="CP141" s="226"/>
      <c r="CQ141" s="226"/>
      <c r="CR141" s="226"/>
      <c r="CS141" s="226"/>
      <c r="CT141" s="226"/>
      <c r="CU141" s="226"/>
      <c r="CV141" s="226"/>
      <c r="CW141" s="226"/>
      <c r="CX141" s="226"/>
      <c r="CY141" s="226"/>
      <c r="CZ141" s="226"/>
      <c r="DA141" s="226"/>
      <c r="DB141" s="226"/>
      <c r="DC141" s="226"/>
      <c r="DD141" s="226"/>
      <c r="DE141" s="226"/>
      <c r="DF141" s="226"/>
      <c r="DG141" s="226"/>
      <c r="DH141" s="226"/>
      <c r="DI141" s="226"/>
      <c r="DJ141" s="226"/>
      <c r="DK141" s="226"/>
      <c r="DL141" s="226"/>
      <c r="DM141" s="226"/>
      <c r="DN141" s="226"/>
      <c r="DO141" s="226"/>
      <c r="DP141" s="226"/>
      <c r="DQ141" s="226"/>
      <c r="DR141" s="226"/>
      <c r="DS141" s="226"/>
      <c r="DT141" s="226"/>
      <c r="DU141" s="226"/>
      <c r="DV141" s="226"/>
      <c r="DW141" s="226"/>
      <c r="DX141" s="226"/>
      <c r="DY141" s="226"/>
      <c r="DZ141" s="226"/>
      <c r="EA141" s="226"/>
      <c r="EB141" s="226"/>
      <c r="EC141" s="226"/>
      <c r="ED141" s="226"/>
      <c r="EE141" s="226"/>
      <c r="EF141" s="226"/>
      <c r="EG141" s="226"/>
      <c r="EH141" s="226"/>
      <c r="EI141" s="226"/>
      <c r="EJ141" s="226"/>
      <c r="EK141" s="226"/>
      <c r="EL141" s="226"/>
      <c r="EM141" s="226"/>
      <c r="EN141" s="226"/>
      <c r="EO141" s="226"/>
      <c r="EP141" s="226"/>
      <c r="EQ141" s="226"/>
      <c r="ER141" s="226"/>
      <c r="ES141" s="226"/>
      <c r="ET141" s="226"/>
      <c r="EU141" s="226"/>
      <c r="EV141" s="226"/>
      <c r="EW141" s="226"/>
      <c r="EX141" s="226"/>
      <c r="EY141" s="226"/>
      <c r="EZ141" s="226"/>
      <c r="FA141" s="226"/>
      <c r="FB141" s="226"/>
      <c r="FC141" s="226"/>
      <c r="FD141" s="226"/>
      <c r="FE141" s="226"/>
      <c r="FF141" s="226"/>
      <c r="FG141" s="226"/>
      <c r="FH141" s="226"/>
      <c r="FI141" s="226"/>
      <c r="FJ141" s="226"/>
      <c r="FK141" s="226"/>
      <c r="FL141" s="226"/>
      <c r="FM141" s="226"/>
      <c r="FN141" s="226"/>
      <c r="FO141" s="226"/>
      <c r="FP141" s="226"/>
      <c r="FQ141" s="226"/>
      <c r="FR141" s="226"/>
      <c r="FS141" s="226"/>
      <c r="FT141" s="226"/>
      <c r="FU141" s="226"/>
      <c r="FV141" s="226"/>
      <c r="FW141" s="226"/>
      <c r="FX141" s="226"/>
      <c r="FY141" s="226"/>
      <c r="FZ141" s="226"/>
      <c r="GA141" s="226"/>
      <c r="GB141" s="226"/>
      <c r="GC141" s="226"/>
      <c r="GD141" s="226"/>
      <c r="GE141" s="226"/>
      <c r="GF141" s="226"/>
      <c r="GG141" s="226"/>
    </row>
    <row r="142" spans="1:189" s="225" customFormat="1">
      <c r="A142" s="639" t="e">
        <f>#REF!</f>
        <v>#REF!</v>
      </c>
      <c r="B142" s="681" t="e">
        <f>#REF!</f>
        <v>#REF!</v>
      </c>
      <c r="C142" s="1408" t="e">
        <f>#REF!</f>
        <v>#REF!</v>
      </c>
      <c r="D142" s="733">
        <f>J142</f>
        <v>315</v>
      </c>
      <c r="E142" s="527" t="e">
        <f>#REF!</f>
        <v>#REF!</v>
      </c>
      <c r="F142" s="741" t="e">
        <f>+D142*E142</f>
        <v>#REF!</v>
      </c>
      <c r="G142" s="417" t="e">
        <f>SUM(F142)</f>
        <v>#REF!</v>
      </c>
      <c r="H142" s="259">
        <f>F7</f>
        <v>300</v>
      </c>
      <c r="I142" s="265">
        <v>1.05</v>
      </c>
      <c r="J142" s="259">
        <f>H142*I142</f>
        <v>315</v>
      </c>
      <c r="K142" s="226"/>
      <c r="L142" s="226"/>
      <c r="M142" s="226"/>
      <c r="N142" s="226"/>
      <c r="O142" s="226"/>
      <c r="P142" s="226"/>
      <c r="Q142" s="226"/>
      <c r="R142" s="226"/>
      <c r="S142" s="226"/>
      <c r="T142" s="226"/>
      <c r="U142" s="226"/>
      <c r="V142" s="226"/>
      <c r="W142" s="226"/>
      <c r="X142" s="226"/>
      <c r="Y142" s="226"/>
      <c r="Z142" s="226"/>
      <c r="AA142" s="226"/>
      <c r="AB142" s="226"/>
      <c r="AC142" s="226"/>
      <c r="AD142" s="226"/>
      <c r="AE142" s="226"/>
      <c r="AF142" s="226"/>
      <c r="AG142" s="226"/>
      <c r="AH142" s="226"/>
      <c r="AI142" s="226"/>
      <c r="AJ142" s="226"/>
      <c r="AK142" s="226"/>
      <c r="AL142" s="226"/>
      <c r="AM142" s="226"/>
      <c r="AN142" s="226"/>
      <c r="AO142" s="226"/>
      <c r="AP142" s="226"/>
      <c r="AQ142" s="226"/>
      <c r="AR142" s="226"/>
      <c r="AS142" s="226"/>
      <c r="AT142" s="226"/>
      <c r="AU142" s="226"/>
      <c r="AV142" s="226"/>
      <c r="AW142" s="226"/>
      <c r="AX142" s="226"/>
      <c r="AY142" s="226"/>
      <c r="AZ142" s="226"/>
      <c r="BA142" s="226"/>
      <c r="BB142" s="226"/>
      <c r="BC142" s="226"/>
      <c r="BD142" s="226"/>
      <c r="BE142" s="226"/>
      <c r="BF142" s="226"/>
      <c r="BG142" s="226"/>
      <c r="BH142" s="226"/>
      <c r="BI142" s="226"/>
      <c r="BJ142" s="226"/>
      <c r="BK142" s="226"/>
      <c r="BL142" s="226"/>
      <c r="BM142" s="226"/>
      <c r="BN142" s="226"/>
      <c r="BO142" s="226"/>
      <c r="BP142" s="226"/>
      <c r="BQ142" s="226"/>
      <c r="BR142" s="226"/>
      <c r="BS142" s="226"/>
      <c r="BT142" s="226"/>
      <c r="BU142" s="226"/>
      <c r="BV142" s="226"/>
      <c r="BW142" s="226"/>
      <c r="BX142" s="226"/>
      <c r="BY142" s="226"/>
      <c r="BZ142" s="226"/>
      <c r="CA142" s="226"/>
      <c r="CB142" s="226"/>
      <c r="CC142" s="226"/>
      <c r="CD142" s="226"/>
      <c r="CE142" s="226"/>
      <c r="CF142" s="226"/>
      <c r="CG142" s="226"/>
      <c r="CH142" s="226"/>
      <c r="CI142" s="226"/>
      <c r="CJ142" s="226"/>
      <c r="CK142" s="226"/>
      <c r="CL142" s="226"/>
      <c r="CM142" s="226"/>
      <c r="CN142" s="226"/>
      <c r="CO142" s="226"/>
      <c r="CP142" s="226"/>
      <c r="CQ142" s="226"/>
      <c r="CR142" s="226"/>
      <c r="CS142" s="226"/>
      <c r="CT142" s="226"/>
      <c r="CU142" s="226"/>
      <c r="CV142" s="226"/>
      <c r="CW142" s="226"/>
      <c r="CX142" s="226"/>
      <c r="CY142" s="226"/>
      <c r="CZ142" s="226"/>
      <c r="DA142" s="226"/>
      <c r="DB142" s="226"/>
      <c r="DC142" s="226"/>
      <c r="DD142" s="226"/>
      <c r="DE142" s="226"/>
      <c r="DF142" s="226"/>
      <c r="DG142" s="226"/>
      <c r="DH142" s="226"/>
      <c r="DI142" s="226"/>
      <c r="DJ142" s="226"/>
      <c r="DK142" s="226"/>
      <c r="DL142" s="226"/>
      <c r="DM142" s="226"/>
      <c r="DN142" s="226"/>
      <c r="DO142" s="226"/>
      <c r="DP142" s="226"/>
      <c r="DQ142" s="226"/>
      <c r="DR142" s="226"/>
      <c r="DS142" s="226"/>
      <c r="DT142" s="226"/>
      <c r="DU142" s="226"/>
      <c r="DV142" s="226"/>
      <c r="DW142" s="226"/>
      <c r="DX142" s="226"/>
      <c r="DY142" s="226"/>
      <c r="DZ142" s="226"/>
      <c r="EA142" s="226"/>
      <c r="EB142" s="226"/>
      <c r="EC142" s="226"/>
      <c r="ED142" s="226"/>
      <c r="EE142" s="226"/>
      <c r="EF142" s="226"/>
      <c r="EG142" s="226"/>
      <c r="EH142" s="226"/>
      <c r="EI142" s="226"/>
      <c r="EJ142" s="226"/>
      <c r="EK142" s="226"/>
      <c r="EL142" s="226"/>
      <c r="EM142" s="226"/>
      <c r="EN142" s="226"/>
      <c r="EO142" s="226"/>
      <c r="EP142" s="226"/>
      <c r="EQ142" s="226"/>
      <c r="ER142" s="226"/>
      <c r="ES142" s="226"/>
      <c r="ET142" s="226"/>
      <c r="EU142" s="226"/>
      <c r="EV142" s="226"/>
      <c r="EW142" s="226"/>
      <c r="EX142" s="226"/>
      <c r="EY142" s="226"/>
      <c r="EZ142" s="226"/>
      <c r="FA142" s="226"/>
      <c r="FB142" s="226"/>
      <c r="FC142" s="226"/>
      <c r="FD142" s="226"/>
      <c r="FE142" s="226"/>
      <c r="FF142" s="226"/>
      <c r="FG142" s="226"/>
      <c r="FH142" s="226"/>
      <c r="FI142" s="226"/>
      <c r="FJ142" s="226"/>
      <c r="FK142" s="226"/>
      <c r="FL142" s="226"/>
      <c r="FM142" s="226"/>
      <c r="FN142" s="226"/>
      <c r="FO142" s="226"/>
      <c r="FP142" s="226"/>
      <c r="FQ142" s="226"/>
      <c r="FR142" s="226"/>
      <c r="FS142" s="226"/>
      <c r="FT142" s="226"/>
      <c r="FU142" s="226"/>
      <c r="FV142" s="226"/>
      <c r="FW142" s="226"/>
      <c r="FX142" s="226"/>
      <c r="FY142" s="226"/>
      <c r="FZ142" s="226"/>
      <c r="GA142" s="226"/>
      <c r="GB142" s="226"/>
      <c r="GC142" s="226"/>
      <c r="GD142" s="226"/>
      <c r="GE142" s="226"/>
      <c r="GF142" s="226"/>
      <c r="GG142" s="226"/>
    </row>
    <row r="143" spans="1:189" ht="18.75">
      <c r="A143" s="736"/>
      <c r="B143" s="239"/>
      <c r="C143" s="686"/>
      <c r="D143" s="635"/>
      <c r="E143" s="636" t="s">
        <v>113</v>
      </c>
      <c r="F143" s="637" t="e">
        <f>SUM(F108:F142)</f>
        <v>#REF!</v>
      </c>
    </row>
    <row r="144" spans="1:189" s="129" customFormat="1" ht="15" customHeight="1">
      <c r="A144" s="406"/>
      <c r="B144" s="12"/>
      <c r="C144" s="13"/>
      <c r="D144" s="76"/>
      <c r="E144" s="142"/>
      <c r="F144" s="66"/>
      <c r="G144" s="142"/>
      <c r="H144" s="262"/>
      <c r="I144" s="262"/>
      <c r="J144" s="255"/>
    </row>
    <row r="145" spans="1:12" s="129" customFormat="1" ht="24.95" customHeight="1">
      <c r="A145" s="1972" t="e">
        <f>#REF!</f>
        <v>#REF!</v>
      </c>
      <c r="B145" s="1973"/>
      <c r="C145" s="1973"/>
      <c r="D145" s="1973"/>
      <c r="E145" s="1973"/>
      <c r="F145" s="1974"/>
      <c r="G145" s="142"/>
      <c r="H145" s="415"/>
      <c r="I145" s="262"/>
      <c r="J145" s="255"/>
    </row>
    <row r="146" spans="1:12" s="129" customFormat="1">
      <c r="A146" s="689" t="e">
        <f>#REF!</f>
        <v>#REF!</v>
      </c>
      <c r="B146" s="711" t="e">
        <f>#REF!</f>
        <v>#REF!</v>
      </c>
      <c r="C146" s="1478"/>
      <c r="D146" s="742"/>
      <c r="E146" s="641"/>
      <c r="F146" s="740"/>
      <c r="G146" s="142"/>
      <c r="H146" s="255"/>
      <c r="I146" s="262"/>
      <c r="J146" s="255"/>
    </row>
    <row r="147" spans="1:12" s="129" customFormat="1">
      <c r="A147" s="750" t="e">
        <f>#REF!</f>
        <v>#REF!</v>
      </c>
      <c r="B147" s="677" t="e">
        <f>#REF!</f>
        <v>#REF!</v>
      </c>
      <c r="C147" s="1525" t="e">
        <f>#REF!</f>
        <v>#REF!</v>
      </c>
      <c r="D147" s="827">
        <f>J147</f>
        <v>339</v>
      </c>
      <c r="E147" s="633" t="e">
        <f>#REF!</f>
        <v>#REF!</v>
      </c>
      <c r="F147" s="655" t="e">
        <f>+D147*E147</f>
        <v>#REF!</v>
      </c>
      <c r="G147" s="142"/>
      <c r="H147" s="255">
        <f>SUM(F3:F9)/25</f>
        <v>322.72000000000003</v>
      </c>
      <c r="I147" s="262">
        <v>1.05</v>
      </c>
      <c r="J147" s="255">
        <f>ROUND(H147*I147,0)</f>
        <v>339</v>
      </c>
    </row>
    <row r="148" spans="1:12" s="129" customFormat="1">
      <c r="A148" s="751" t="e">
        <f>#REF!</f>
        <v>#REF!</v>
      </c>
      <c r="B148" s="753" t="e">
        <f>#REF!</f>
        <v>#REF!</v>
      </c>
      <c r="C148" s="643" t="e">
        <f>#REF!</f>
        <v>#REF!</v>
      </c>
      <c r="D148" s="808"/>
      <c r="E148" s="527" t="e">
        <f>#REF!</f>
        <v>#REF!</v>
      </c>
      <c r="F148" s="741" t="e">
        <f>+D148*E148</f>
        <v>#REF!</v>
      </c>
      <c r="G148" s="142"/>
      <c r="H148" s="255"/>
      <c r="I148" s="262"/>
      <c r="J148" s="255"/>
    </row>
    <row r="149" spans="1:12" s="129" customFormat="1">
      <c r="A149" s="689" t="e">
        <f>#REF!</f>
        <v>#REF!</v>
      </c>
      <c r="B149" s="711" t="e">
        <f>#REF!</f>
        <v>#REF!</v>
      </c>
      <c r="C149" s="1478"/>
      <c r="D149" s="742"/>
      <c r="E149" s="641"/>
      <c r="F149" s="740"/>
      <c r="G149" s="142"/>
      <c r="H149" s="255"/>
      <c r="I149" s="262"/>
      <c r="J149" s="255"/>
    </row>
    <row r="150" spans="1:12" s="129" customFormat="1">
      <c r="A150" s="751" t="e">
        <f>#REF!</f>
        <v>#REF!</v>
      </c>
      <c r="B150" s="753" t="e">
        <f>#REF!</f>
        <v>#REF!</v>
      </c>
      <c r="C150" s="1526" t="e">
        <f>#REF!</f>
        <v>#REF!</v>
      </c>
      <c r="D150" s="1419">
        <f>J150</f>
        <v>315</v>
      </c>
      <c r="E150" s="527" t="e">
        <f>#REF!</f>
        <v>#REF!</v>
      </c>
      <c r="F150" s="741" t="e">
        <f>+D150*E150</f>
        <v>#REF!</v>
      </c>
      <c r="G150" s="142"/>
      <c r="H150" s="255">
        <f>F7</f>
        <v>300</v>
      </c>
      <c r="I150" s="262">
        <v>1.05</v>
      </c>
      <c r="J150" s="255">
        <f>ROUND(H150*I150,0)</f>
        <v>315</v>
      </c>
    </row>
    <row r="151" spans="1:12" s="129" customFormat="1">
      <c r="A151" s="689" t="e">
        <f>#REF!</f>
        <v>#REF!</v>
      </c>
      <c r="B151" s="711" t="e">
        <f>#REF!</f>
        <v>#REF!</v>
      </c>
      <c r="C151" s="1478"/>
      <c r="D151" s="742"/>
      <c r="E151" s="641"/>
      <c r="F151" s="740"/>
      <c r="G151" s="142"/>
      <c r="H151" s="255"/>
      <c r="I151" s="262"/>
      <c r="J151" s="255"/>
    </row>
    <row r="152" spans="1:12" s="129" customFormat="1">
      <c r="A152" s="751" t="e">
        <f>#REF!</f>
        <v>#REF!</v>
      </c>
      <c r="B152" s="753" t="e">
        <f>#REF!</f>
        <v>#REF!</v>
      </c>
      <c r="C152" s="1526" t="e">
        <f>#REF!</f>
        <v>#REF!</v>
      </c>
      <c r="D152" s="1419">
        <f>D150</f>
        <v>315</v>
      </c>
      <c r="E152" s="527" t="e">
        <f>#REF!</f>
        <v>#REF!</v>
      </c>
      <c r="F152" s="741" t="e">
        <f>+D152*E152</f>
        <v>#REF!</v>
      </c>
      <c r="G152" s="142"/>
      <c r="H152" s="255">
        <f>J145*2+10*4</f>
        <v>40</v>
      </c>
      <c r="I152" s="262">
        <v>1.05</v>
      </c>
      <c r="J152" s="255">
        <f t="shared" ref="J152:J155" si="7">ROUND(H152*I152,0)</f>
        <v>42</v>
      </c>
    </row>
    <row r="153" spans="1:12" s="129" customFormat="1">
      <c r="A153" s="689" t="e">
        <f>#REF!</f>
        <v>#REF!</v>
      </c>
      <c r="B153" s="711" t="e">
        <f>#REF!</f>
        <v>#REF!</v>
      </c>
      <c r="C153" s="641"/>
      <c r="D153" s="807"/>
      <c r="E153" s="641"/>
      <c r="F153" s="740"/>
      <c r="G153" s="142"/>
      <c r="H153" s="255"/>
      <c r="I153" s="262"/>
      <c r="J153" s="255">
        <f t="shared" si="7"/>
        <v>0</v>
      </c>
    </row>
    <row r="154" spans="1:12" s="129" customFormat="1">
      <c r="A154" s="750" t="e">
        <f>#REF!</f>
        <v>#REF!</v>
      </c>
      <c r="B154" s="677" t="e">
        <f>#REF!</f>
        <v>#REF!</v>
      </c>
      <c r="C154" s="663" t="e">
        <f>#REF!</f>
        <v>#REF!</v>
      </c>
      <c r="D154" s="819">
        <f>J154</f>
        <v>44</v>
      </c>
      <c r="E154" s="633" t="e">
        <f>#REF!</f>
        <v>#REF!</v>
      </c>
      <c r="F154" s="655" t="e">
        <f>+D154*E154</f>
        <v>#REF!</v>
      </c>
      <c r="G154" s="142"/>
      <c r="H154" s="255">
        <v>40</v>
      </c>
      <c r="I154" s="262">
        <v>1.1000000000000001</v>
      </c>
      <c r="J154" s="255">
        <f t="shared" si="7"/>
        <v>44</v>
      </c>
    </row>
    <row r="155" spans="1:12" s="129" customFormat="1">
      <c r="A155" s="751" t="e">
        <f>#REF!</f>
        <v>#REF!</v>
      </c>
      <c r="B155" s="753" t="e">
        <f>#REF!</f>
        <v>#REF!</v>
      </c>
      <c r="C155" s="643" t="e">
        <f>#REF!</f>
        <v>#REF!</v>
      </c>
      <c r="D155" s="808">
        <f>J155</f>
        <v>7</v>
      </c>
      <c r="E155" s="527" t="e">
        <f>#REF!</f>
        <v>#REF!</v>
      </c>
      <c r="F155" s="741" t="e">
        <f>+D155*E155</f>
        <v>#REF!</v>
      </c>
      <c r="G155" s="142"/>
      <c r="H155" s="255">
        <v>6</v>
      </c>
      <c r="I155" s="262">
        <v>1.1000000000000001</v>
      </c>
      <c r="J155" s="255">
        <f t="shared" si="7"/>
        <v>7</v>
      </c>
    </row>
    <row r="156" spans="1:12" s="129" customFormat="1">
      <c r="A156" s="689" t="e">
        <f>#REF!</f>
        <v>#REF!</v>
      </c>
      <c r="B156" s="711" t="e">
        <f>#REF!</f>
        <v>#REF!</v>
      </c>
      <c r="C156" s="641"/>
      <c r="D156" s="807"/>
      <c r="E156" s="641"/>
      <c r="F156" s="740"/>
      <c r="G156" s="142"/>
      <c r="H156" s="255"/>
      <c r="I156" s="262"/>
      <c r="J156" s="255"/>
    </row>
    <row r="157" spans="1:12" s="129" customFormat="1">
      <c r="A157" s="751"/>
      <c r="B157" s="753"/>
      <c r="C157" s="1523" t="e">
        <f>#REF!</f>
        <v>#REF!</v>
      </c>
      <c r="D157" s="808">
        <f>J157</f>
        <v>336</v>
      </c>
      <c r="E157" s="527" t="e">
        <f>#REF!</f>
        <v>#REF!</v>
      </c>
      <c r="F157" s="741" t="e">
        <f>+D157*E157</f>
        <v>#REF!</v>
      </c>
      <c r="G157" s="142"/>
      <c r="H157" s="255">
        <f>(20*2*4)*2</f>
        <v>320</v>
      </c>
      <c r="I157" s="262">
        <v>1.05</v>
      </c>
      <c r="J157" s="255">
        <f>ROUND(H157*I157,0)</f>
        <v>336</v>
      </c>
      <c r="L157" s="129" t="s">
        <v>458</v>
      </c>
    </row>
    <row r="158" spans="1:12" s="129" customFormat="1">
      <c r="A158" s="689" t="e">
        <f>#REF!</f>
        <v>#REF!</v>
      </c>
      <c r="B158" s="711" t="e">
        <f>#REF!</f>
        <v>#REF!</v>
      </c>
      <c r="C158" s="640"/>
      <c r="D158" s="807"/>
      <c r="E158" s="641"/>
      <c r="F158" s="740"/>
      <c r="G158" s="142"/>
      <c r="H158" s="255"/>
      <c r="I158" s="262"/>
      <c r="J158" s="255"/>
    </row>
    <row r="159" spans="1:12" s="129" customFormat="1">
      <c r="A159" s="751"/>
      <c r="B159" s="753"/>
      <c r="C159" s="1408" t="e">
        <f>#REF!</f>
        <v>#REF!</v>
      </c>
      <c r="D159" s="808">
        <f>+D142</f>
        <v>315</v>
      </c>
      <c r="E159" s="527" t="e">
        <f>+#REF!</f>
        <v>#REF!</v>
      </c>
      <c r="F159" s="741" t="e">
        <f>+D159*E159</f>
        <v>#REF!</v>
      </c>
      <c r="G159" s="142"/>
      <c r="H159" s="255"/>
      <c r="I159" s="262"/>
      <c r="J159" s="255"/>
    </row>
    <row r="160" spans="1:12" s="129" customFormat="1">
      <c r="A160" s="678" t="e">
        <f>+#REF!</f>
        <v>#REF!</v>
      </c>
      <c r="B160" s="678" t="e">
        <f>+#REF!</f>
        <v>#REF!</v>
      </c>
      <c r="C160" s="1485"/>
      <c r="D160" s="819"/>
      <c r="E160" s="633"/>
      <c r="F160" s="655"/>
      <c r="G160" s="142"/>
      <c r="H160" s="255"/>
      <c r="I160" s="262"/>
      <c r="J160" s="255"/>
    </row>
    <row r="161" spans="1:10" s="129" customFormat="1">
      <c r="A161" s="677"/>
      <c r="B161" s="677"/>
      <c r="C161" s="1485" t="s">
        <v>1</v>
      </c>
      <c r="D161" s="819">
        <f>+H161</f>
        <v>34</v>
      </c>
      <c r="E161" s="633" t="e">
        <f>+#REF!</f>
        <v>#REF!</v>
      </c>
      <c r="F161" s="655" t="e">
        <f>+D161*E161</f>
        <v>#REF!</v>
      </c>
      <c r="G161" s="142"/>
      <c r="H161" s="255">
        <f>23+11</f>
        <v>34</v>
      </c>
      <c r="I161" s="262"/>
      <c r="J161" s="255"/>
    </row>
    <row r="162" spans="1:10" s="129" customFormat="1">
      <c r="A162" s="711" t="e">
        <f>+#REF!</f>
        <v>#REF!</v>
      </c>
      <c r="B162" s="711" t="e">
        <f>+#REF!</f>
        <v>#REF!</v>
      </c>
      <c r="C162" s="641"/>
      <c r="D162" s="807"/>
      <c r="E162" s="641"/>
      <c r="F162" s="740"/>
      <c r="G162" s="142"/>
      <c r="H162" s="255"/>
      <c r="I162" s="262"/>
      <c r="J162" s="255"/>
    </row>
    <row r="163" spans="1:10" s="129" customFormat="1">
      <c r="A163" s="753" t="e">
        <f>+#REF!</f>
        <v>#REF!</v>
      </c>
      <c r="B163" s="753" t="e">
        <f>+#REF!</f>
        <v>#REF!</v>
      </c>
      <c r="C163" s="652" t="s">
        <v>1</v>
      </c>
      <c r="D163" s="808">
        <f>+J163</f>
        <v>91.811999999999998</v>
      </c>
      <c r="E163" s="527" t="e">
        <f>+#REF!</f>
        <v>#REF!</v>
      </c>
      <c r="F163" s="741" t="e">
        <f>+D163*E163</f>
        <v>#REF!</v>
      </c>
      <c r="G163" s="142"/>
      <c r="H163" s="255">
        <f>+H11/25</f>
        <v>87.44</v>
      </c>
      <c r="I163" s="262">
        <v>1.05</v>
      </c>
      <c r="J163" s="255">
        <f>+H163*I163</f>
        <v>91.811999999999998</v>
      </c>
    </row>
    <row r="164" spans="1:10" s="129" customFormat="1" ht="18.75">
      <c r="A164" s="1426"/>
      <c r="B164" s="500"/>
      <c r="C164" s="686"/>
      <c r="D164" s="635"/>
      <c r="E164" s="636" t="s">
        <v>112</v>
      </c>
      <c r="F164" s="1122" t="e">
        <f>SUM(F146:F163)</f>
        <v>#REF!</v>
      </c>
      <c r="G164" s="142"/>
      <c r="H164" s="142"/>
      <c r="I164" s="262"/>
      <c r="J164" s="255"/>
    </row>
    <row r="165" spans="1:10" s="129" customFormat="1">
      <c r="A165" s="1426"/>
      <c r="B165" s="500"/>
      <c r="C165" s="500"/>
      <c r="D165" s="737"/>
      <c r="E165" s="500"/>
      <c r="F165" s="1491"/>
      <c r="G165" s="142"/>
      <c r="H165" s="255"/>
      <c r="I165" s="262"/>
      <c r="J165" s="255"/>
    </row>
    <row r="166" spans="1:10" s="129" customFormat="1" ht="24.95" customHeight="1">
      <c r="A166" s="1426"/>
      <c r="B166" s="500"/>
      <c r="C166" s="686"/>
      <c r="D166" s="635"/>
      <c r="E166" s="636" t="s">
        <v>301</v>
      </c>
      <c r="F166" s="1122" t="e">
        <f>+F58+F69+F105+F143+F164</f>
        <v>#REF!</v>
      </c>
      <c r="G166" s="142"/>
      <c r="H166" s="255"/>
      <c r="I166" s="142"/>
      <c r="J166" s="255"/>
    </row>
    <row r="167" spans="1:10">
      <c r="A167" s="1426"/>
      <c r="B167" s="500"/>
      <c r="C167" s="500"/>
      <c r="D167" s="500"/>
      <c r="E167" s="500"/>
      <c r="F167" s="1491"/>
    </row>
    <row r="168" spans="1:10" s="129" customFormat="1" ht="24.95" customHeight="1">
      <c r="A168" s="1426"/>
      <c r="B168" s="500"/>
      <c r="C168" s="686"/>
      <c r="D168" s="635"/>
      <c r="E168" s="636" t="s">
        <v>302</v>
      </c>
      <c r="F168" s="1122" t="e">
        <f>F166+F39</f>
        <v>#REF!</v>
      </c>
      <c r="G168" s="142"/>
      <c r="H168" s="255"/>
      <c r="I168" s="262"/>
      <c r="J168" s="255"/>
    </row>
    <row r="179" spans="1:6" ht="19.5">
      <c r="A179" s="434"/>
      <c r="D179" s="62"/>
      <c r="E179" s="62"/>
      <c r="F179" s="99"/>
    </row>
    <row r="180" spans="1:6" ht="26.25">
      <c r="B180" s="1859"/>
      <c r="C180" s="1859"/>
      <c r="D180" s="1859"/>
      <c r="E180" s="1859"/>
      <c r="F180" s="1859"/>
    </row>
  </sheetData>
  <mergeCells count="10">
    <mergeCell ref="A2:F2"/>
    <mergeCell ref="B180:F180"/>
    <mergeCell ref="A1:F1"/>
    <mergeCell ref="A17:F17"/>
    <mergeCell ref="A24:F24"/>
    <mergeCell ref="A41:F41"/>
    <mergeCell ref="A60:F60"/>
    <mergeCell ref="A71:F71"/>
    <mergeCell ref="A107:F107"/>
    <mergeCell ref="A145:F145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  <rowBreaks count="2" manualBreakCount="2">
    <brk id="69" max="6" man="1"/>
    <brk id="125" max="6" man="1"/>
  </rowBreaks>
  <colBreaks count="1" manualBreakCount="1">
    <brk id="6" max="1048575" man="1"/>
  </col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2:D12"/>
  <sheetViews>
    <sheetView workbookViewId="0">
      <selection activeCell="B2" sqref="B2"/>
    </sheetView>
  </sheetViews>
  <sheetFormatPr baseColWidth="10" defaultRowHeight="15"/>
  <cols>
    <col min="2" max="2" width="12.28515625" bestFit="1" customWidth="1"/>
    <col min="4" max="4" width="12.28515625" bestFit="1" customWidth="1"/>
  </cols>
  <sheetData>
    <row r="2" spans="1:4">
      <c r="B2" s="1676" t="e">
        <f>+#REF!+#REF!+#REF!+#REF!+#REF!+#REF!+#REF!+#REF!+#REF!+#REF!+#REF!+Mbis!F28+#REF!+#REF!+#REF!+#REF!</f>
        <v>#REF!</v>
      </c>
    </row>
    <row r="3" spans="1:4">
      <c r="B3" s="1676" t="e">
        <f>+#REF!+#REF!+#REF!+#REF!+#REF!+#REF!+#REF!+#REF!+#REF!+#REF!+#REF!+Mbis!F29+#REF!+#REF!+#REF!+#REF!</f>
        <v>#REF!</v>
      </c>
    </row>
    <row r="4" spans="1:4">
      <c r="B4" s="1676" t="e">
        <f>+#REF!+#REF!+#REF!+#REF!+#REF!+#REF!+#REF!+#REF!+#REF!+#REF!+#REF!+Mbis!F30+#REF!+#REF!+#REF!+#REF!</f>
        <v>#REF!</v>
      </c>
    </row>
    <row r="5" spans="1:4">
      <c r="B5" s="1676" t="e">
        <f>+#REF!+#REF!+#REF!+#REF!+#REF!+#REF!+#REF!+#REF!+#REF!+#REF!+#REF!+Mbis!F31+#REF!+#REF!+#REF!+#REF!</f>
        <v>#REF!</v>
      </c>
    </row>
    <row r="6" spans="1:4">
      <c r="B6" s="1676" t="e">
        <f>+#REF!+#REF!+#REF!+#REF!+#REF!+#REF!+#REF!+#REF!+#REF!+#REF!+#REF!+Mbis!F32+#REF!+#REF!+#REF!+#REF!</f>
        <v>#REF!</v>
      </c>
    </row>
    <row r="7" spans="1:4">
      <c r="B7" s="1676" t="e">
        <f>+#REF!+#REF!+#REF!+#REF!+#REF!+#REF!+#REF!+#REF!+#REF!+#REF!+#REF!+Mbis!F33+#REF!+#REF!+#REF!+#REF!</f>
        <v>#REF!</v>
      </c>
      <c r="D7" s="1676" t="e">
        <f>SUM(B2:B6)</f>
        <v>#REF!</v>
      </c>
    </row>
    <row r="8" spans="1:4">
      <c r="B8" s="1676" t="e">
        <f>+#REF!+#REF!+#REF!+#REF!+#REF!+#REF!+#REF!+#REF!+#REF!+#REF!+#REF!+Mbis!F34+#REF!+#REF!+#REF!+#REF!</f>
        <v>#REF!</v>
      </c>
    </row>
    <row r="9" spans="1:4">
      <c r="B9" s="1676" t="e">
        <f>+#REF!+#REF!+#REF!+#REF!+#REF!+#REF!+#REF!+#REF!+#REF!+#REF!+#REF!+Mbis!F35+#REF!+#REF!+#REF!+#REF!</f>
        <v>#REF!</v>
      </c>
    </row>
    <row r="10" spans="1:4">
      <c r="B10" s="1676" t="e">
        <f>+#REF!+#REF!+#REF!+#REF!+#REF!+#REF!+#REF!+#REF!+#REF!+#REF!+#REF!+Mbis!F36+#REF!+#REF!+#REF!+#REF!</f>
        <v>#REF!</v>
      </c>
    </row>
    <row r="11" spans="1:4">
      <c r="B11" s="1676" t="e">
        <f>+#REF!+#REF!+#REF!+#REF!+#REF!+#REF!+#REF!+#REF!+#REF!+#REF!+#REF!+Mbis!F37+#REF!+#REF!+#REF!+#REF!</f>
        <v>#REF!</v>
      </c>
    </row>
    <row r="12" spans="1:4">
      <c r="A12" t="s">
        <v>755</v>
      </c>
      <c r="B12" s="1676" t="e">
        <f>+#REF!+#REF!+#REF!+#REF!+Mbis!F38+#REF!+#REF!+#REF!+#REF!+#REF!+#REF!+#REF!+#REF!+#REF!+#REF!</f>
        <v>#REF!</v>
      </c>
    </row>
  </sheetData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tabColor rgb="FF00B0F0"/>
  </sheetPr>
  <dimension ref="A1:I40"/>
  <sheetViews>
    <sheetView workbookViewId="0"/>
  </sheetViews>
  <sheetFormatPr baseColWidth="10" defaultColWidth="9.140625" defaultRowHeight="15"/>
  <cols>
    <col min="1" max="1" width="8.42578125" style="142" customWidth="1"/>
    <col min="2" max="2" width="4.42578125" style="142" customWidth="1"/>
    <col min="3" max="3" width="68.42578125" style="142" customWidth="1"/>
    <col min="4" max="4" width="10.85546875" style="142" customWidth="1"/>
    <col min="5" max="5" width="15.42578125" style="142" customWidth="1"/>
    <col min="6" max="6" width="17.140625" style="142" customWidth="1"/>
    <col min="7" max="7" width="26.140625" style="142" customWidth="1"/>
    <col min="8" max="8" width="17.28515625" style="142" customWidth="1"/>
    <col min="9" max="9" width="25.7109375" style="142" customWidth="1"/>
    <col min="10" max="16384" width="9.140625" style="142"/>
  </cols>
  <sheetData>
    <row r="1" spans="1:9" ht="20.25" thickBot="1">
      <c r="A1" s="90" t="s">
        <v>105</v>
      </c>
      <c r="G1" s="62"/>
      <c r="H1" s="62"/>
      <c r="I1" s="99"/>
    </row>
    <row r="2" spans="1:9" ht="25.5" thickBot="1">
      <c r="A2" s="1860" t="s">
        <v>532</v>
      </c>
      <c r="B2" s="1861"/>
      <c r="C2" s="1861"/>
      <c r="D2" s="1861"/>
      <c r="E2" s="1861"/>
      <c r="F2" s="1861"/>
      <c r="G2" s="1862"/>
      <c r="H2" s="135"/>
      <c r="I2" s="135"/>
    </row>
    <row r="4" spans="1:9">
      <c r="F4" s="99" t="s">
        <v>177</v>
      </c>
      <c r="G4" s="136">
        <f>'Rb Rd'!D75</f>
        <v>1162.7</v>
      </c>
    </row>
    <row r="5" spans="1:9">
      <c r="F5" s="99" t="s">
        <v>176</v>
      </c>
      <c r="G5" s="136">
        <f>'Rb Rd'!D76</f>
        <v>861.30000000000007</v>
      </c>
    </row>
    <row r="6" spans="1:9">
      <c r="F6" s="99" t="s">
        <v>198</v>
      </c>
      <c r="G6" s="136">
        <f>'Rb Rd'!D84</f>
        <v>191.4</v>
      </c>
    </row>
    <row r="7" spans="1:9">
      <c r="F7" s="99" t="s">
        <v>197</v>
      </c>
      <c r="G7" s="136">
        <f>'Rb Rd'!D83</f>
        <v>440.00000000000006</v>
      </c>
    </row>
    <row r="8" spans="1:9">
      <c r="F8" s="99" t="s">
        <v>277</v>
      </c>
      <c r="G8" s="136">
        <f>'Rb Rd'!D84</f>
        <v>191.4</v>
      </c>
    </row>
    <row r="9" spans="1:9" ht="22.5" customHeight="1">
      <c r="A9" s="1" t="s">
        <v>166</v>
      </c>
      <c r="B9" s="2"/>
      <c r="C9" s="3"/>
      <c r="D9" s="52" t="s">
        <v>98</v>
      </c>
      <c r="E9" s="70" t="s">
        <v>99</v>
      </c>
      <c r="F9" s="71" t="s">
        <v>100</v>
      </c>
      <c r="G9" s="71" t="s">
        <v>114</v>
      </c>
    </row>
    <row r="10" spans="1:9" ht="15.75">
      <c r="A10" s="4" t="s">
        <v>0</v>
      </c>
      <c r="B10" s="5"/>
      <c r="C10" s="6" t="s">
        <v>168</v>
      </c>
      <c r="D10" s="158"/>
      <c r="E10" s="159"/>
      <c r="F10" s="160"/>
      <c r="G10" s="161"/>
    </row>
    <row r="11" spans="1:9" ht="15.75">
      <c r="A11" s="4" t="s">
        <v>167</v>
      </c>
      <c r="B11" s="5"/>
      <c r="C11" s="12" t="s">
        <v>171</v>
      </c>
      <c r="D11" s="162" t="s">
        <v>94</v>
      </c>
      <c r="E11" s="163">
        <f>G4</f>
        <v>1162.7</v>
      </c>
      <c r="F11" s="164">
        <f>'BPU préf'!E9</f>
        <v>11000</v>
      </c>
      <c r="G11" s="164">
        <f>E11*F11</f>
        <v>12789700</v>
      </c>
    </row>
    <row r="12" spans="1:9" ht="15.75">
      <c r="A12" s="22" t="s">
        <v>169</v>
      </c>
      <c r="B12" s="30"/>
      <c r="C12" s="24" t="s">
        <v>170</v>
      </c>
      <c r="D12" s="165" t="s">
        <v>94</v>
      </c>
      <c r="E12" s="163">
        <f>G5</f>
        <v>861.30000000000007</v>
      </c>
      <c r="F12" s="167">
        <f>'BPU préf'!E10</f>
        <v>9300</v>
      </c>
      <c r="G12" s="167">
        <f>E12*F12</f>
        <v>8010090.0000000009</v>
      </c>
    </row>
    <row r="13" spans="1:9" ht="18.75">
      <c r="A13" s="110"/>
      <c r="B13" s="5"/>
      <c r="C13" s="12"/>
      <c r="D13" s="95"/>
      <c r="E13" s="92"/>
      <c r="F13" s="93" t="s">
        <v>106</v>
      </c>
      <c r="G13" s="94">
        <f>SUM(G11:G12)</f>
        <v>20799790</v>
      </c>
    </row>
    <row r="14" spans="1:9" ht="15.75">
      <c r="A14" s="10"/>
      <c r="B14" s="11"/>
      <c r="C14" s="12"/>
      <c r="D14" s="51"/>
      <c r="E14" s="12"/>
      <c r="F14" s="51"/>
      <c r="G14" s="121"/>
    </row>
    <row r="15" spans="1:9" ht="22.5" customHeight="1">
      <c r="A15" s="1" t="s">
        <v>175</v>
      </c>
      <c r="B15" s="2"/>
      <c r="C15" s="3"/>
      <c r="D15" s="52" t="s">
        <v>98</v>
      </c>
      <c r="E15" s="70" t="s">
        <v>99</v>
      </c>
      <c r="F15" s="71" t="s">
        <v>100</v>
      </c>
      <c r="G15" s="71" t="s">
        <v>114</v>
      </c>
    </row>
    <row r="16" spans="1:9" ht="15.75">
      <c r="A16" s="4">
        <v>201</v>
      </c>
      <c r="B16" s="42"/>
      <c r="C16" s="43" t="s">
        <v>199</v>
      </c>
      <c r="D16" s="170" t="s">
        <v>1</v>
      </c>
      <c r="E16" s="171">
        <f>G7</f>
        <v>440.00000000000006</v>
      </c>
      <c r="F16" s="171">
        <f>'BPU préf'!E14</f>
        <v>7514</v>
      </c>
      <c r="G16" s="173">
        <f>E16*F16</f>
        <v>3306160.0000000005</v>
      </c>
    </row>
    <row r="17" spans="1:7" ht="15.75">
      <c r="A17" s="4">
        <v>202</v>
      </c>
      <c r="B17" s="5"/>
      <c r="C17" s="26" t="s">
        <v>200</v>
      </c>
      <c r="D17" s="272" t="s">
        <v>1</v>
      </c>
      <c r="E17" s="273">
        <f>G6</f>
        <v>191.4</v>
      </c>
      <c r="F17" s="273">
        <f>'BPU préf'!E15</f>
        <v>5700</v>
      </c>
      <c r="G17" s="164">
        <f>E17*F17</f>
        <v>1090980</v>
      </c>
    </row>
    <row r="18" spans="1:7" ht="15.75">
      <c r="A18" s="22">
        <v>203</v>
      </c>
      <c r="B18" s="30"/>
      <c r="C18" s="169" t="s">
        <v>246</v>
      </c>
      <c r="D18" s="168" t="s">
        <v>1</v>
      </c>
      <c r="E18" s="174">
        <f>G8</f>
        <v>191.4</v>
      </c>
      <c r="F18" s="174">
        <f>'BPU préf'!E16</f>
        <v>6315</v>
      </c>
      <c r="G18" s="167">
        <f>E18*F18</f>
        <v>1208691</v>
      </c>
    </row>
    <row r="19" spans="1:7" ht="18.75">
      <c r="A19" s="10"/>
      <c r="B19" s="21"/>
      <c r="C19" s="12"/>
      <c r="D19" s="157"/>
      <c r="E19" s="130"/>
      <c r="F19" s="131" t="s">
        <v>111</v>
      </c>
      <c r="G19" s="132">
        <f>SUM(G16:G18)</f>
        <v>5605831</v>
      </c>
    </row>
    <row r="21" spans="1:7" ht="25.5" customHeight="1">
      <c r="D21" s="95"/>
      <c r="E21" s="92"/>
      <c r="F21" s="93" t="s">
        <v>172</v>
      </c>
      <c r="G21" s="94">
        <f>+G13+G19</f>
        <v>26405621</v>
      </c>
    </row>
    <row r="40" spans="3:3">
      <c r="C40" s="149"/>
    </row>
  </sheetData>
  <mergeCells count="1">
    <mergeCell ref="A2:G2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tabColor rgb="FF00B0F0"/>
  </sheetPr>
  <dimension ref="B1:F10"/>
  <sheetViews>
    <sheetView workbookViewId="0"/>
  </sheetViews>
  <sheetFormatPr baseColWidth="10" defaultColWidth="9.140625" defaultRowHeight="15"/>
  <cols>
    <col min="1" max="1" width="9.140625" style="142"/>
    <col min="2" max="2" width="5.42578125" style="142" customWidth="1"/>
    <col min="3" max="3" width="20.28515625" style="142" customWidth="1"/>
    <col min="4" max="4" width="30.7109375" style="142" customWidth="1"/>
    <col min="5" max="5" width="16.7109375" style="142" customWidth="1"/>
    <col min="6" max="16384" width="9.140625" style="142"/>
  </cols>
  <sheetData>
    <row r="1" spans="2:6" ht="19.5">
      <c r="B1" s="90" t="s">
        <v>531</v>
      </c>
    </row>
    <row r="3" spans="2:6" ht="18.75">
      <c r="C3" s="1874" t="s">
        <v>217</v>
      </c>
      <c r="D3" s="376" t="s">
        <v>291</v>
      </c>
      <c r="E3" s="376" t="s">
        <v>232</v>
      </c>
      <c r="F3" s="100"/>
    </row>
    <row r="4" spans="2:6" ht="18.75">
      <c r="C4" s="1875"/>
      <c r="D4" s="376" t="s">
        <v>607</v>
      </c>
      <c r="E4" s="376" t="s">
        <v>231</v>
      </c>
    </row>
    <row r="5" spans="2:6" ht="21.95" customHeight="1">
      <c r="C5" s="379" t="s">
        <v>215</v>
      </c>
      <c r="D5" s="101" t="e">
        <f>ROUND('Rb Rd'!F142,0)</f>
        <v>#REF!</v>
      </c>
      <c r="E5" s="101" t="e">
        <f>D5/656</f>
        <v>#REF!</v>
      </c>
    </row>
    <row r="6" spans="2:6" ht="21.95" customHeight="1">
      <c r="C6" s="379" t="s">
        <v>216</v>
      </c>
      <c r="D6" s="101">
        <f>'Pref Rb Rd'!G21</f>
        <v>26405621</v>
      </c>
      <c r="E6" s="101">
        <f>D6/656</f>
        <v>40252.471036585368</v>
      </c>
    </row>
    <row r="7" spans="2:6" ht="30" customHeight="1">
      <c r="C7" s="380" t="s">
        <v>218</v>
      </c>
      <c r="D7" s="377" t="e">
        <f>SUM(D5:D6)</f>
        <v>#REF!</v>
      </c>
      <c r="E7" s="378" t="e">
        <f>D7/656</f>
        <v>#REF!</v>
      </c>
    </row>
    <row r="8" spans="2:6" ht="21.95" customHeight="1"/>
    <row r="9" spans="2:6" ht="21.95" customHeight="1"/>
    <row r="10" spans="2:6" ht="21.95" customHeight="1"/>
  </sheetData>
  <mergeCells count="1">
    <mergeCell ref="C3:C4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tabColor rgb="FF7030A0"/>
  </sheetPr>
  <dimension ref="A1:H41"/>
  <sheetViews>
    <sheetView topLeftCell="A10" workbookViewId="0"/>
  </sheetViews>
  <sheetFormatPr baseColWidth="10" defaultColWidth="9.140625" defaultRowHeight="15"/>
  <cols>
    <col min="1" max="1" width="8.42578125" style="142" customWidth="1"/>
    <col min="2" max="2" width="4.42578125" style="142" customWidth="1"/>
    <col min="3" max="3" width="68.42578125" style="142" customWidth="1"/>
    <col min="4" max="4" width="10.85546875" style="142" customWidth="1"/>
    <col min="5" max="5" width="15.42578125" style="142" customWidth="1"/>
    <col min="6" max="6" width="17.140625" style="142" customWidth="1"/>
    <col min="7" max="7" width="26.140625" style="142" customWidth="1"/>
    <col min="8" max="8" width="17.28515625" style="142" customWidth="1"/>
    <col min="9" max="16384" width="9.140625" style="142"/>
  </cols>
  <sheetData>
    <row r="1" spans="1:8" ht="20.25" thickBot="1">
      <c r="A1" s="90" t="s">
        <v>105</v>
      </c>
      <c r="G1" s="62"/>
      <c r="H1" s="62"/>
    </row>
    <row r="2" spans="1:8" ht="25.5" thickBot="1">
      <c r="A2" s="1860" t="s">
        <v>297</v>
      </c>
      <c r="B2" s="1861"/>
      <c r="C2" s="1861"/>
      <c r="D2" s="1861"/>
      <c r="E2" s="1861"/>
      <c r="F2" s="1861"/>
      <c r="G2" s="1862"/>
      <c r="H2" s="135"/>
    </row>
    <row r="4" spans="1:8">
      <c r="F4" s="99" t="s">
        <v>177</v>
      </c>
      <c r="G4" s="136">
        <f>Ra!D87</f>
        <v>6111</v>
      </c>
    </row>
    <row r="5" spans="1:8">
      <c r="F5" s="99" t="s">
        <v>176</v>
      </c>
      <c r="G5" s="136">
        <f>Ra!D88</f>
        <v>8818.75</v>
      </c>
    </row>
    <row r="6" spans="1:8">
      <c r="F6" s="99" t="s">
        <v>198</v>
      </c>
      <c r="G6" s="136">
        <f>Ra!D96</f>
        <v>2231.25</v>
      </c>
    </row>
    <row r="7" spans="1:8">
      <c r="F7" s="99" t="s">
        <v>197</v>
      </c>
      <c r="G7" s="136">
        <f>Ra!D95</f>
        <v>505.12916666666678</v>
      </c>
    </row>
    <row r="8" spans="1:8">
      <c r="F8" s="99" t="s">
        <v>277</v>
      </c>
      <c r="G8" s="136" t="e">
        <f>Ra!#REF!</f>
        <v>#REF!</v>
      </c>
    </row>
    <row r="9" spans="1:8" ht="22.5" customHeight="1">
      <c r="A9" s="1" t="s">
        <v>166</v>
      </c>
      <c r="B9" s="2"/>
      <c r="C9" s="3"/>
      <c r="D9" s="52" t="s">
        <v>98</v>
      </c>
      <c r="E9" s="70" t="s">
        <v>99</v>
      </c>
      <c r="F9" s="71" t="s">
        <v>100</v>
      </c>
      <c r="G9" s="71" t="s">
        <v>114</v>
      </c>
    </row>
    <row r="10" spans="1:8" ht="15.75">
      <c r="A10" s="4" t="s">
        <v>0</v>
      </c>
      <c r="B10" s="5"/>
      <c r="C10" s="6" t="s">
        <v>168</v>
      </c>
      <c r="D10" s="158"/>
      <c r="E10" s="159"/>
      <c r="F10" s="160"/>
      <c r="G10" s="161"/>
    </row>
    <row r="11" spans="1:8" ht="15.75">
      <c r="A11" s="4" t="s">
        <v>167</v>
      </c>
      <c r="B11" s="5"/>
      <c r="C11" s="12" t="s">
        <v>171</v>
      </c>
      <c r="D11" s="162" t="s">
        <v>94</v>
      </c>
      <c r="E11" s="163">
        <f>G4</f>
        <v>6111</v>
      </c>
      <c r="F11" s="164">
        <f>'BPU préf'!E9</f>
        <v>11000</v>
      </c>
      <c r="G11" s="164">
        <f>E11*F11</f>
        <v>67221000</v>
      </c>
    </row>
    <row r="12" spans="1:8" ht="15.75">
      <c r="A12" s="22" t="s">
        <v>169</v>
      </c>
      <c r="B12" s="30"/>
      <c r="C12" s="24" t="s">
        <v>170</v>
      </c>
      <c r="D12" s="165" t="s">
        <v>94</v>
      </c>
      <c r="E12" s="166">
        <f>G5</f>
        <v>8818.75</v>
      </c>
      <c r="F12" s="167">
        <f>'BPU préf'!E10</f>
        <v>9300</v>
      </c>
      <c r="G12" s="167">
        <f>E12*F12</f>
        <v>82014375</v>
      </c>
    </row>
    <row r="13" spans="1:8" ht="18.75">
      <c r="A13" s="110"/>
      <c r="B13" s="5"/>
      <c r="C13" s="12"/>
      <c r="D13" s="95"/>
      <c r="E13" s="92"/>
      <c r="F13" s="93" t="s">
        <v>106</v>
      </c>
      <c r="G13" s="94">
        <f>SUM(G11:G12)</f>
        <v>149235375</v>
      </c>
    </row>
    <row r="14" spans="1:8" ht="15.75">
      <c r="A14" s="10"/>
      <c r="B14" s="11"/>
      <c r="C14" s="12"/>
      <c r="D14" s="51"/>
      <c r="E14" s="12"/>
      <c r="F14" s="51"/>
      <c r="G14" s="121"/>
    </row>
    <row r="15" spans="1:8" ht="22.5" customHeight="1">
      <c r="A15" s="1" t="s">
        <v>175</v>
      </c>
      <c r="B15" s="2"/>
      <c r="C15" s="3"/>
      <c r="D15" s="52" t="s">
        <v>98</v>
      </c>
      <c r="E15" s="70" t="s">
        <v>99</v>
      </c>
      <c r="F15" s="71" t="s">
        <v>100</v>
      </c>
      <c r="G15" s="71" t="s">
        <v>114</v>
      </c>
    </row>
    <row r="16" spans="1:8" ht="15.75">
      <c r="A16" s="4">
        <v>201</v>
      </c>
      <c r="B16" s="42"/>
      <c r="C16" s="43" t="s">
        <v>199</v>
      </c>
      <c r="D16" s="170" t="s">
        <v>1</v>
      </c>
      <c r="E16" s="171">
        <f>G7</f>
        <v>505.12916666666678</v>
      </c>
      <c r="F16" s="172">
        <f>'BPU préf'!E14</f>
        <v>7514</v>
      </c>
      <c r="G16" s="173">
        <f>E16*F16</f>
        <v>3795540.558333334</v>
      </c>
    </row>
    <row r="17" spans="1:7" ht="15.75">
      <c r="A17" s="4">
        <v>202</v>
      </c>
      <c r="B17" s="5"/>
      <c r="C17" s="26" t="s">
        <v>200</v>
      </c>
      <c r="D17" s="272" t="s">
        <v>1</v>
      </c>
      <c r="E17" s="273">
        <f>G6</f>
        <v>2231.25</v>
      </c>
      <c r="F17" s="274">
        <f>'BPU préf'!E15</f>
        <v>5700</v>
      </c>
      <c r="G17" s="164">
        <f>E17*F17</f>
        <v>12718125</v>
      </c>
    </row>
    <row r="18" spans="1:7" ht="15.75">
      <c r="A18" s="22">
        <v>203</v>
      </c>
      <c r="B18" s="30"/>
      <c r="C18" s="169" t="s">
        <v>246</v>
      </c>
      <c r="D18" s="168" t="s">
        <v>1</v>
      </c>
      <c r="E18" s="174">
        <v>0</v>
      </c>
      <c r="F18" s="147">
        <f>'BPU préf'!E16</f>
        <v>6315</v>
      </c>
      <c r="G18" s="167">
        <f>E18*F18</f>
        <v>0</v>
      </c>
    </row>
    <row r="19" spans="1:7" ht="15.75">
      <c r="A19" s="22">
        <v>204</v>
      </c>
      <c r="B19" s="30"/>
      <c r="C19" s="169" t="s">
        <v>547</v>
      </c>
      <c r="D19" s="168" t="s">
        <v>1</v>
      </c>
      <c r="E19" s="174">
        <v>0</v>
      </c>
      <c r="F19" s="409"/>
      <c r="G19" s="418"/>
    </row>
    <row r="20" spans="1:7" ht="18.75">
      <c r="A20" s="10"/>
      <c r="B20" s="21"/>
      <c r="C20" s="12"/>
      <c r="D20" s="157"/>
      <c r="E20" s="130"/>
      <c r="F20" s="131" t="s">
        <v>111</v>
      </c>
      <c r="G20" s="132">
        <f>SUM(G16:G18)</f>
        <v>16513665.558333334</v>
      </c>
    </row>
    <row r="22" spans="1:7" ht="25.5" customHeight="1">
      <c r="D22" s="95"/>
      <c r="E22" s="92"/>
      <c r="F22" s="93" t="s">
        <v>172</v>
      </c>
      <c r="G22" s="94">
        <f>+G13+G20</f>
        <v>165749040.55833334</v>
      </c>
    </row>
    <row r="41" spans="3:3">
      <c r="C41" s="149"/>
    </row>
  </sheetData>
  <mergeCells count="1">
    <mergeCell ref="A2:G2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tabColor rgb="FF7030A0"/>
  </sheetPr>
  <dimension ref="B1:F9"/>
  <sheetViews>
    <sheetView workbookViewId="0"/>
  </sheetViews>
  <sheetFormatPr baseColWidth="10" defaultColWidth="9.140625" defaultRowHeight="15"/>
  <cols>
    <col min="1" max="1" width="9.140625" style="142"/>
    <col min="2" max="2" width="5.42578125" style="142" customWidth="1"/>
    <col min="3" max="3" width="27.7109375" style="142" customWidth="1"/>
    <col min="4" max="4" width="30.7109375" style="142" customWidth="1"/>
    <col min="5" max="5" width="16.7109375" style="142" customWidth="1"/>
    <col min="6" max="16384" width="9.140625" style="142"/>
  </cols>
  <sheetData>
    <row r="1" spans="2:6" ht="19.5">
      <c r="B1" s="90" t="s">
        <v>305</v>
      </c>
    </row>
    <row r="3" spans="2:6" ht="18.75">
      <c r="C3" s="1872" t="s">
        <v>217</v>
      </c>
      <c r="D3" s="509" t="s">
        <v>291</v>
      </c>
      <c r="E3" s="509" t="s">
        <v>232</v>
      </c>
      <c r="F3" s="100"/>
    </row>
    <row r="4" spans="2:6" ht="18.75">
      <c r="C4" s="1873"/>
      <c r="D4" s="509" t="s">
        <v>607</v>
      </c>
      <c r="E4" s="509" t="s">
        <v>231</v>
      </c>
    </row>
    <row r="5" spans="2:6" ht="21.95" customHeight="1">
      <c r="C5" s="379" t="s">
        <v>737</v>
      </c>
      <c r="D5" s="101" t="e">
        <f>Ra!F164</f>
        <v>#REF!</v>
      </c>
      <c r="E5" s="101" t="e">
        <f>D5/656</f>
        <v>#REF!</v>
      </c>
    </row>
    <row r="6" spans="2:6" ht="30" customHeight="1">
      <c r="C6" s="380" t="s">
        <v>218</v>
      </c>
      <c r="D6" s="518" t="e">
        <f>ROUND(SUM(D5:D5),0)</f>
        <v>#REF!</v>
      </c>
      <c r="E6" s="378" t="e">
        <f>D6/656</f>
        <v>#REF!</v>
      </c>
    </row>
    <row r="7" spans="2:6" ht="21.95" customHeight="1"/>
    <row r="8" spans="2:6" ht="21.95" customHeight="1">
      <c r="D8" s="334">
        <v>3536887354</v>
      </c>
    </row>
    <row r="9" spans="2:6" ht="21.95" customHeight="1"/>
  </sheetData>
  <mergeCells count="1">
    <mergeCell ref="C3:C4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tabColor theme="5" tint="-0.249977111117893"/>
  </sheetPr>
  <dimension ref="B1:F10"/>
  <sheetViews>
    <sheetView workbookViewId="0"/>
  </sheetViews>
  <sheetFormatPr baseColWidth="10" defaultColWidth="9.140625" defaultRowHeight="15"/>
  <cols>
    <col min="1" max="1" width="9.140625" style="142"/>
    <col min="2" max="2" width="5.42578125" style="142" customWidth="1"/>
    <col min="3" max="3" width="20.28515625" style="142" customWidth="1"/>
    <col min="4" max="4" width="30.7109375" style="142" customWidth="1"/>
    <col min="5" max="5" width="16.7109375" style="142" customWidth="1"/>
    <col min="6" max="16384" width="9.140625" style="142"/>
  </cols>
  <sheetData>
    <row r="1" spans="2:6" ht="19.5">
      <c r="B1" s="90" t="s">
        <v>304</v>
      </c>
    </row>
    <row r="3" spans="2:6" ht="18.75">
      <c r="C3" s="376" t="s">
        <v>217</v>
      </c>
      <c r="D3" s="376" t="s">
        <v>291</v>
      </c>
      <c r="E3" s="376" t="s">
        <v>232</v>
      </c>
      <c r="F3" s="100"/>
    </row>
    <row r="4" spans="2:6" ht="18.75">
      <c r="C4" s="383"/>
      <c r="D4" s="376" t="s">
        <v>608</v>
      </c>
      <c r="E4" s="376" t="s">
        <v>231</v>
      </c>
    </row>
    <row r="5" spans="2:6" ht="21.95" customHeight="1">
      <c r="C5" s="379" t="s">
        <v>215</v>
      </c>
      <c r="D5" s="101" t="e">
        <f>S!F168</f>
        <v>#REF!</v>
      </c>
      <c r="E5" s="101" t="e">
        <f>D5/656</f>
        <v>#REF!</v>
      </c>
    </row>
    <row r="6" spans="2:6" ht="21.95" customHeight="1">
      <c r="C6" s="379" t="s">
        <v>216</v>
      </c>
      <c r="D6" s="101">
        <f>'Pref S new'!G21</f>
        <v>597577045.84200001</v>
      </c>
      <c r="E6" s="101">
        <f>D6/656</f>
        <v>910940.61866158538</v>
      </c>
    </row>
    <row r="7" spans="2:6" ht="18.75">
      <c r="C7" s="380" t="s">
        <v>218</v>
      </c>
      <c r="D7" s="377" t="e">
        <f>SUM(D5:D6)</f>
        <v>#REF!</v>
      </c>
      <c r="E7" s="378" t="e">
        <f>D7/656</f>
        <v>#REF!</v>
      </c>
    </row>
    <row r="8" spans="2:6" ht="21.95" customHeight="1"/>
    <row r="9" spans="2:6" ht="21.95" customHeight="1"/>
    <row r="10" spans="2:6" ht="21.95" customHeight="1"/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tabColor theme="5" tint="-0.249977111117893"/>
  </sheetPr>
  <dimension ref="A1:H40"/>
  <sheetViews>
    <sheetView workbookViewId="0"/>
  </sheetViews>
  <sheetFormatPr baseColWidth="10" defaultColWidth="9.140625" defaultRowHeight="15"/>
  <cols>
    <col min="1" max="1" width="8.42578125" style="142" customWidth="1"/>
    <col min="2" max="2" width="4.42578125" style="142" customWidth="1"/>
    <col min="3" max="3" width="68.42578125" style="142" customWidth="1"/>
    <col min="4" max="4" width="10.85546875" style="142" customWidth="1"/>
    <col min="5" max="5" width="15.42578125" style="142" customWidth="1"/>
    <col min="6" max="6" width="17.140625" style="142" customWidth="1"/>
    <col min="7" max="7" width="26.140625" style="142" customWidth="1"/>
    <col min="8" max="8" width="17.28515625" style="142" customWidth="1"/>
    <col min="9" max="16384" width="9.140625" style="142"/>
  </cols>
  <sheetData>
    <row r="1" spans="1:8" ht="20.25" thickBot="1">
      <c r="A1" s="90" t="s">
        <v>105</v>
      </c>
      <c r="G1" s="62"/>
      <c r="H1" s="62"/>
    </row>
    <row r="2" spans="1:8" ht="25.5" thickBot="1">
      <c r="A2" s="1860" t="s">
        <v>303</v>
      </c>
      <c r="B2" s="1861"/>
      <c r="C2" s="1861"/>
      <c r="D2" s="1861"/>
      <c r="E2" s="1861"/>
      <c r="F2" s="1861"/>
      <c r="G2" s="1862"/>
      <c r="H2" s="135"/>
    </row>
    <row r="4" spans="1:8">
      <c r="F4" s="99" t="s">
        <v>177</v>
      </c>
      <c r="G4" s="136">
        <f>S!D87</f>
        <v>21169.512000000002</v>
      </c>
    </row>
    <row r="5" spans="1:8">
      <c r="F5" s="99" t="s">
        <v>176</v>
      </c>
      <c r="G5" s="136">
        <f>S!D88</f>
        <v>29874.287940000002</v>
      </c>
    </row>
    <row r="6" spans="1:8">
      <c r="F6" s="99" t="s">
        <v>198</v>
      </c>
      <c r="G6" s="136">
        <f>S!D96</f>
        <v>6189.75</v>
      </c>
    </row>
    <row r="7" spans="1:8">
      <c r="F7" s="99" t="s">
        <v>197</v>
      </c>
      <c r="G7" s="136">
        <f>S!D95</f>
        <v>630</v>
      </c>
    </row>
    <row r="8" spans="1:8">
      <c r="F8" s="99" t="s">
        <v>277</v>
      </c>
      <c r="G8" s="136">
        <f>S!D97</f>
        <v>7421.4000000000005</v>
      </c>
    </row>
    <row r="9" spans="1:8" ht="22.5" customHeight="1">
      <c r="A9" s="1" t="s">
        <v>166</v>
      </c>
      <c r="B9" s="2"/>
      <c r="C9" s="3"/>
      <c r="D9" s="52" t="s">
        <v>98</v>
      </c>
      <c r="E9" s="70" t="s">
        <v>99</v>
      </c>
      <c r="F9" s="71" t="s">
        <v>100</v>
      </c>
      <c r="G9" s="71" t="s">
        <v>114</v>
      </c>
    </row>
    <row r="10" spans="1:8" ht="15.75">
      <c r="A10" s="4" t="s">
        <v>0</v>
      </c>
      <c r="B10" s="5"/>
      <c r="C10" s="6" t="s">
        <v>168</v>
      </c>
      <c r="D10" s="158"/>
      <c r="E10" s="159"/>
      <c r="F10" s="160"/>
      <c r="G10" s="161"/>
    </row>
    <row r="11" spans="1:8" ht="15.75">
      <c r="A11" s="4" t="s">
        <v>167</v>
      </c>
      <c r="B11" s="5"/>
      <c r="C11" s="12" t="s">
        <v>171</v>
      </c>
      <c r="D11" s="162" t="s">
        <v>94</v>
      </c>
      <c r="E11" s="163">
        <f>G4</f>
        <v>21169.512000000002</v>
      </c>
      <c r="F11" s="164">
        <f>'BPU préf'!E9</f>
        <v>11000</v>
      </c>
      <c r="G11" s="164">
        <f>E11*F11</f>
        <v>232864632.00000003</v>
      </c>
    </row>
    <row r="12" spans="1:8" ht="15.75">
      <c r="A12" s="22" t="s">
        <v>169</v>
      </c>
      <c r="B12" s="30"/>
      <c r="C12" s="24" t="s">
        <v>170</v>
      </c>
      <c r="D12" s="165" t="s">
        <v>94</v>
      </c>
      <c r="E12" s="166">
        <f>G5</f>
        <v>29874.287940000002</v>
      </c>
      <c r="F12" s="167">
        <f>'BPU préf'!E10</f>
        <v>9300</v>
      </c>
      <c r="G12" s="167">
        <f>E12*F12</f>
        <v>277830877.84200001</v>
      </c>
    </row>
    <row r="13" spans="1:8" ht="18.75">
      <c r="A13" s="110"/>
      <c r="B13" s="5"/>
      <c r="C13" s="12"/>
      <c r="D13" s="95"/>
      <c r="E13" s="92"/>
      <c r="F13" s="93" t="s">
        <v>106</v>
      </c>
      <c r="G13" s="94">
        <f>SUM(G11:G12)</f>
        <v>510695509.84200001</v>
      </c>
    </row>
    <row r="14" spans="1:8" ht="15.75">
      <c r="A14" s="10"/>
      <c r="B14" s="11"/>
      <c r="C14" s="12"/>
      <c r="D14" s="51"/>
      <c r="E14" s="12"/>
      <c r="F14" s="51"/>
      <c r="G14" s="121"/>
    </row>
    <row r="15" spans="1:8" ht="22.5" customHeight="1">
      <c r="A15" s="1" t="s">
        <v>175</v>
      </c>
      <c r="B15" s="2"/>
      <c r="C15" s="3"/>
      <c r="D15" s="52" t="s">
        <v>98</v>
      </c>
      <c r="E15" s="70" t="s">
        <v>99</v>
      </c>
      <c r="F15" s="71" t="s">
        <v>100</v>
      </c>
      <c r="G15" s="71" t="s">
        <v>114</v>
      </c>
    </row>
    <row r="16" spans="1:8" ht="15.75">
      <c r="A16" s="4">
        <v>201</v>
      </c>
      <c r="B16" s="42"/>
      <c r="C16" s="43" t="s">
        <v>199</v>
      </c>
      <c r="D16" s="170" t="s">
        <v>1</v>
      </c>
      <c r="E16" s="171">
        <f>G7</f>
        <v>630</v>
      </c>
      <c r="F16" s="172">
        <f>'BPU préf'!E14</f>
        <v>7514</v>
      </c>
      <c r="G16" s="173">
        <f>E16*F16</f>
        <v>4733820</v>
      </c>
    </row>
    <row r="17" spans="1:7" ht="15.75">
      <c r="A17" s="4">
        <v>202</v>
      </c>
      <c r="B17" s="5"/>
      <c r="C17" s="26" t="s">
        <v>200</v>
      </c>
      <c r="D17" s="272" t="s">
        <v>1</v>
      </c>
      <c r="E17" s="273">
        <f>G6</f>
        <v>6189.75</v>
      </c>
      <c r="F17" s="274">
        <f>'BPU préf'!E15</f>
        <v>5700</v>
      </c>
      <c r="G17" s="164">
        <f>E17*F17</f>
        <v>35281575</v>
      </c>
    </row>
    <row r="18" spans="1:7" ht="15.75">
      <c r="A18" s="22">
        <v>203</v>
      </c>
      <c r="B18" s="30"/>
      <c r="C18" s="169" t="s">
        <v>246</v>
      </c>
      <c r="D18" s="168" t="s">
        <v>1</v>
      </c>
      <c r="E18" s="174">
        <f>G8</f>
        <v>7421.4000000000005</v>
      </c>
      <c r="F18" s="147">
        <f>'BPU préf'!E16</f>
        <v>6315</v>
      </c>
      <c r="G18" s="167">
        <f>E18*F18</f>
        <v>46866141</v>
      </c>
    </row>
    <row r="19" spans="1:7" ht="18.75">
      <c r="A19" s="10"/>
      <c r="B19" s="21"/>
      <c r="C19" s="12"/>
      <c r="D19" s="157"/>
      <c r="E19" s="130"/>
      <c r="F19" s="131" t="s">
        <v>111</v>
      </c>
      <c r="G19" s="132">
        <f>SUM(G16:G18)</f>
        <v>86881536</v>
      </c>
    </row>
    <row r="21" spans="1:7" ht="25.5" customHeight="1">
      <c r="D21" s="95"/>
      <c r="E21" s="92"/>
      <c r="F21" s="93" t="s">
        <v>172</v>
      </c>
      <c r="G21" s="94">
        <f>+G13+G19</f>
        <v>597577045.84200001</v>
      </c>
    </row>
    <row r="40" spans="3:3">
      <c r="C40" s="149"/>
    </row>
  </sheetData>
  <mergeCells count="1">
    <mergeCell ref="A2:G2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E17"/>
  <sheetViews>
    <sheetView workbookViewId="0">
      <selection activeCell="C15" sqref="C15"/>
    </sheetView>
  </sheetViews>
  <sheetFormatPr baseColWidth="10" defaultColWidth="9.140625" defaultRowHeight="15"/>
  <cols>
    <col min="1" max="1" width="9.140625" style="114"/>
    <col min="2" max="2" width="4.85546875" style="114" customWidth="1"/>
    <col min="3" max="3" width="68.85546875" style="114" customWidth="1"/>
    <col min="4" max="4" width="11.85546875" style="114" customWidth="1"/>
    <col min="5" max="5" width="26.5703125" style="114" customWidth="1"/>
    <col min="6" max="16384" width="9.140625" style="114"/>
  </cols>
  <sheetData>
    <row r="1" spans="1:5" ht="18.75">
      <c r="A1" s="175" t="s">
        <v>165</v>
      </c>
    </row>
    <row r="2" spans="1:5" ht="18.75">
      <c r="A2" s="175"/>
    </row>
    <row r="3" spans="1:5">
      <c r="A3" s="176" t="s">
        <v>159</v>
      </c>
    </row>
    <row r="4" spans="1:5">
      <c r="A4" s="176" t="s">
        <v>125</v>
      </c>
    </row>
    <row r="5" spans="1:5">
      <c r="A5" s="176"/>
    </row>
    <row r="6" spans="1:5" ht="19.5">
      <c r="A6" s="177" t="s">
        <v>633</v>
      </c>
      <c r="B6" s="178"/>
      <c r="C6" s="179"/>
      <c r="D6" s="180"/>
      <c r="E6" s="120"/>
    </row>
    <row r="7" spans="1:5" ht="15.75">
      <c r="A7" s="720" t="s">
        <v>557</v>
      </c>
      <c r="B7" s="717"/>
      <c r="C7" s="159" t="s">
        <v>632</v>
      </c>
      <c r="D7" s="160"/>
      <c r="E7" s="161"/>
    </row>
    <row r="8" spans="1:5" ht="15.75">
      <c r="A8" s="181" t="s">
        <v>634</v>
      </c>
      <c r="B8" s="721"/>
      <c r="C8" s="182" t="s">
        <v>641</v>
      </c>
      <c r="D8" s="162" t="s">
        <v>94</v>
      </c>
      <c r="E8" s="140">
        <v>13500</v>
      </c>
    </row>
    <row r="9" spans="1:5" ht="15.75">
      <c r="A9" s="181" t="s">
        <v>561</v>
      </c>
      <c r="B9" s="721"/>
      <c r="C9" s="182" t="s">
        <v>771</v>
      </c>
      <c r="D9" s="162" t="s">
        <v>94</v>
      </c>
      <c r="E9" s="140">
        <v>11000</v>
      </c>
    </row>
    <row r="10" spans="1:5" ht="15.75">
      <c r="A10" s="183" t="s">
        <v>562</v>
      </c>
      <c r="B10" s="722"/>
      <c r="C10" s="184" t="s">
        <v>772</v>
      </c>
      <c r="D10" s="165" t="s">
        <v>94</v>
      </c>
      <c r="E10" s="185">
        <v>9300</v>
      </c>
    </row>
    <row r="11" spans="1:5" ht="15.75">
      <c r="A11" s="186"/>
      <c r="B11" s="187"/>
      <c r="C11" s="182"/>
      <c r="D11" s="188"/>
      <c r="E11" s="189"/>
    </row>
    <row r="12" spans="1:5" ht="19.5">
      <c r="A12" s="177" t="s">
        <v>635</v>
      </c>
      <c r="B12" s="178"/>
      <c r="C12" s="179"/>
      <c r="D12" s="726"/>
      <c r="E12" s="725"/>
    </row>
    <row r="13" spans="1:5" ht="15.75">
      <c r="A13" s="716" t="s">
        <v>566</v>
      </c>
      <c r="B13" s="717"/>
      <c r="C13" s="723" t="s">
        <v>636</v>
      </c>
      <c r="D13" s="727"/>
      <c r="E13" s="717"/>
    </row>
    <row r="14" spans="1:5" ht="15.75">
      <c r="A14" s="181" t="s">
        <v>573</v>
      </c>
      <c r="B14" s="718"/>
      <c r="C14" s="182" t="s">
        <v>769</v>
      </c>
      <c r="D14" s="162" t="s">
        <v>1</v>
      </c>
      <c r="E14" s="561">
        <v>7514</v>
      </c>
    </row>
    <row r="15" spans="1:5" ht="15.75">
      <c r="A15" s="181" t="s">
        <v>574</v>
      </c>
      <c r="B15" s="718"/>
      <c r="C15" s="182" t="s">
        <v>770</v>
      </c>
      <c r="D15" s="162" t="s">
        <v>1</v>
      </c>
      <c r="E15" s="561">
        <v>5700</v>
      </c>
    </row>
    <row r="16" spans="1:5" ht="15.75">
      <c r="A16" s="181" t="s">
        <v>575</v>
      </c>
      <c r="B16" s="718"/>
      <c r="C16" s="44" t="s">
        <v>773</v>
      </c>
      <c r="D16" s="162" t="s">
        <v>1</v>
      </c>
      <c r="E16" s="561">
        <v>6315</v>
      </c>
    </row>
    <row r="17" spans="1:5" ht="15.75">
      <c r="A17" s="183" t="s">
        <v>576</v>
      </c>
      <c r="B17" s="719"/>
      <c r="C17" s="1737" t="s">
        <v>547</v>
      </c>
      <c r="D17" s="165" t="s">
        <v>1</v>
      </c>
      <c r="E17" s="724">
        <f>+E16+E14</f>
        <v>13829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50"/>
  </sheetPr>
  <dimension ref="A1:G16"/>
  <sheetViews>
    <sheetView topLeftCell="A4" workbookViewId="0">
      <selection activeCell="B6" sqref="B6"/>
    </sheetView>
  </sheetViews>
  <sheetFormatPr baseColWidth="10" defaultColWidth="9.140625" defaultRowHeight="15"/>
  <cols>
    <col min="1" max="1" width="37.42578125" style="142" customWidth="1"/>
    <col min="2" max="2" width="28.42578125" style="142" customWidth="1"/>
    <col min="3" max="3" width="27.28515625" style="142" customWidth="1"/>
    <col min="4" max="4" width="18.28515625" style="142" customWidth="1"/>
    <col min="5" max="5" width="17.5703125" style="255" customWidth="1"/>
    <col min="6" max="6" width="17.42578125" style="142" bestFit="1" customWidth="1"/>
    <col min="7" max="7" width="13.7109375" style="255" bestFit="1" customWidth="1"/>
    <col min="8" max="16384" width="9.140625" style="142"/>
  </cols>
  <sheetData>
    <row r="1" spans="1:6" ht="19.5">
      <c r="A1" s="90" t="s">
        <v>414</v>
      </c>
    </row>
    <row r="3" spans="1:6" ht="18.75" customHeight="1">
      <c r="A3" s="386" t="s">
        <v>217</v>
      </c>
      <c r="B3" s="386" t="s">
        <v>291</v>
      </c>
      <c r="C3" s="386" t="s">
        <v>232</v>
      </c>
      <c r="D3" s="1866" t="s">
        <v>762</v>
      </c>
      <c r="E3" s="1866"/>
      <c r="F3" s="1723" t="s">
        <v>765</v>
      </c>
    </row>
    <row r="4" spans="1:6" ht="15.75" customHeight="1">
      <c r="A4" s="386"/>
      <c r="B4" s="386" t="s">
        <v>340</v>
      </c>
      <c r="C4" s="386" t="s">
        <v>295</v>
      </c>
      <c r="D4" s="1723" t="s">
        <v>763</v>
      </c>
      <c r="E4" s="1724" t="s">
        <v>764</v>
      </c>
      <c r="F4" s="1723" t="s">
        <v>766</v>
      </c>
    </row>
    <row r="5" spans="1:6" ht="21.95" customHeight="1">
      <c r="A5" s="384" t="s">
        <v>761</v>
      </c>
      <c r="B5" s="101" t="e">
        <f>+#REF!</f>
        <v>#REF!</v>
      </c>
      <c r="C5" s="101" t="e">
        <f>B5/656</f>
        <v>#REF!</v>
      </c>
      <c r="D5" s="1722">
        <v>40000000000</v>
      </c>
      <c r="E5" s="255">
        <f t="shared" ref="E5:E10" si="0">+D5*F5</f>
        <v>40000000000</v>
      </c>
      <c r="F5" s="277">
        <v>1</v>
      </c>
    </row>
    <row r="6" spans="1:6" ht="21.95" customHeight="1">
      <c r="A6" s="384" t="s">
        <v>759</v>
      </c>
      <c r="B6" s="101" t="e">
        <f>+#REF!</f>
        <v>#REF!</v>
      </c>
      <c r="C6" s="101" t="e">
        <f t="shared" ref="C6:C10" si="1">B6/656</f>
        <v>#REF!</v>
      </c>
      <c r="D6" s="1718">
        <v>50000000</v>
      </c>
      <c r="E6" s="255">
        <f t="shared" si="0"/>
        <v>40000000000</v>
      </c>
      <c r="F6" s="1721">
        <v>800</v>
      </c>
    </row>
    <row r="7" spans="1:6" ht="21.95" customHeight="1">
      <c r="A7" s="384" t="s">
        <v>758</v>
      </c>
      <c r="B7" s="101" t="e">
        <f>+#REF!</f>
        <v>#REF!</v>
      </c>
      <c r="C7" s="101" t="e">
        <f t="shared" si="1"/>
        <v>#REF!</v>
      </c>
      <c r="D7" s="1719">
        <v>40000000</v>
      </c>
      <c r="E7" s="255">
        <f t="shared" si="0"/>
        <v>26238280000</v>
      </c>
      <c r="F7" s="277">
        <v>655.95699999999999</v>
      </c>
    </row>
    <row r="8" spans="1:6" ht="21.95" customHeight="1">
      <c r="A8" s="384" t="s">
        <v>760</v>
      </c>
      <c r="B8" s="101" t="e">
        <f>+#REF!</f>
        <v>#REF!</v>
      </c>
      <c r="C8" s="101" t="e">
        <f t="shared" si="1"/>
        <v>#REF!</v>
      </c>
      <c r="D8" s="1720">
        <v>100000000</v>
      </c>
      <c r="E8" s="255">
        <f t="shared" si="0"/>
        <v>55000000000</v>
      </c>
      <c r="F8" s="1721">
        <v>550</v>
      </c>
    </row>
    <row r="9" spans="1:6" ht="21.95" customHeight="1">
      <c r="A9" s="384" t="s">
        <v>756</v>
      </c>
      <c r="B9" s="101" t="e">
        <f>+#REF!</f>
        <v>#REF!</v>
      </c>
      <c r="C9" s="101" t="e">
        <f t="shared" si="1"/>
        <v>#REF!</v>
      </c>
      <c r="D9" s="1720">
        <v>100000000</v>
      </c>
      <c r="E9" s="255">
        <f t="shared" si="0"/>
        <v>55000000000</v>
      </c>
      <c r="F9" s="1721">
        <f>+F8</f>
        <v>550</v>
      </c>
    </row>
    <row r="10" spans="1:6" ht="21.95" customHeight="1">
      <c r="A10" s="384" t="s">
        <v>757</v>
      </c>
      <c r="B10" s="101" t="e">
        <f>+#REF!</f>
        <v>#REF!</v>
      </c>
      <c r="C10" s="101" t="e">
        <f t="shared" si="1"/>
        <v>#REF!</v>
      </c>
      <c r="D10" s="1719">
        <v>50000000</v>
      </c>
      <c r="E10" s="255">
        <f t="shared" si="0"/>
        <v>32797865000</v>
      </c>
      <c r="F10" s="277">
        <v>655.95730000000003</v>
      </c>
    </row>
    <row r="11" spans="1:6" ht="21" customHeight="1">
      <c r="A11" s="385" t="s">
        <v>536</v>
      </c>
      <c r="B11" s="377" t="e">
        <f>SUM(B5:B10)</f>
        <v>#REF!</v>
      </c>
      <c r="C11" s="378" t="e">
        <f>B11/656</f>
        <v>#REF!</v>
      </c>
      <c r="D11" s="1717"/>
      <c r="E11" s="255">
        <f>SUM(E5:E10)</f>
        <v>249036145000</v>
      </c>
    </row>
    <row r="16" spans="1:6">
      <c r="C16" s="334"/>
      <c r="D16" s="334"/>
    </row>
  </sheetData>
  <mergeCells count="1">
    <mergeCell ref="D3:E3"/>
  </mergeCells>
  <pageMargins left="0.70866141732283472" right="0.70866141732283472" top="0.74803149606299213" bottom="0.74803149606299213" header="0.31496062992125984" footer="0.31496062992125984"/>
  <pageSetup paperSize="9" scale="71" orientation="landscape" r:id="rId1"/>
  <headerFooter>
    <oddHeader>Page &amp;P de &amp;N</oddHeader>
    <oddFooter>&amp;A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79</vt:i4>
      </vt:variant>
      <vt:variant>
        <vt:lpstr>Plages nommées</vt:lpstr>
      </vt:variant>
      <vt:variant>
        <vt:i4>101</vt:i4>
      </vt:variant>
    </vt:vector>
  </HeadingPairs>
  <TitlesOfParts>
    <vt:vector size="180" baseType="lpstr">
      <vt:lpstr>Zb1</vt:lpstr>
      <vt:lpstr>Zb2</vt:lpstr>
      <vt:lpstr>Zb 3</vt:lpstr>
      <vt:lpstr>Zb 4</vt:lpstr>
      <vt:lpstr>Préf Zb</vt:lpstr>
      <vt:lpstr>Préf ABa</vt:lpstr>
      <vt:lpstr>ABb et ABc</vt:lpstr>
      <vt:lpstr>BPU préf</vt:lpstr>
      <vt:lpstr>Récap Général</vt:lpstr>
      <vt:lpstr>Préf WW</vt:lpstr>
      <vt:lpstr>Préf Pb Pc new</vt:lpstr>
      <vt:lpstr>Préf AAs</vt:lpstr>
      <vt:lpstr>Recap AAs</vt:lpstr>
      <vt:lpstr>Préf AAn</vt:lpstr>
      <vt:lpstr>Recap AAn</vt:lpstr>
      <vt:lpstr>AAn et AAc</vt:lpstr>
      <vt:lpstr>Préf AAn et AAc</vt:lpstr>
      <vt:lpstr>Recap AAn et AAc</vt:lpstr>
      <vt:lpstr>Recap XX</vt:lpstr>
      <vt:lpstr>Préf AAc</vt:lpstr>
      <vt:lpstr>Recap AAc </vt:lpstr>
      <vt:lpstr>Préf Pa 3</vt:lpstr>
      <vt:lpstr>Recap Pa 3</vt:lpstr>
      <vt:lpstr>Préf Y</vt:lpstr>
      <vt:lpstr>Recap Y</vt:lpstr>
      <vt:lpstr>Pref Qa et Qc</vt:lpstr>
      <vt:lpstr>récap Qa et Qc</vt:lpstr>
      <vt:lpstr>Préf Pa 2</vt:lpstr>
      <vt:lpstr>Pa</vt:lpstr>
      <vt:lpstr>Préf Pa</vt:lpstr>
      <vt:lpstr>Recap Pa</vt:lpstr>
      <vt:lpstr>BPU_Pa3-Y</vt:lpstr>
      <vt:lpstr>CDQE_Pa3-Y</vt:lpstr>
      <vt:lpstr>Y</vt:lpstr>
      <vt:lpstr>Bd Marina</vt:lpstr>
      <vt:lpstr>Pa 3</vt:lpstr>
      <vt:lpstr>Recap_L&amp;M Amazone</vt:lpstr>
      <vt:lpstr>L_Amazone</vt:lpstr>
      <vt:lpstr>PU_CC</vt:lpstr>
      <vt:lpstr>M_Amazone</vt:lpstr>
      <vt:lpstr>M_Amazone_2 032019</vt:lpstr>
      <vt:lpstr>Recap M &amp; L 03 2019 </vt:lpstr>
      <vt:lpstr>Récap traversée Marina</vt:lpstr>
      <vt:lpstr>L _traversée</vt:lpstr>
      <vt:lpstr>M_traverséé</vt:lpstr>
      <vt:lpstr>M_Marina</vt:lpstr>
      <vt:lpstr>CBPU_M_Marina</vt:lpstr>
      <vt:lpstr>CDQE_M_Marina</vt:lpstr>
      <vt:lpstr>Préf M</vt:lpstr>
      <vt:lpstr>Recap M</vt:lpstr>
      <vt:lpstr>L _MARINA</vt:lpstr>
      <vt:lpstr>CBPU_L _MARINA</vt:lpstr>
      <vt:lpstr>CDQE_L _MARINA</vt:lpstr>
      <vt:lpstr>Mbis</vt:lpstr>
      <vt:lpstr>M_Amazone_2 032019 (2)</vt:lpstr>
      <vt:lpstr>Préf Lbis</vt:lpstr>
      <vt:lpstr>Recap L bis</vt:lpstr>
      <vt:lpstr>Préf D</vt:lpstr>
      <vt:lpstr>Recap D</vt:lpstr>
      <vt:lpstr>Feuil2</vt:lpstr>
      <vt:lpstr>Wa</vt:lpstr>
      <vt:lpstr>Préf Wa</vt:lpstr>
      <vt:lpstr>Recap Wa</vt:lpstr>
      <vt:lpstr>Préf Rc</vt:lpstr>
      <vt:lpstr>Recap Rc</vt:lpstr>
      <vt:lpstr>Pref Qb</vt:lpstr>
      <vt:lpstr>récap Qb</vt:lpstr>
      <vt:lpstr>récap Q</vt:lpstr>
      <vt:lpstr>Ra</vt:lpstr>
      <vt:lpstr>Rb Rd</vt:lpstr>
      <vt:lpstr>Rc </vt:lpstr>
      <vt:lpstr>S</vt:lpstr>
      <vt:lpstr>Feuil1</vt:lpstr>
      <vt:lpstr>Pref Rb Rd</vt:lpstr>
      <vt:lpstr>récap Rb Rd</vt:lpstr>
      <vt:lpstr>Pref Ra new</vt:lpstr>
      <vt:lpstr>récap Ra new</vt:lpstr>
      <vt:lpstr>récap S new</vt:lpstr>
      <vt:lpstr>Pref S new</vt:lpstr>
      <vt:lpstr>'Bd Marina'!epais</vt:lpstr>
      <vt:lpstr>PU_CC!epais</vt:lpstr>
      <vt:lpstr>'ABb et ABc'!Impression_des_titres</vt:lpstr>
      <vt:lpstr>'CBPU_L _MARINA'!Impression_des_titres</vt:lpstr>
      <vt:lpstr>CBPU_M_Marina!Impression_des_titres</vt:lpstr>
      <vt:lpstr>'CDQE_L _MARINA'!Impression_des_titres</vt:lpstr>
      <vt:lpstr>CDQE_M_Marina!Impression_des_titres</vt:lpstr>
      <vt:lpstr>'AAn et AAc'!Print_Area</vt:lpstr>
      <vt:lpstr>'ABb et ABc'!Print_Area</vt:lpstr>
      <vt:lpstr>'BPU_Pa3-Y'!Print_Area</vt:lpstr>
      <vt:lpstr>'CBPU_L _MARINA'!Print_Area</vt:lpstr>
      <vt:lpstr>CBPU_M_Marina!Print_Area</vt:lpstr>
      <vt:lpstr>'CDQE_L _MARINA'!Print_Area</vt:lpstr>
      <vt:lpstr>CDQE_M_Marina!Print_Area</vt:lpstr>
      <vt:lpstr>'CDQE_Pa3-Y'!Print_Area</vt:lpstr>
      <vt:lpstr>'L _MARINA'!Print_Area</vt:lpstr>
      <vt:lpstr>'L _traversée'!Print_Area</vt:lpstr>
      <vt:lpstr>L_Amazone!Print_Area</vt:lpstr>
      <vt:lpstr>M_Amazone!Print_Area</vt:lpstr>
      <vt:lpstr>'M_Amazone_2 032019'!Print_Area</vt:lpstr>
      <vt:lpstr>'M_Amazone_2 032019 (2)'!Print_Area</vt:lpstr>
      <vt:lpstr>M_Marina!Print_Area</vt:lpstr>
      <vt:lpstr>M_traverséé!Print_Area</vt:lpstr>
      <vt:lpstr>Mbis!Print_Area</vt:lpstr>
      <vt:lpstr>Pa!Print_Area</vt:lpstr>
      <vt:lpstr>'Pa 3'!Print_Area</vt:lpstr>
      <vt:lpstr>Ra!Print_Area</vt:lpstr>
      <vt:lpstr>'Rb Rd'!Print_Area</vt:lpstr>
      <vt:lpstr>'Rc '!Print_Area</vt:lpstr>
      <vt:lpstr>'Récap Général'!Print_Area</vt:lpstr>
      <vt:lpstr>'Recap M &amp; L 03 2019 '!Print_Area</vt:lpstr>
      <vt:lpstr>'récap Q'!Print_Area</vt:lpstr>
      <vt:lpstr>'récap Qb'!Print_Area</vt:lpstr>
      <vt:lpstr>'récap Ra new'!Print_Area</vt:lpstr>
      <vt:lpstr>'récap Rb Rd'!Print_Area</vt:lpstr>
      <vt:lpstr>'récap S new'!Print_Area</vt:lpstr>
      <vt:lpstr>'Récap traversée Marina'!Print_Area</vt:lpstr>
      <vt:lpstr>'Recap_L&amp;M Amazone'!Print_Area</vt:lpstr>
      <vt:lpstr>S!Print_Area</vt:lpstr>
      <vt:lpstr>Wa!Print_Area</vt:lpstr>
      <vt:lpstr>Y!Print_Area</vt:lpstr>
      <vt:lpstr>'Zb 3'!Print_Area</vt:lpstr>
      <vt:lpstr>'Zb 4'!Print_Area</vt:lpstr>
      <vt:lpstr>'Zb1'!Print_Area</vt:lpstr>
      <vt:lpstr>'Zb2'!Print_Area</vt:lpstr>
      <vt:lpstr>'Bd Marina'!PUbeton</vt:lpstr>
      <vt:lpstr>PU_CC!PUbeton</vt:lpstr>
      <vt:lpstr>'AAn et AAc'!Zone_d_impression</vt:lpstr>
      <vt:lpstr>'ABb et ABc'!Zone_d_impression</vt:lpstr>
      <vt:lpstr>'Bd Marina'!Zone_d_impression</vt:lpstr>
      <vt:lpstr>'BPU_Pa3-Y'!Zone_d_impression</vt:lpstr>
      <vt:lpstr>'CBPU_L _MARINA'!Zone_d_impression</vt:lpstr>
      <vt:lpstr>CBPU_M_Marina!Zone_d_impression</vt:lpstr>
      <vt:lpstr>'CDQE_L _MARINA'!Zone_d_impression</vt:lpstr>
      <vt:lpstr>CDQE_M_Marina!Zone_d_impression</vt:lpstr>
      <vt:lpstr>'CDQE_Pa3-Y'!Zone_d_impression</vt:lpstr>
      <vt:lpstr>'L _MARINA'!Zone_d_impression</vt:lpstr>
      <vt:lpstr>'L _traversée'!Zone_d_impression</vt:lpstr>
      <vt:lpstr>L_Amazone!Zone_d_impression</vt:lpstr>
      <vt:lpstr>M_Amazone!Zone_d_impression</vt:lpstr>
      <vt:lpstr>'M_Amazone_2 032019'!Zone_d_impression</vt:lpstr>
      <vt:lpstr>'M_Amazone_2 032019 (2)'!Zone_d_impression</vt:lpstr>
      <vt:lpstr>M_Marina!Zone_d_impression</vt:lpstr>
      <vt:lpstr>M_traverséé!Zone_d_impression</vt:lpstr>
      <vt:lpstr>Mbis!Zone_d_impression</vt:lpstr>
      <vt:lpstr>Pa!Zone_d_impression</vt:lpstr>
      <vt:lpstr>'Pa 3'!Zone_d_impression</vt:lpstr>
      <vt:lpstr>'Préf D'!Zone_d_impression</vt:lpstr>
      <vt:lpstr>'Préf Lbis'!Zone_d_impression</vt:lpstr>
      <vt:lpstr>'Préf M'!Zone_d_impression</vt:lpstr>
      <vt:lpstr>'Préf Pa'!Zone_d_impression</vt:lpstr>
      <vt:lpstr>'Préf Pa 2'!Zone_d_impression</vt:lpstr>
      <vt:lpstr>'Pref Qa et Qc'!Zone_d_impression</vt:lpstr>
      <vt:lpstr>'Pref Qb'!Zone_d_impression</vt:lpstr>
      <vt:lpstr>'Pref Rb Rd'!Zone_d_impression</vt:lpstr>
      <vt:lpstr>'Préf Rc'!Zone_d_impression</vt:lpstr>
      <vt:lpstr>'Préf Wa'!Zone_d_impression</vt:lpstr>
      <vt:lpstr>'Préf Y'!Zone_d_impression</vt:lpstr>
      <vt:lpstr>PU_CC!Zone_d_impression</vt:lpstr>
      <vt:lpstr>Ra!Zone_d_impression</vt:lpstr>
      <vt:lpstr>'Rb Rd'!Zone_d_impression</vt:lpstr>
      <vt:lpstr>'Rc '!Zone_d_impression</vt:lpstr>
      <vt:lpstr>'Recap D'!Zone_d_impression</vt:lpstr>
      <vt:lpstr>'Récap Général'!Zone_d_impression</vt:lpstr>
      <vt:lpstr>'Recap L bis'!Zone_d_impression</vt:lpstr>
      <vt:lpstr>'Recap M'!Zone_d_impression</vt:lpstr>
      <vt:lpstr>'Recap M &amp; L 03 2019 '!Zone_d_impression</vt:lpstr>
      <vt:lpstr>'Recap Pa'!Zone_d_impression</vt:lpstr>
      <vt:lpstr>'récap Qa et Qc'!Zone_d_impression</vt:lpstr>
      <vt:lpstr>'Recap Rc'!Zone_d_impression</vt:lpstr>
      <vt:lpstr>'Récap traversée Marina'!Zone_d_impression</vt:lpstr>
      <vt:lpstr>'Recap Wa'!Zone_d_impression</vt:lpstr>
      <vt:lpstr>'Recap Y'!Zone_d_impression</vt:lpstr>
      <vt:lpstr>'Recap_L&amp;M Amazone'!Zone_d_impression</vt:lpstr>
      <vt:lpstr>S!Zone_d_impression</vt:lpstr>
      <vt:lpstr>Wa!Zone_d_impression</vt:lpstr>
      <vt:lpstr>Y!Zone_d_impression</vt:lpstr>
      <vt:lpstr>'Zb 3'!Zone_d_impression</vt:lpstr>
      <vt:lpstr>'Zb 4'!Zone_d_impression</vt:lpstr>
      <vt:lpstr>'Zb1'!Zone_d_impression</vt:lpstr>
      <vt:lpstr>'Zb2'!Zone_d_impression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EOKOUNDE</dc:creator>
  <cp:lastModifiedBy>Hossoukpo Tito Oussou-Kloui</cp:lastModifiedBy>
  <cp:lastPrinted>2019-12-26T14:06:49Z</cp:lastPrinted>
  <dcterms:created xsi:type="dcterms:W3CDTF">2014-10-07T09:47:02Z</dcterms:created>
  <dcterms:modified xsi:type="dcterms:W3CDTF">2021-02-12T06:45:14Z</dcterms:modified>
</cp:coreProperties>
</file>